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ml.chartshapes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ml.chartshapes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ml.chartshapes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c93f545f4db4b/Documents/coding ninjas/"/>
    </mc:Choice>
  </mc:AlternateContent>
  <xr:revisionPtr revIDLastSave="1898" documentId="8_{E329BAC2-F80B-4152-85BC-B30218D61654}" xr6:coauthVersionLast="47" xr6:coauthVersionMax="47" xr10:uidLastSave="{D4982EFC-B72C-4376-A1B6-FC3D9BC4F549}"/>
  <bookViews>
    <workbookView xWindow="-110" yWindow="-110" windowWidth="19420" windowHeight="10300" firstSheet="4" activeTab="8" xr2:uid="{F2E62B1D-4B83-4B54-AFA1-7B47798D3601}"/>
  </bookViews>
  <sheets>
    <sheet name="DashBoard" sheetId="11" r:id="rId1"/>
    <sheet name="Raw Data" sheetId="13" r:id="rId2"/>
    <sheet name="Note" sheetId="17" r:id="rId3"/>
    <sheet name="Formatted Data" sheetId="18" r:id="rId4"/>
    <sheet name="contribution" sheetId="3" r:id="rId5"/>
    <sheet name="Y-o-y" sheetId="4" r:id="rId6"/>
    <sheet name="M-o-m" sheetId="5" r:id="rId7"/>
    <sheet name="Covid Impact" sheetId="8" r:id="rId8"/>
    <sheet name="Impact of crude oil prices " sheetId="7" r:id="rId9"/>
  </sheets>
  <definedNames>
    <definedName name="_xlnm._FilterDatabase" localSheetId="3" hidden="1">'Formatted Data'!$A$3:$DX$84</definedName>
    <definedName name="_xlnm._FilterDatabase" localSheetId="8" hidden="1">'Impact of crude oil prices '!$C$45:$C$68</definedName>
    <definedName name="_xlnm._FilterDatabase" localSheetId="2" hidden="1">Note!$A$1:$AD$373</definedName>
    <definedName name="_xlchart.v1.0" hidden="1">'M-o-m'!$B$24:$B$37</definedName>
    <definedName name="_xlchart.v1.1" hidden="1">'M-o-m'!$E$23</definedName>
    <definedName name="_xlchart.v1.10" hidden="1">'M-o-m'!$H$23</definedName>
    <definedName name="_xlchart.v1.11" hidden="1">'M-o-m'!$H$24:$H$37</definedName>
    <definedName name="_xlchart.v1.12" hidden="1">'M-o-m'!$K$23</definedName>
    <definedName name="_xlchart.v1.13" hidden="1">'M-o-m'!$K$24:$K$37</definedName>
    <definedName name="_xlchart.v1.2" hidden="1">'M-o-m'!$E$24:$E$37</definedName>
    <definedName name="_xlchart.v1.3" hidden="1">'M-o-m'!$H$23</definedName>
    <definedName name="_xlchart.v1.4" hidden="1">'M-o-m'!$H$24:$H$37</definedName>
    <definedName name="_xlchart.v1.5" hidden="1">'M-o-m'!$K$23</definedName>
    <definedName name="_xlchart.v1.6" hidden="1">'M-o-m'!$K$24:$K$37</definedName>
    <definedName name="_xlchart.v1.7" hidden="1">'M-o-m'!$B$24:$B$37</definedName>
    <definedName name="_xlchart.v1.8" hidden="1">'M-o-m'!$E$23</definedName>
    <definedName name="_xlchart.v1.9" hidden="1">'M-o-m'!$E$24:$E$37</definedName>
    <definedName name="April13">'Formatted Data'!$G$3:$G$84</definedName>
    <definedName name="April17">'Formatted Data'!$BC$3:$BC$84</definedName>
    <definedName name="April18">'Formatted Data'!$BO$3:$BO$84</definedName>
    <definedName name="April19">'Formatted Data'!$CA$3:$CA$84</definedName>
    <definedName name="April20">'Formatted Data'!$CM$3:$CM$84</definedName>
    <definedName name="APRIL2020">#REF!</definedName>
    <definedName name="April2021">'Formatted Data'!$CY$3:$CY$84</definedName>
    <definedName name="April2023">'Formatted Data'!$DW$3:$DW$84</definedName>
    <definedName name="april21">#REF!</definedName>
    <definedName name="April22">'Formatted Data'!$DK$3:$DK$84</definedName>
    <definedName name="april23">#REF!</definedName>
    <definedName name="APRILM20">#REF!</definedName>
    <definedName name="aprilm2020">#REF!</definedName>
    <definedName name="August13">'Formatted Data'!$K$3:$K$84</definedName>
    <definedName name="august16">#REF!</definedName>
    <definedName name="august19">#REF!</definedName>
    <definedName name="august20">#REF!</definedName>
    <definedName name="August2019">'Formatted Data'!$CE$3:$CE$84</definedName>
    <definedName name="August2020">'Formatted Data'!$CQ$3:$CQ$84</definedName>
    <definedName name="August2021">'Formatted Data'!$DC$3:$DC$84</definedName>
    <definedName name="august21">#REF!</definedName>
    <definedName name="August22">'Formatted Data'!$DO$3:$DO$84</definedName>
    <definedName name="CAT">#REF!</definedName>
    <definedName name="Category">'Formatted Data'!$B$3:$B$84</definedName>
    <definedName name="Data">#REF!</definedName>
    <definedName name="December19">'Formatted Data'!$CI$3:$CI$84</definedName>
    <definedName name="december20">#REF!</definedName>
    <definedName name="December2020">'Formatted Data'!$CU$3:$CU$84</definedName>
    <definedName name="December2021">'Formatted Data'!$DG$3:$DG$84</definedName>
    <definedName name="december21">#REF!</definedName>
    <definedName name="December22">'Formatted Data'!$DS$3:$DS$84</definedName>
    <definedName name="February13">'Formatted Data'!$E$3:$E$84</definedName>
    <definedName name="February17">'Formatted Data'!$BA$3:$BA$84</definedName>
    <definedName name="february19">#REF!</definedName>
    <definedName name="february20">#REF!</definedName>
    <definedName name="February2020">'Formatted Data'!$CK$3:$CK$84</definedName>
    <definedName name="February2021">'Formatted Data'!$CW$3:$CW$84</definedName>
    <definedName name="February2022">'Formatted Data'!$DI$3:$DI$84</definedName>
    <definedName name="february21">#REF!</definedName>
    <definedName name="february22">#REF!</definedName>
    <definedName name="February23">'Formatted Data'!$DU$3:$DU$84</definedName>
    <definedName name="februaury20">#REF!</definedName>
    <definedName name="februaury21">#REF!</definedName>
    <definedName name="January13">'Formatted Data'!$D$3:$D$84</definedName>
    <definedName name="January17">'Formatted Data'!$AZ$3:$AZ$84</definedName>
    <definedName name="january19">#REF!</definedName>
    <definedName name="january20">#REF!</definedName>
    <definedName name="January2020">'Formatted Data'!$CJ$3:$CJ$84</definedName>
    <definedName name="January2021">'Formatted Data'!$CV$3:$CV$84</definedName>
    <definedName name="January2022">'Formatted Data'!$DH$3:$DH$84</definedName>
    <definedName name="january21">#REF!</definedName>
    <definedName name="january22">#REF!</definedName>
    <definedName name="january23">'Formatted Data'!$DT$3:$DT$84</definedName>
    <definedName name="januaury20">#REF!</definedName>
    <definedName name="januaury21">#REF!</definedName>
    <definedName name="july19">#REF!</definedName>
    <definedName name="july20">#REF!</definedName>
    <definedName name="July2019">'Formatted Data'!$CD$3:$CD$84</definedName>
    <definedName name="july202">#REF!</definedName>
    <definedName name="July2020">'Formatted Data'!$CP$3:$CP$84</definedName>
    <definedName name="July2021">'Formatted Data'!$DB$3:$DB$84</definedName>
    <definedName name="July2022">'Formatted Data'!$DN$3:$DN$84</definedName>
    <definedName name="july21">#REF!</definedName>
    <definedName name="july22">#REF!</definedName>
    <definedName name="JulyM13">'Formatted Data'!$J$3:$J$84</definedName>
    <definedName name="june19">#REF!</definedName>
    <definedName name="june20">#REF!</definedName>
    <definedName name="June2019">'Formatted Data'!$CC$3:$CC$84</definedName>
    <definedName name="June2020">'Formatted Data'!$CO$3:$CO$84</definedName>
    <definedName name="June2021">'Formatted Data'!$DA$3:$DA$84</definedName>
    <definedName name="june21">#REF!</definedName>
    <definedName name="June22">'Formatted Data'!$DM$3:$DM$84</definedName>
    <definedName name="June22data">#REF!</definedName>
    <definedName name="junemonth13">'Formatted Data'!$I$3:$I$84</definedName>
    <definedName name="lastmonth">#REF!</definedName>
    <definedName name="March13">'Formatted Data'!$F$3:$F$84</definedName>
    <definedName name="March17">'Formatted Data'!$BB$3:$BB$84</definedName>
    <definedName name="March18">'Formatted Data'!$BN$3:$BN$84</definedName>
    <definedName name="March19">'Formatted Data'!$BZ$3:$BZ$84</definedName>
    <definedName name="March20">'Formatted Data'!$CL$3:$CL$84</definedName>
    <definedName name="March21">'Formatted Data'!$CX$3:$CX$84</definedName>
    <definedName name="March22">'Formatted Data'!$DJ$3:$DJ$84</definedName>
    <definedName name="March23">'Formatted Data'!$DV$3:$DV$84</definedName>
    <definedName name="MAYM20">#REF!</definedName>
    <definedName name="maymonth13">'Formatted Data'!$H$3:$H$84</definedName>
    <definedName name="Maymonth17">'Formatted Data'!$BD$3:$BD$84</definedName>
    <definedName name="Maymonth19">'Formatted Data'!$CB$3:$CB$84</definedName>
    <definedName name="Maymonth20">'Formatted Data'!$CN$3:$CN$84</definedName>
    <definedName name="Maymonth21">'Formatted Data'!$CZ$3:$CZ$84</definedName>
    <definedName name="Maymonth22">'Formatted Data'!$DL$3:$DL$84</definedName>
    <definedName name="Maymonth23">'Formatted Data'!$DX$3:$DX$84</definedName>
    <definedName name="November19">'Formatted Data'!$CH$3:$CH$84</definedName>
    <definedName name="november20">#REF!</definedName>
    <definedName name="November2020">'Formatted Data'!$CT$3:$CT$84</definedName>
    <definedName name="November2021">'Formatted Data'!$DF$3:$DF$84</definedName>
    <definedName name="november21">#REF!</definedName>
    <definedName name="November22">'Formatted Data'!$DR$3:$DR$84</definedName>
    <definedName name="October19">'Formatted Data'!$CG$3:$CG$84</definedName>
    <definedName name="october20">#REF!</definedName>
    <definedName name="October2020">'Formatted Data'!$CS$3:$CS$84</definedName>
    <definedName name="October2021">'Formatted Data'!$DE$3:$DE$84</definedName>
    <definedName name="october21">#REF!</definedName>
    <definedName name="October22">'Formatted Data'!$DQ$3:$DQ$84</definedName>
    <definedName name="Othercat">#REF!</definedName>
    <definedName name="RU">#REF!</definedName>
    <definedName name="Rural">#REF!</definedName>
    <definedName name="ruraltotal">'M-o-m'!#REF!</definedName>
    <definedName name="SEC">Note!#REF!</definedName>
    <definedName name="SECTOR">'Formatted Data'!$A$3:$A$84</definedName>
    <definedName name="sectors">#REF!</definedName>
    <definedName name="Sept13">'Formatted Data'!$L$3:$L$84</definedName>
    <definedName name="sept19">#REF!</definedName>
    <definedName name="Sept2021">'Formatted Data'!$DD$3:$DD$84</definedName>
    <definedName name="sept21">#REF!</definedName>
    <definedName name="Sept22">'Formatted Data'!$DP$3:$DP$84</definedName>
    <definedName name="September19">'Formatted Data'!$CF$3:$CF$84</definedName>
    <definedName name="september20">#REF!</definedName>
    <definedName name="September2020">'Formatted Data'!$CR$3:$CR$84</definedName>
    <definedName name="Subcategories">#REF!</definedName>
    <definedName name="Subcategory">'Formatted Data'!$C$3:$C$84</definedName>
    <definedName name="Urban">#REF!</definedName>
    <definedName name="urbantotal">'M-o-m'!#REF!</definedName>
    <definedName name="veg">Note!#REF!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2" i="7"/>
  <c r="I13" i="7"/>
  <c r="I11" i="7"/>
  <c r="I10" i="7"/>
  <c r="I9" i="7"/>
  <c r="I8" i="7"/>
  <c r="I7" i="7"/>
  <c r="I6" i="7"/>
  <c r="I5" i="7"/>
  <c r="I4" i="7"/>
  <c r="I3" i="7"/>
  <c r="BB3" i="8"/>
  <c r="BC3" i="8"/>
  <c r="BB4" i="8"/>
  <c r="BC4" i="8"/>
  <c r="BB5" i="8"/>
  <c r="BG4" i="8" s="1"/>
  <c r="BC5" i="8"/>
  <c r="BH4" i="8" s="1"/>
  <c r="BB6" i="8"/>
  <c r="BG5" i="8" s="1"/>
  <c r="BC6" i="8"/>
  <c r="BB7" i="8"/>
  <c r="BC7" i="8"/>
  <c r="BB8" i="8"/>
  <c r="BC8" i="8"/>
  <c r="BB9" i="8"/>
  <c r="BC9" i="8"/>
  <c r="BB10" i="8"/>
  <c r="BC10" i="8"/>
  <c r="BB11" i="8"/>
  <c r="BC11" i="8"/>
  <c r="BH10" i="8" s="1"/>
  <c r="BB12" i="8"/>
  <c r="BG11" i="8" s="1"/>
  <c r="BC12" i="8"/>
  <c r="BB13" i="8"/>
  <c r="BC13" i="8"/>
  <c r="BB14" i="8"/>
  <c r="BC14" i="8"/>
  <c r="BB15" i="8"/>
  <c r="BC15" i="8"/>
  <c r="BB16" i="8"/>
  <c r="BC16" i="8"/>
  <c r="BH15" i="8" s="1"/>
  <c r="BB17" i="8"/>
  <c r="BG16" i="8" s="1"/>
  <c r="BC17" i="8"/>
  <c r="BH16" i="8" s="1"/>
  <c r="BB18" i="8"/>
  <c r="BG17" i="8" s="1"/>
  <c r="BC18" i="8"/>
  <c r="BB19" i="8"/>
  <c r="BC19" i="8"/>
  <c r="BB20" i="8"/>
  <c r="BC20" i="8"/>
  <c r="BB21" i="8"/>
  <c r="BC21" i="8"/>
  <c r="BB22" i="8"/>
  <c r="BC22" i="8"/>
  <c r="BB23" i="8"/>
  <c r="BC23" i="8"/>
  <c r="BH22" i="8" s="1"/>
  <c r="BB24" i="8"/>
  <c r="BG23" i="8" s="1"/>
  <c r="BC24" i="8"/>
  <c r="BB25" i="8"/>
  <c r="BC25" i="8"/>
  <c r="BB26" i="8"/>
  <c r="BC26" i="8"/>
  <c r="BA26" i="8"/>
  <c r="BA25" i="8"/>
  <c r="BA24" i="8"/>
  <c r="BA23" i="8"/>
  <c r="BA22" i="8"/>
  <c r="BA21" i="8"/>
  <c r="BA20" i="8"/>
  <c r="BA19" i="8"/>
  <c r="BA18" i="8"/>
  <c r="BA17" i="8"/>
  <c r="BA16" i="8"/>
  <c r="BA15" i="8"/>
  <c r="BA14" i="8"/>
  <c r="BA13" i="8"/>
  <c r="BA12" i="8"/>
  <c r="BA11" i="8"/>
  <c r="BA10" i="8"/>
  <c r="BA9" i="8"/>
  <c r="BA8" i="8"/>
  <c r="BA7" i="8"/>
  <c r="BA6" i="8"/>
  <c r="BA5" i="8"/>
  <c r="BA4" i="8"/>
  <c r="BA3" i="8"/>
  <c r="AD17" i="8"/>
  <c r="AE17" i="8"/>
  <c r="AC17" i="8"/>
  <c r="D17" i="8"/>
  <c r="E17" i="8"/>
  <c r="CO87" i="18"/>
  <c r="AD6" i="8"/>
  <c r="AE6" i="8"/>
  <c r="AD7" i="8"/>
  <c r="AE7" i="8"/>
  <c r="AD8" i="8"/>
  <c r="AE8" i="8"/>
  <c r="AD9" i="8"/>
  <c r="AE9" i="8"/>
  <c r="AD10" i="8"/>
  <c r="AE10" i="8"/>
  <c r="AD11" i="8"/>
  <c r="AI10" i="8" s="1"/>
  <c r="AE11" i="8"/>
  <c r="AJ10" i="8" s="1"/>
  <c r="AD12" i="8"/>
  <c r="AE12" i="8"/>
  <c r="AD13" i="8"/>
  <c r="AE13" i="8"/>
  <c r="AD14" i="8"/>
  <c r="AE14" i="8"/>
  <c r="AD15" i="8"/>
  <c r="AE15" i="8"/>
  <c r="AD18" i="8"/>
  <c r="AE18" i="8"/>
  <c r="AD19" i="8"/>
  <c r="AE19" i="8"/>
  <c r="AD20" i="8"/>
  <c r="AE20" i="8"/>
  <c r="AD21" i="8"/>
  <c r="AE21" i="8"/>
  <c r="AD22" i="8"/>
  <c r="AE22" i="8"/>
  <c r="AD23" i="8"/>
  <c r="AE23" i="8"/>
  <c r="AD24" i="8"/>
  <c r="AE24" i="8"/>
  <c r="AD25" i="8"/>
  <c r="AE25" i="8"/>
  <c r="AD26" i="8"/>
  <c r="AE26" i="8"/>
  <c r="AC7" i="8"/>
  <c r="AC26" i="8"/>
  <c r="AC25" i="8"/>
  <c r="AC24" i="8"/>
  <c r="AC23" i="8"/>
  <c r="AC22" i="8"/>
  <c r="AC21" i="8"/>
  <c r="AC20" i="8"/>
  <c r="AC19" i="8"/>
  <c r="AC18" i="8"/>
  <c r="AC15" i="8"/>
  <c r="AC14" i="8"/>
  <c r="AC13" i="8"/>
  <c r="AC12" i="8"/>
  <c r="AC11" i="8"/>
  <c r="AC10" i="8"/>
  <c r="AC9" i="8"/>
  <c r="AC8" i="8"/>
  <c r="AC6" i="8"/>
  <c r="AD5" i="8"/>
  <c r="AE5" i="8"/>
  <c r="AC5" i="8"/>
  <c r="AD4" i="8"/>
  <c r="AE4" i="8"/>
  <c r="AC4" i="8"/>
  <c r="AD3" i="8"/>
  <c r="AE3" i="8"/>
  <c r="AC3" i="8"/>
  <c r="D3" i="8"/>
  <c r="E3" i="8"/>
  <c r="C3" i="8"/>
  <c r="D26" i="8"/>
  <c r="E26" i="8"/>
  <c r="C26" i="8"/>
  <c r="D25" i="8"/>
  <c r="E25" i="8"/>
  <c r="C25" i="8"/>
  <c r="D24" i="8"/>
  <c r="E24" i="8"/>
  <c r="C24" i="8"/>
  <c r="D23" i="8"/>
  <c r="E23" i="8"/>
  <c r="C23" i="8"/>
  <c r="D22" i="8"/>
  <c r="E22" i="8"/>
  <c r="C22" i="8"/>
  <c r="D21" i="8"/>
  <c r="E21" i="8"/>
  <c r="C21" i="8"/>
  <c r="D20" i="8"/>
  <c r="E20" i="8"/>
  <c r="C20" i="8"/>
  <c r="D19" i="8"/>
  <c r="E19" i="8"/>
  <c r="C19" i="8"/>
  <c r="D18" i="8"/>
  <c r="E18" i="8"/>
  <c r="C18" i="8"/>
  <c r="D15" i="8"/>
  <c r="E15" i="8"/>
  <c r="C15" i="8"/>
  <c r="D14" i="8"/>
  <c r="E14" i="8"/>
  <c r="C14" i="8"/>
  <c r="D13" i="8"/>
  <c r="E13" i="8"/>
  <c r="C13" i="8"/>
  <c r="D12" i="8"/>
  <c r="E12" i="8"/>
  <c r="C12" i="8"/>
  <c r="I12" i="8" s="1"/>
  <c r="D11" i="8"/>
  <c r="E11" i="8"/>
  <c r="C11" i="8"/>
  <c r="D10" i="8"/>
  <c r="E10" i="8"/>
  <c r="C10" i="8"/>
  <c r="D9" i="8"/>
  <c r="E9" i="8"/>
  <c r="C9" i="8"/>
  <c r="D8" i="8"/>
  <c r="E8" i="8"/>
  <c r="C8" i="8"/>
  <c r="D7" i="8"/>
  <c r="E7" i="8"/>
  <c r="C7" i="8"/>
  <c r="C6" i="8"/>
  <c r="D6" i="8"/>
  <c r="E6" i="8"/>
  <c r="D5" i="8"/>
  <c r="E5" i="8"/>
  <c r="C5" i="8"/>
  <c r="D4" i="8"/>
  <c r="E4" i="8"/>
  <c r="J26" i="5"/>
  <c r="J27" i="5"/>
  <c r="J28" i="5"/>
  <c r="J29" i="5"/>
  <c r="J30" i="5"/>
  <c r="J31" i="5"/>
  <c r="J32" i="5"/>
  <c r="J33" i="5"/>
  <c r="J34" i="5"/>
  <c r="J35" i="5"/>
  <c r="J36" i="5"/>
  <c r="J37" i="5"/>
  <c r="J25" i="5"/>
  <c r="I26" i="5"/>
  <c r="I27" i="5"/>
  <c r="I28" i="5"/>
  <c r="I29" i="5"/>
  <c r="I30" i="5"/>
  <c r="I31" i="5"/>
  <c r="I32" i="5"/>
  <c r="I33" i="5"/>
  <c r="I34" i="5"/>
  <c r="I35" i="5"/>
  <c r="I36" i="5"/>
  <c r="I37" i="5"/>
  <c r="I25" i="5"/>
  <c r="G26" i="5"/>
  <c r="G27" i="5"/>
  <c r="G28" i="5"/>
  <c r="G29" i="5"/>
  <c r="G30" i="5"/>
  <c r="G31" i="5"/>
  <c r="G32" i="5"/>
  <c r="G33" i="5"/>
  <c r="G34" i="5"/>
  <c r="G35" i="5"/>
  <c r="G36" i="5"/>
  <c r="G37" i="5"/>
  <c r="G25" i="5"/>
  <c r="F26" i="5"/>
  <c r="F27" i="5"/>
  <c r="F28" i="5"/>
  <c r="F29" i="5"/>
  <c r="F30" i="5"/>
  <c r="F31" i="5"/>
  <c r="F32" i="5"/>
  <c r="F33" i="5"/>
  <c r="F34" i="5"/>
  <c r="F35" i="5"/>
  <c r="F36" i="5"/>
  <c r="F37" i="5"/>
  <c r="F25" i="5"/>
  <c r="D26" i="5"/>
  <c r="D27" i="5"/>
  <c r="D28" i="5"/>
  <c r="D29" i="5"/>
  <c r="D30" i="5"/>
  <c r="D31" i="5"/>
  <c r="D32" i="5"/>
  <c r="D33" i="5"/>
  <c r="D34" i="5"/>
  <c r="D35" i="5"/>
  <c r="D36" i="5"/>
  <c r="D37" i="5"/>
  <c r="D25" i="5"/>
  <c r="C26" i="5"/>
  <c r="C27" i="5"/>
  <c r="C28" i="5"/>
  <c r="C29" i="5"/>
  <c r="C30" i="5"/>
  <c r="C31" i="5"/>
  <c r="C32" i="5"/>
  <c r="C33" i="5"/>
  <c r="C34" i="5"/>
  <c r="C35" i="5"/>
  <c r="C36" i="5"/>
  <c r="C37" i="5"/>
  <c r="C25" i="5"/>
  <c r="C17" i="5"/>
  <c r="D17" i="5"/>
  <c r="B17" i="5"/>
  <c r="C16" i="5"/>
  <c r="D16" i="5"/>
  <c r="B16" i="5"/>
  <c r="C15" i="5"/>
  <c r="D15" i="5"/>
  <c r="B15" i="5"/>
  <c r="C14" i="5"/>
  <c r="D14" i="5"/>
  <c r="B14" i="5"/>
  <c r="C13" i="5"/>
  <c r="D13" i="5"/>
  <c r="B13" i="5"/>
  <c r="C12" i="5"/>
  <c r="D12" i="5"/>
  <c r="B12" i="5"/>
  <c r="C11" i="5"/>
  <c r="D11" i="5"/>
  <c r="B11" i="5"/>
  <c r="B10" i="5"/>
  <c r="C9" i="5"/>
  <c r="D9" i="5"/>
  <c r="B9" i="5"/>
  <c r="C8" i="5"/>
  <c r="D8" i="5"/>
  <c r="B8" i="5"/>
  <c r="C7" i="5"/>
  <c r="D7" i="5"/>
  <c r="B7" i="5"/>
  <c r="C10" i="5"/>
  <c r="D10" i="5"/>
  <c r="C6" i="5"/>
  <c r="D6" i="5"/>
  <c r="B6" i="5"/>
  <c r="M37" i="4"/>
  <c r="L37" i="4"/>
  <c r="K37" i="4"/>
  <c r="J37" i="4"/>
  <c r="I37" i="4"/>
  <c r="H37" i="4"/>
  <c r="G37" i="4"/>
  <c r="F37" i="4"/>
  <c r="F38" i="4" s="1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4" i="4"/>
  <c r="L34" i="4"/>
  <c r="K34" i="4"/>
  <c r="J34" i="4"/>
  <c r="I34" i="4"/>
  <c r="H34" i="4"/>
  <c r="G34" i="4"/>
  <c r="F34" i="4"/>
  <c r="M33" i="4"/>
  <c r="L33" i="4"/>
  <c r="K33" i="4"/>
  <c r="J33" i="4"/>
  <c r="I33" i="4"/>
  <c r="H33" i="4"/>
  <c r="G33" i="4"/>
  <c r="F33" i="4"/>
  <c r="M32" i="4"/>
  <c r="L32" i="4"/>
  <c r="K32" i="4"/>
  <c r="J32" i="4"/>
  <c r="I32" i="4"/>
  <c r="H32" i="4"/>
  <c r="G32" i="4"/>
  <c r="F32" i="4"/>
  <c r="M31" i="4"/>
  <c r="L31" i="4"/>
  <c r="K31" i="4"/>
  <c r="J31" i="4"/>
  <c r="I31" i="4"/>
  <c r="H31" i="4"/>
  <c r="G31" i="4"/>
  <c r="F31" i="4"/>
  <c r="M30" i="4"/>
  <c r="L30" i="4"/>
  <c r="K30" i="4"/>
  <c r="J30" i="4"/>
  <c r="I30" i="4"/>
  <c r="H30" i="4"/>
  <c r="G30" i="4"/>
  <c r="F30" i="4"/>
  <c r="M29" i="4"/>
  <c r="L29" i="4"/>
  <c r="K29" i="4"/>
  <c r="J29" i="4"/>
  <c r="I29" i="4"/>
  <c r="H29" i="4"/>
  <c r="G29" i="4"/>
  <c r="F29" i="4"/>
  <c r="E37" i="4"/>
  <c r="E38" i="4" s="1"/>
  <c r="E36" i="4"/>
  <c r="E35" i="4"/>
  <c r="E34" i="4"/>
  <c r="E33" i="4"/>
  <c r="E32" i="4"/>
  <c r="E31" i="4"/>
  <c r="E30" i="4"/>
  <c r="E29" i="4"/>
  <c r="F28" i="4"/>
  <c r="G28" i="4"/>
  <c r="H28" i="4"/>
  <c r="I28" i="4"/>
  <c r="J28" i="4"/>
  <c r="K28" i="4"/>
  <c r="L28" i="4"/>
  <c r="M28" i="4"/>
  <c r="E28" i="4"/>
  <c r="F27" i="4"/>
  <c r="G27" i="4"/>
  <c r="H27" i="4"/>
  <c r="I27" i="4"/>
  <c r="J27" i="4"/>
  <c r="K27" i="4"/>
  <c r="L27" i="4"/>
  <c r="M27" i="4"/>
  <c r="E27" i="4"/>
  <c r="E26" i="4"/>
  <c r="F26" i="4"/>
  <c r="G26" i="4"/>
  <c r="H26" i="4"/>
  <c r="I26" i="4"/>
  <c r="I38" i="4" s="1"/>
  <c r="J26" i="4"/>
  <c r="J38" i="4" s="1"/>
  <c r="K26" i="4"/>
  <c r="L26" i="4"/>
  <c r="M26" i="4"/>
  <c r="G10" i="4"/>
  <c r="G11" i="4"/>
  <c r="G12" i="4"/>
  <c r="G13" i="4"/>
  <c r="G14" i="4"/>
  <c r="G9" i="4"/>
  <c r="E10" i="4"/>
  <c r="E11" i="4"/>
  <c r="E12" i="4"/>
  <c r="E13" i="4"/>
  <c r="E14" i="4"/>
  <c r="E9" i="4"/>
  <c r="D4" i="3"/>
  <c r="E4" i="3"/>
  <c r="F4" i="3"/>
  <c r="D5" i="3"/>
  <c r="E5" i="3"/>
  <c r="F5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E3" i="3"/>
  <c r="F3" i="3"/>
  <c r="D3" i="3"/>
  <c r="D3" i="18"/>
  <c r="DY6" i="18"/>
  <c r="DY7" i="18"/>
  <c r="DY8" i="18"/>
  <c r="DY9" i="18"/>
  <c r="DY10" i="18"/>
  <c r="DY11" i="18"/>
  <c r="DY12" i="18"/>
  <c r="DY13" i="18"/>
  <c r="DY14" i="18"/>
  <c r="DY16" i="18"/>
  <c r="DY22" i="18"/>
  <c r="DY24" i="18"/>
  <c r="DY31" i="18"/>
  <c r="DY33" i="18"/>
  <c r="DY34" i="18"/>
  <c r="DY35" i="18"/>
  <c r="DY36" i="18"/>
  <c r="DY37" i="18"/>
  <c r="DY38" i="18"/>
  <c r="DY39" i="18"/>
  <c r="DY40" i="18"/>
  <c r="DY41" i="18"/>
  <c r="DY43" i="18"/>
  <c r="DY48" i="18"/>
  <c r="DY49" i="18"/>
  <c r="DY51" i="18"/>
  <c r="DY58" i="18"/>
  <c r="DY60" i="18"/>
  <c r="DY61" i="18"/>
  <c r="DY62" i="18"/>
  <c r="DY63" i="18"/>
  <c r="DY64" i="18"/>
  <c r="DY65" i="18"/>
  <c r="DY66" i="18"/>
  <c r="DY67" i="18"/>
  <c r="DY68" i="18"/>
  <c r="DY70" i="18"/>
  <c r="DY75" i="18"/>
  <c r="DY76" i="18"/>
  <c r="DY78" i="18"/>
  <c r="DY79" i="18"/>
  <c r="CN4" i="18"/>
  <c r="CM84" i="18"/>
  <c r="DY84" i="18" s="1"/>
  <c r="CM83" i="18"/>
  <c r="DY83" i="18" s="1"/>
  <c r="CM82" i="18"/>
  <c r="DY82" i="18" s="1"/>
  <c r="CM81" i="18"/>
  <c r="DY81" i="18" s="1"/>
  <c r="CM80" i="18"/>
  <c r="DY80" i="18" s="1"/>
  <c r="CM79" i="18"/>
  <c r="CM77" i="18"/>
  <c r="DY77" i="18" s="1"/>
  <c r="CM74" i="18"/>
  <c r="DY74" i="18" s="1"/>
  <c r="CM73" i="18"/>
  <c r="DY73" i="18" s="1"/>
  <c r="CM72" i="18"/>
  <c r="DY72" i="18" s="1"/>
  <c r="CM71" i="18"/>
  <c r="DY71" i="18" s="1"/>
  <c r="CM69" i="18"/>
  <c r="DY69" i="18" s="1"/>
  <c r="CM59" i="18"/>
  <c r="DY59" i="18" s="1"/>
  <c r="CM57" i="18"/>
  <c r="DY57" i="18" s="1"/>
  <c r="CM56" i="18"/>
  <c r="DY56" i="18" s="1"/>
  <c r="CM55" i="18"/>
  <c r="DY55" i="18" s="1"/>
  <c r="CM54" i="18"/>
  <c r="DY54" i="18" s="1"/>
  <c r="CM53" i="18"/>
  <c r="DY53" i="18" s="1"/>
  <c r="CM52" i="18"/>
  <c r="DY52" i="18" s="1"/>
  <c r="CM50" i="18"/>
  <c r="DY50" i="18" s="1"/>
  <c r="CM47" i="18"/>
  <c r="DY47" i="18" s="1"/>
  <c r="CM46" i="18"/>
  <c r="DY46" i="18" s="1"/>
  <c r="CM45" i="18"/>
  <c r="DY45" i="18" s="1"/>
  <c r="CM44" i="18"/>
  <c r="DY44" i="18" s="1"/>
  <c r="CM42" i="18"/>
  <c r="DY42" i="18" s="1"/>
  <c r="CM32" i="18"/>
  <c r="DY32" i="18" s="1"/>
  <c r="CM30" i="18"/>
  <c r="DY30" i="18" s="1"/>
  <c r="CM29" i="18"/>
  <c r="DY29" i="18" s="1"/>
  <c r="CM28" i="18"/>
  <c r="DY28" i="18" s="1"/>
  <c r="CM27" i="18"/>
  <c r="DY27" i="18" s="1"/>
  <c r="CM26" i="18"/>
  <c r="DY26" i="18" s="1"/>
  <c r="CM25" i="18"/>
  <c r="DY25" i="18" s="1"/>
  <c r="CM23" i="18"/>
  <c r="DY23" i="18" s="1"/>
  <c r="CM20" i="18"/>
  <c r="DY20" i="18" s="1"/>
  <c r="CM19" i="18"/>
  <c r="DY19" i="18" s="1"/>
  <c r="CM18" i="18"/>
  <c r="DY18" i="18" s="1"/>
  <c r="CM17" i="18"/>
  <c r="DY17" i="18" s="1"/>
  <c r="CM15" i="18"/>
  <c r="DY15" i="18" s="1"/>
  <c r="CM5" i="18"/>
  <c r="DY5" i="18" s="1"/>
  <c r="CA4" i="18"/>
  <c r="C4" i="8" s="1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BF21" i="18"/>
  <c r="BG21" i="18"/>
  <c r="BH21" i="18"/>
  <c r="BI21" i="18"/>
  <c r="BJ21" i="18"/>
  <c r="BK21" i="18"/>
  <c r="BL21" i="18"/>
  <c r="BM21" i="18"/>
  <c r="BN21" i="18"/>
  <c r="BO21" i="18"/>
  <c r="BP21" i="18"/>
  <c r="BQ21" i="18"/>
  <c r="BR21" i="18"/>
  <c r="BS21" i="18"/>
  <c r="BT21" i="18"/>
  <c r="BU21" i="18"/>
  <c r="BV21" i="18"/>
  <c r="BW21" i="18"/>
  <c r="BX21" i="18"/>
  <c r="BY21" i="18"/>
  <c r="BZ21" i="18"/>
  <c r="CB21" i="18"/>
  <c r="CC21" i="18"/>
  <c r="CD21" i="18"/>
  <c r="CE21" i="18"/>
  <c r="CF21" i="18"/>
  <c r="CG21" i="18"/>
  <c r="CH21" i="18"/>
  <c r="CI21" i="18"/>
  <c r="CJ21" i="18"/>
  <c r="CK21" i="18"/>
  <c r="CL21" i="18"/>
  <c r="CM21" i="18"/>
  <c r="CO21" i="18"/>
  <c r="CP21" i="18"/>
  <c r="CQ21" i="18"/>
  <c r="CR21" i="18"/>
  <c r="CS21" i="18"/>
  <c r="CT21" i="18"/>
  <c r="CU21" i="18"/>
  <c r="CV21" i="18"/>
  <c r="CW21" i="18"/>
  <c r="CX21" i="18"/>
  <c r="CY21" i="18"/>
  <c r="CZ21" i="18"/>
  <c r="DA21" i="18"/>
  <c r="DB21" i="18"/>
  <c r="DC21" i="18"/>
  <c r="DD21" i="18"/>
  <c r="DE21" i="18"/>
  <c r="DF21" i="18"/>
  <c r="DG21" i="18"/>
  <c r="DH21" i="18"/>
  <c r="DI21" i="18"/>
  <c r="DJ21" i="18"/>
  <c r="DK21" i="18"/>
  <c r="DL21" i="18"/>
  <c r="DM21" i="18"/>
  <c r="DN21" i="18"/>
  <c r="DO21" i="18"/>
  <c r="DP21" i="18"/>
  <c r="DQ21" i="18"/>
  <c r="DR21" i="18"/>
  <c r="DS21" i="18"/>
  <c r="DT21" i="18"/>
  <c r="DU21" i="18"/>
  <c r="DV21" i="18"/>
  <c r="DW21" i="18"/>
  <c r="DX21" i="18"/>
  <c r="D6" i="3" s="1"/>
  <c r="D21" i="18"/>
  <c r="E374" i="17"/>
  <c r="F374" i="17"/>
  <c r="G374" i="17"/>
  <c r="H374" i="17"/>
  <c r="I374" i="17"/>
  <c r="J374" i="17"/>
  <c r="K374" i="17"/>
  <c r="L374" i="17"/>
  <c r="M374" i="17"/>
  <c r="N374" i="17"/>
  <c r="O374" i="17"/>
  <c r="P374" i="17"/>
  <c r="Q374" i="17"/>
  <c r="R374" i="17"/>
  <c r="S374" i="17"/>
  <c r="T374" i="17"/>
  <c r="U374" i="17"/>
  <c r="V374" i="17"/>
  <c r="W374" i="17"/>
  <c r="X374" i="17"/>
  <c r="Y374" i="17"/>
  <c r="Z374" i="17"/>
  <c r="AA374" i="17"/>
  <c r="AB374" i="17"/>
  <c r="AC374" i="17"/>
  <c r="AD374" i="17"/>
  <c r="D374" i="17"/>
  <c r="BF22" i="8" l="1"/>
  <c r="BF15" i="8"/>
  <c r="BH24" i="8"/>
  <c r="BH18" i="8"/>
  <c r="BH12" i="8"/>
  <c r="BH6" i="8"/>
  <c r="BF10" i="8"/>
  <c r="BF13" i="8"/>
  <c r="BF25" i="8"/>
  <c r="BG25" i="8"/>
  <c r="BG19" i="8"/>
  <c r="BG13" i="8"/>
  <c r="BG7" i="8"/>
  <c r="AI12" i="8"/>
  <c r="BG24" i="8"/>
  <c r="BG18" i="8"/>
  <c r="BG12" i="8"/>
  <c r="BG6" i="8"/>
  <c r="AJ11" i="8"/>
  <c r="BF6" i="8"/>
  <c r="BH23" i="8"/>
  <c r="BH17" i="8"/>
  <c r="BH11" i="8"/>
  <c r="BH5" i="8"/>
  <c r="BF7" i="8"/>
  <c r="BF18" i="8"/>
  <c r="BF19" i="8"/>
  <c r="BG20" i="8"/>
  <c r="BG14" i="8"/>
  <c r="BG8" i="8"/>
  <c r="BF3" i="8"/>
  <c r="BH25" i="8"/>
  <c r="BH19" i="8"/>
  <c r="BH13" i="8"/>
  <c r="BH7" i="8"/>
  <c r="BF14" i="8"/>
  <c r="BF4" i="8"/>
  <c r="BF5" i="8"/>
  <c r="BF20" i="8"/>
  <c r="BF21" i="8"/>
  <c r="BF11" i="8"/>
  <c r="BF23" i="8"/>
  <c r="BG22" i="8"/>
  <c r="BG15" i="8"/>
  <c r="BG9" i="8"/>
  <c r="BG3" i="8"/>
  <c r="BF16" i="8"/>
  <c r="BF17" i="8"/>
  <c r="BF8" i="8"/>
  <c r="BF9" i="8"/>
  <c r="BF12" i="8"/>
  <c r="BF24" i="8"/>
  <c r="BH20" i="8"/>
  <c r="BH14" i="8"/>
  <c r="BH8" i="8"/>
  <c r="BH3" i="8"/>
  <c r="DY4" i="18"/>
  <c r="BG10" i="8"/>
  <c r="K38" i="4"/>
  <c r="BH9" i="8"/>
  <c r="BG21" i="8"/>
  <c r="G38" i="4"/>
  <c r="BH21" i="8"/>
  <c r="AJ17" i="8"/>
  <c r="L38" i="4"/>
  <c r="C17" i="8"/>
  <c r="I17" i="8" s="1"/>
  <c r="AI11" i="8"/>
  <c r="AI21" i="8"/>
  <c r="AJ3" i="8"/>
  <c r="AJ20" i="8"/>
  <c r="AI17" i="8"/>
  <c r="AI22" i="8"/>
  <c r="AI14" i="8"/>
  <c r="AH25" i="8"/>
  <c r="AH24" i="8"/>
  <c r="AJ21" i="8"/>
  <c r="AJ13" i="8"/>
  <c r="AH7" i="8"/>
  <c r="AJ22" i="8"/>
  <c r="AJ14" i="8"/>
  <c r="AH14" i="8"/>
  <c r="AJ7" i="8"/>
  <c r="AH13" i="8"/>
  <c r="AH3" i="8"/>
  <c r="AI20" i="8"/>
  <c r="AJ25" i="8"/>
  <c r="AJ4" i="8"/>
  <c r="AI4" i="8"/>
  <c r="AJ23" i="8"/>
  <c r="AJ9" i="8"/>
  <c r="AI8" i="8"/>
  <c r="AI7" i="8"/>
  <c r="AI3" i="8"/>
  <c r="AH4" i="8"/>
  <c r="AJ19" i="8"/>
  <c r="AI23" i="8"/>
  <c r="AI9" i="8"/>
  <c r="AH17" i="8"/>
  <c r="M38" i="4"/>
  <c r="AJ5" i="8"/>
  <c r="AI25" i="8"/>
  <c r="AI19" i="8"/>
  <c r="AI5" i="8"/>
  <c r="AH9" i="8"/>
  <c r="H38" i="4"/>
  <c r="AH10" i="8"/>
  <c r="C16" i="8"/>
  <c r="AH12" i="8"/>
  <c r="AH18" i="8"/>
  <c r="AH5" i="8"/>
  <c r="AH19" i="8"/>
  <c r="AH20" i="8"/>
  <c r="AH8" i="8"/>
  <c r="AH21" i="8"/>
  <c r="AH22" i="8"/>
  <c r="AJ8" i="8"/>
  <c r="J4" i="8"/>
  <c r="AH6" i="8"/>
  <c r="E16" i="8"/>
  <c r="K15" i="8" s="1"/>
  <c r="D16" i="8"/>
  <c r="J15" i="8" s="1"/>
  <c r="AE16" i="8"/>
  <c r="AJ15" i="8" s="1"/>
  <c r="AI13" i="8"/>
  <c r="AD16" i="8"/>
  <c r="AI15" i="8" s="1"/>
  <c r="AH23" i="8"/>
  <c r="AH11" i="8"/>
  <c r="AJ24" i="8"/>
  <c r="AJ18" i="8"/>
  <c r="AJ12" i="8"/>
  <c r="AJ6" i="8"/>
  <c r="AI24" i="8"/>
  <c r="AI18" i="8"/>
  <c r="AI6" i="8"/>
  <c r="AC16" i="8"/>
  <c r="K9" i="8"/>
  <c r="K21" i="8"/>
  <c r="J9" i="8"/>
  <c r="J25" i="8"/>
  <c r="J21" i="8"/>
  <c r="K3" i="8"/>
  <c r="J12" i="8"/>
  <c r="I25" i="8"/>
  <c r="K13" i="8"/>
  <c r="K25" i="8"/>
  <c r="J13" i="8"/>
  <c r="J3" i="8"/>
  <c r="I10" i="8"/>
  <c r="K14" i="8"/>
  <c r="J10" i="8"/>
  <c r="J18" i="8"/>
  <c r="I3" i="8"/>
  <c r="I5" i="8"/>
  <c r="I13" i="8"/>
  <c r="I6" i="8"/>
  <c r="I22" i="8"/>
  <c r="K10" i="8"/>
  <c r="K22" i="8"/>
  <c r="J14" i="8"/>
  <c r="I23" i="8"/>
  <c r="K12" i="8"/>
  <c r="K24" i="8"/>
  <c r="I18" i="8"/>
  <c r="K6" i="8"/>
  <c r="K18" i="8"/>
  <c r="J6" i="8"/>
  <c r="J22" i="8"/>
  <c r="I7" i="8"/>
  <c r="I19" i="8"/>
  <c r="J24" i="8"/>
  <c r="K19" i="8"/>
  <c r="J7" i="8"/>
  <c r="K20" i="8"/>
  <c r="J20" i="8"/>
  <c r="I4" i="8"/>
  <c r="K7" i="8"/>
  <c r="J19" i="8"/>
  <c r="I8" i="8"/>
  <c r="K5" i="8"/>
  <c r="I9" i="8"/>
  <c r="I21" i="8"/>
  <c r="K8" i="8"/>
  <c r="J8" i="8"/>
  <c r="J5" i="8"/>
  <c r="K17" i="8"/>
  <c r="K23" i="8"/>
  <c r="J11" i="8"/>
  <c r="I20" i="8"/>
  <c r="J17" i="8"/>
  <c r="K11" i="8"/>
  <c r="J23" i="8"/>
  <c r="K4" i="8"/>
  <c r="I14" i="8"/>
  <c r="I24" i="8"/>
  <c r="I11" i="8"/>
  <c r="DY21" i="18"/>
  <c r="I16" i="8" l="1"/>
  <c r="K16" i="8"/>
  <c r="J16" i="8"/>
  <c r="I15" i="8"/>
  <c r="AH16" i="8"/>
  <c r="AH15" i="8"/>
  <c r="AI16" i="8"/>
  <c r="AJ16" i="8"/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3" i="7"/>
  <c r="AM3" i="7" l="1"/>
  <c r="AO3" i="7"/>
  <c r="AP3" i="7"/>
  <c r="AQ3" i="7"/>
  <c r="AR3" i="7"/>
  <c r="AS3" i="7"/>
  <c r="AT3" i="7"/>
  <c r="BL6" i="7"/>
  <c r="BL7" i="7"/>
  <c r="BL8" i="7"/>
  <c r="BL9" i="7"/>
  <c r="BL10" i="7"/>
  <c r="BL11" i="7"/>
  <c r="BL12" i="7"/>
  <c r="BL13" i="7"/>
  <c r="BL14" i="7"/>
  <c r="BL18" i="7"/>
  <c r="BL19" i="7"/>
  <c r="BL20" i="7"/>
  <c r="BL21" i="7"/>
  <c r="BL22" i="7"/>
  <c r="BL23" i="7"/>
  <c r="BL24" i="7"/>
  <c r="BL25" i="7"/>
  <c r="BL26" i="7"/>
  <c r="BL27" i="7"/>
  <c r="BL28" i="7"/>
  <c r="BL29" i="7"/>
  <c r="BL30" i="7"/>
  <c r="BL31" i="7"/>
  <c r="BL32" i="7"/>
  <c r="BL33" i="7"/>
  <c r="BL34" i="7"/>
  <c r="BL35" i="7"/>
  <c r="BL36" i="7"/>
  <c r="BL37" i="7"/>
  <c r="BL38" i="7"/>
  <c r="BK6" i="7"/>
  <c r="BK7" i="7"/>
  <c r="BK8" i="7"/>
  <c r="BK9" i="7"/>
  <c r="BK10" i="7"/>
  <c r="BK11" i="7"/>
  <c r="BK12" i="7"/>
  <c r="BK13" i="7"/>
  <c r="BK14" i="7"/>
  <c r="BK18" i="7"/>
  <c r="BK19" i="7"/>
  <c r="BK20" i="7"/>
  <c r="BK21" i="7"/>
  <c r="BK22" i="7"/>
  <c r="BK23" i="7"/>
  <c r="BK24" i="7"/>
  <c r="BK25" i="7"/>
  <c r="BK26" i="7"/>
  <c r="BK27" i="7"/>
  <c r="BK28" i="7"/>
  <c r="BK29" i="7"/>
  <c r="BK30" i="7"/>
  <c r="BK31" i="7"/>
  <c r="BK32" i="7"/>
  <c r="BK33" i="7"/>
  <c r="BK34" i="7"/>
  <c r="BK35" i="7"/>
  <c r="BK36" i="7"/>
  <c r="BK37" i="7"/>
  <c r="BK38" i="7"/>
  <c r="BJ6" i="7"/>
  <c r="BJ7" i="7"/>
  <c r="BJ8" i="7"/>
  <c r="BJ9" i="7"/>
  <c r="BJ10" i="7"/>
  <c r="BJ11" i="7"/>
  <c r="BJ12" i="7"/>
  <c r="BJ13" i="7"/>
  <c r="BJ14" i="7"/>
  <c r="BJ18" i="7"/>
  <c r="BJ19" i="7"/>
  <c r="BJ20" i="7"/>
  <c r="BJ21" i="7"/>
  <c r="BJ22" i="7"/>
  <c r="BJ23" i="7"/>
  <c r="BJ24" i="7"/>
  <c r="BJ25" i="7"/>
  <c r="BJ26" i="7"/>
  <c r="BJ27" i="7"/>
  <c r="BJ28" i="7"/>
  <c r="BJ29" i="7"/>
  <c r="BJ30" i="7"/>
  <c r="BJ31" i="7"/>
  <c r="BJ32" i="7"/>
  <c r="BJ33" i="7"/>
  <c r="BJ34" i="7"/>
  <c r="BJ35" i="7"/>
  <c r="BJ36" i="7"/>
  <c r="BJ37" i="7"/>
  <c r="BJ38" i="7"/>
  <c r="BI6" i="7"/>
  <c r="BI7" i="7"/>
  <c r="BI8" i="7"/>
  <c r="BI9" i="7"/>
  <c r="BI10" i="7"/>
  <c r="BI11" i="7"/>
  <c r="BI12" i="7"/>
  <c r="BI13" i="7"/>
  <c r="BI14" i="7"/>
  <c r="BI18" i="7"/>
  <c r="BI19" i="7"/>
  <c r="BI20" i="7"/>
  <c r="BI21" i="7"/>
  <c r="BI22" i="7"/>
  <c r="BI23" i="7"/>
  <c r="BI24" i="7"/>
  <c r="BI25" i="7"/>
  <c r="BI26" i="7"/>
  <c r="BI27" i="7"/>
  <c r="BI28" i="7"/>
  <c r="BI29" i="7"/>
  <c r="BI30" i="7"/>
  <c r="BI31" i="7"/>
  <c r="BI32" i="7"/>
  <c r="BI33" i="7"/>
  <c r="BI34" i="7"/>
  <c r="BI35" i="7"/>
  <c r="BI36" i="7"/>
  <c r="BI37" i="7"/>
  <c r="BI38" i="7"/>
  <c r="BH6" i="7"/>
  <c r="BH7" i="7"/>
  <c r="BH8" i="7"/>
  <c r="BH9" i="7"/>
  <c r="BH10" i="7"/>
  <c r="BH11" i="7"/>
  <c r="BH12" i="7"/>
  <c r="BH13" i="7"/>
  <c r="BH14" i="7"/>
  <c r="BH18" i="7"/>
  <c r="BH19" i="7"/>
  <c r="BH20" i="7"/>
  <c r="BH21" i="7"/>
  <c r="BH22" i="7"/>
  <c r="BH23" i="7"/>
  <c r="BH24" i="7"/>
  <c r="BH25" i="7"/>
  <c r="BH26" i="7"/>
  <c r="BH27" i="7"/>
  <c r="BH28" i="7"/>
  <c r="BH29" i="7"/>
  <c r="BH30" i="7"/>
  <c r="BH31" i="7"/>
  <c r="BH32" i="7"/>
  <c r="BH33" i="7"/>
  <c r="BH34" i="7"/>
  <c r="BH35" i="7"/>
  <c r="BH36" i="7"/>
  <c r="BH37" i="7"/>
  <c r="BH38" i="7"/>
  <c r="BG6" i="7"/>
  <c r="BG7" i="7"/>
  <c r="BG8" i="7"/>
  <c r="BG9" i="7"/>
  <c r="BG10" i="7"/>
  <c r="BG11" i="7"/>
  <c r="BG12" i="7"/>
  <c r="BG13" i="7"/>
  <c r="BG14" i="7"/>
  <c r="BG18" i="7"/>
  <c r="BG19" i="7"/>
  <c r="BG20" i="7"/>
  <c r="BG21" i="7"/>
  <c r="BG22" i="7"/>
  <c r="BG23" i="7"/>
  <c r="BG24" i="7"/>
  <c r="BG25" i="7"/>
  <c r="BG26" i="7"/>
  <c r="BG27" i="7"/>
  <c r="BG28" i="7"/>
  <c r="BG29" i="7"/>
  <c r="BG30" i="7"/>
  <c r="BG31" i="7"/>
  <c r="BG32" i="7"/>
  <c r="BG33" i="7"/>
  <c r="BG34" i="7"/>
  <c r="BG35" i="7"/>
  <c r="BG36" i="7"/>
  <c r="BG37" i="7"/>
  <c r="BG38" i="7"/>
  <c r="BF6" i="7"/>
  <c r="BF7" i="7"/>
  <c r="BF8" i="7"/>
  <c r="BF9" i="7"/>
  <c r="BF10" i="7"/>
  <c r="BF11" i="7"/>
  <c r="BF12" i="7"/>
  <c r="BF13" i="7"/>
  <c r="BF14" i="7"/>
  <c r="BF18" i="7"/>
  <c r="BF19" i="7"/>
  <c r="BF20" i="7"/>
  <c r="BF21" i="7"/>
  <c r="BF22" i="7"/>
  <c r="BF23" i="7"/>
  <c r="BF24" i="7"/>
  <c r="BF25" i="7"/>
  <c r="BF26" i="7"/>
  <c r="BF27" i="7"/>
  <c r="BF28" i="7"/>
  <c r="BF29" i="7"/>
  <c r="BF30" i="7"/>
  <c r="BF31" i="7"/>
  <c r="BF32" i="7"/>
  <c r="BF33" i="7"/>
  <c r="BF34" i="7"/>
  <c r="BF35" i="7"/>
  <c r="BF36" i="7"/>
  <c r="BF37" i="7"/>
  <c r="BF38" i="7"/>
  <c r="BE6" i="7"/>
  <c r="BE7" i="7"/>
  <c r="BE8" i="7"/>
  <c r="BE9" i="7"/>
  <c r="BE10" i="7"/>
  <c r="BE11" i="7"/>
  <c r="BE12" i="7"/>
  <c r="BE13" i="7"/>
  <c r="BE14" i="7"/>
  <c r="BE18" i="7"/>
  <c r="BE19" i="7"/>
  <c r="BE20" i="7"/>
  <c r="BE21" i="7"/>
  <c r="BE22" i="7"/>
  <c r="BE23" i="7"/>
  <c r="BE24" i="7"/>
  <c r="BE25" i="7"/>
  <c r="BE26" i="7"/>
  <c r="BE27" i="7"/>
  <c r="BE28" i="7"/>
  <c r="BE29" i="7"/>
  <c r="BE30" i="7"/>
  <c r="BE31" i="7"/>
  <c r="BE32" i="7"/>
  <c r="BE33" i="7"/>
  <c r="BE34" i="7"/>
  <c r="BE35" i="7"/>
  <c r="BE36" i="7"/>
  <c r="BE37" i="7"/>
  <c r="BE38" i="7"/>
  <c r="BD6" i="7"/>
  <c r="BD7" i="7"/>
  <c r="BD8" i="7"/>
  <c r="BD9" i="7"/>
  <c r="BD10" i="7"/>
  <c r="BD11" i="7"/>
  <c r="BD12" i="7"/>
  <c r="BD13" i="7"/>
  <c r="BD14" i="7"/>
  <c r="BD18" i="7"/>
  <c r="BD19" i="7"/>
  <c r="BD20" i="7"/>
  <c r="BD21" i="7"/>
  <c r="BD22" i="7"/>
  <c r="BD23" i="7"/>
  <c r="BD24" i="7"/>
  <c r="BD25" i="7"/>
  <c r="BD26" i="7"/>
  <c r="BD27" i="7"/>
  <c r="BD28" i="7"/>
  <c r="BD29" i="7"/>
  <c r="BD30" i="7"/>
  <c r="BD31" i="7"/>
  <c r="BD32" i="7"/>
  <c r="BD33" i="7"/>
  <c r="BD34" i="7"/>
  <c r="BD35" i="7"/>
  <c r="BD36" i="7"/>
  <c r="BD37" i="7"/>
  <c r="BD38" i="7"/>
  <c r="BC6" i="7"/>
  <c r="BC7" i="7"/>
  <c r="BC8" i="7"/>
  <c r="BC9" i="7"/>
  <c r="BC10" i="7"/>
  <c r="BC11" i="7"/>
  <c r="BC12" i="7"/>
  <c r="BC13" i="7"/>
  <c r="BC14" i="7"/>
  <c r="BC18" i="7"/>
  <c r="BC19" i="7"/>
  <c r="BC20" i="7"/>
  <c r="BC21" i="7"/>
  <c r="BC22" i="7"/>
  <c r="BC23" i="7"/>
  <c r="BC24" i="7"/>
  <c r="BC25" i="7"/>
  <c r="BC26" i="7"/>
  <c r="BC27" i="7"/>
  <c r="BC28" i="7"/>
  <c r="BC29" i="7"/>
  <c r="BC30" i="7"/>
  <c r="BC31" i="7"/>
  <c r="BC32" i="7"/>
  <c r="BC33" i="7"/>
  <c r="BC34" i="7"/>
  <c r="BC35" i="7"/>
  <c r="BC36" i="7"/>
  <c r="BC37" i="7"/>
  <c r="BC38" i="7"/>
  <c r="BB6" i="7"/>
  <c r="BB7" i="7"/>
  <c r="BB8" i="7"/>
  <c r="BB9" i="7"/>
  <c r="BB10" i="7"/>
  <c r="BB11" i="7"/>
  <c r="BB12" i="7"/>
  <c r="BB13" i="7"/>
  <c r="BB14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36" i="7"/>
  <c r="BB37" i="7"/>
  <c r="BB38" i="7"/>
  <c r="BA6" i="7"/>
  <c r="BA7" i="7"/>
  <c r="BA8" i="7"/>
  <c r="BA9" i="7"/>
  <c r="BA10" i="7"/>
  <c r="BA11" i="7"/>
  <c r="BA12" i="7"/>
  <c r="BA13" i="7"/>
  <c r="BA14" i="7"/>
  <c r="BA18" i="7"/>
  <c r="BA19" i="7"/>
  <c r="BA20" i="7"/>
  <c r="BA21" i="7"/>
  <c r="BA22" i="7"/>
  <c r="BA23" i="7"/>
  <c r="BA24" i="7"/>
  <c r="BA25" i="7"/>
  <c r="BA26" i="7"/>
  <c r="BA27" i="7"/>
  <c r="BA28" i="7"/>
  <c r="BA29" i="7"/>
  <c r="BA30" i="7"/>
  <c r="BA31" i="7"/>
  <c r="BA32" i="7"/>
  <c r="BA33" i="7"/>
  <c r="BA34" i="7"/>
  <c r="BA35" i="7"/>
  <c r="BA36" i="7"/>
  <c r="BA37" i="7"/>
  <c r="BA38" i="7"/>
  <c r="AZ6" i="7"/>
  <c r="AZ7" i="7"/>
  <c r="AZ8" i="7"/>
  <c r="AZ9" i="7"/>
  <c r="AZ10" i="7"/>
  <c r="AZ11" i="7"/>
  <c r="AZ12" i="7"/>
  <c r="AZ13" i="7"/>
  <c r="AZ14" i="7"/>
  <c r="AZ18" i="7"/>
  <c r="AZ19" i="7"/>
  <c r="AZ20" i="7"/>
  <c r="AZ21" i="7"/>
  <c r="AZ22" i="7"/>
  <c r="AZ23" i="7"/>
  <c r="AZ24" i="7"/>
  <c r="AZ25" i="7"/>
  <c r="AZ26" i="7"/>
  <c r="AZ27" i="7"/>
  <c r="AZ28" i="7"/>
  <c r="AZ29" i="7"/>
  <c r="AZ30" i="7"/>
  <c r="AZ31" i="7"/>
  <c r="AZ32" i="7"/>
  <c r="AZ33" i="7"/>
  <c r="AZ34" i="7"/>
  <c r="AZ35" i="7"/>
  <c r="AZ36" i="7"/>
  <c r="AZ37" i="7"/>
  <c r="AZ38" i="7"/>
  <c r="AY6" i="7"/>
  <c r="AY7" i="7"/>
  <c r="AY8" i="7"/>
  <c r="AY9" i="7"/>
  <c r="AY10" i="7"/>
  <c r="AY11" i="7"/>
  <c r="AY12" i="7"/>
  <c r="AY13" i="7"/>
  <c r="AY14" i="7"/>
  <c r="AY18" i="7"/>
  <c r="AY19" i="7"/>
  <c r="AY20" i="7"/>
  <c r="AY21" i="7"/>
  <c r="AY22" i="7"/>
  <c r="AY23" i="7"/>
  <c r="AY24" i="7"/>
  <c r="AY25" i="7"/>
  <c r="AY26" i="7"/>
  <c r="AY27" i="7"/>
  <c r="AY28" i="7"/>
  <c r="AY29" i="7"/>
  <c r="AY30" i="7"/>
  <c r="AY31" i="7"/>
  <c r="AY32" i="7"/>
  <c r="AY33" i="7"/>
  <c r="AY34" i="7"/>
  <c r="AY35" i="7"/>
  <c r="AY36" i="7"/>
  <c r="AY37" i="7"/>
  <c r="AY38" i="7"/>
  <c r="AX6" i="7"/>
  <c r="AX7" i="7"/>
  <c r="AX8" i="7"/>
  <c r="AX9" i="7"/>
  <c r="AX10" i="7"/>
  <c r="AX11" i="7"/>
  <c r="AX12" i="7"/>
  <c r="AX13" i="7"/>
  <c r="AX14" i="7"/>
  <c r="AX18" i="7"/>
  <c r="AX19" i="7"/>
  <c r="AX20" i="7"/>
  <c r="AX21" i="7"/>
  <c r="AX22" i="7"/>
  <c r="AX23" i="7"/>
  <c r="AX24" i="7"/>
  <c r="AX25" i="7"/>
  <c r="AX26" i="7"/>
  <c r="AX27" i="7"/>
  <c r="AX28" i="7"/>
  <c r="AX29" i="7"/>
  <c r="AX30" i="7"/>
  <c r="AX31" i="7"/>
  <c r="AX32" i="7"/>
  <c r="AX33" i="7"/>
  <c r="AX34" i="7"/>
  <c r="AX35" i="7"/>
  <c r="AX36" i="7"/>
  <c r="AX37" i="7"/>
  <c r="AX38" i="7"/>
  <c r="AW6" i="7"/>
  <c r="AW7" i="7"/>
  <c r="AW8" i="7"/>
  <c r="AW9" i="7"/>
  <c r="AW10" i="7"/>
  <c r="AW11" i="7"/>
  <c r="AW12" i="7"/>
  <c r="AW13" i="7"/>
  <c r="AW14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V6" i="7"/>
  <c r="AV7" i="7"/>
  <c r="AV8" i="7"/>
  <c r="AV9" i="7"/>
  <c r="AV10" i="7"/>
  <c r="AV11" i="7"/>
  <c r="AV12" i="7"/>
  <c r="AV13" i="7"/>
  <c r="AV14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U6" i="7"/>
  <c r="AU7" i="7"/>
  <c r="AU8" i="7"/>
  <c r="AU9" i="7"/>
  <c r="AU10" i="7"/>
  <c r="AU11" i="7"/>
  <c r="AU12" i="7"/>
  <c r="AU13" i="7"/>
  <c r="AU14" i="7"/>
  <c r="AU18" i="7"/>
  <c r="AU19" i="7"/>
  <c r="AU20" i="7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T6" i="7"/>
  <c r="AT7" i="7"/>
  <c r="AT8" i="7"/>
  <c r="AT9" i="7"/>
  <c r="AT10" i="7"/>
  <c r="AT11" i="7"/>
  <c r="AT12" i="7"/>
  <c r="AT13" i="7"/>
  <c r="AT14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S6" i="7"/>
  <c r="AS7" i="7"/>
  <c r="AS8" i="7"/>
  <c r="AS9" i="7"/>
  <c r="AS10" i="7"/>
  <c r="AS11" i="7"/>
  <c r="AS12" i="7"/>
  <c r="AS13" i="7"/>
  <c r="AS14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R6" i="7"/>
  <c r="AR7" i="7"/>
  <c r="AR8" i="7"/>
  <c r="AR9" i="7"/>
  <c r="AR10" i="7"/>
  <c r="AR11" i="7"/>
  <c r="AR12" i="7"/>
  <c r="AR13" i="7"/>
  <c r="AR14" i="7"/>
  <c r="AR18" i="7"/>
  <c r="AR19" i="7"/>
  <c r="AR20" i="7"/>
  <c r="AR21" i="7"/>
  <c r="AR22" i="7"/>
  <c r="AR23" i="7"/>
  <c r="AR24" i="7"/>
  <c r="AR25" i="7"/>
  <c r="AR26" i="7"/>
  <c r="AR27" i="7"/>
  <c r="AR28" i="7"/>
  <c r="AR29" i="7"/>
  <c r="AR30" i="7"/>
  <c r="AR31" i="7"/>
  <c r="AR32" i="7"/>
  <c r="AR33" i="7"/>
  <c r="AR34" i="7"/>
  <c r="AR35" i="7"/>
  <c r="AR36" i="7"/>
  <c r="AR37" i="7"/>
  <c r="AR38" i="7"/>
  <c r="AQ6" i="7"/>
  <c r="AQ7" i="7"/>
  <c r="AQ8" i="7"/>
  <c r="AQ9" i="7"/>
  <c r="AQ10" i="7"/>
  <c r="AQ11" i="7"/>
  <c r="AQ12" i="7"/>
  <c r="AQ13" i="7"/>
  <c r="AQ14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P6" i="7"/>
  <c r="AP7" i="7"/>
  <c r="AP8" i="7"/>
  <c r="AP9" i="7"/>
  <c r="AP10" i="7"/>
  <c r="AP11" i="7"/>
  <c r="AP12" i="7"/>
  <c r="AP13" i="7"/>
  <c r="AP14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O6" i="7"/>
  <c r="AO7" i="7"/>
  <c r="AO8" i="7"/>
  <c r="AO9" i="7"/>
  <c r="AO10" i="7"/>
  <c r="AO11" i="7"/>
  <c r="AO12" i="7"/>
  <c r="AO13" i="7"/>
  <c r="AO14" i="7"/>
  <c r="AO18" i="7"/>
  <c r="AO19" i="7"/>
  <c r="AO20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N6" i="7"/>
  <c r="AN7" i="7"/>
  <c r="AN8" i="7"/>
  <c r="AN9" i="7"/>
  <c r="AN10" i="7"/>
  <c r="AN11" i="7"/>
  <c r="AN12" i="7"/>
  <c r="AN13" i="7"/>
  <c r="AN14" i="7"/>
  <c r="AN18" i="7"/>
  <c r="AN19" i="7"/>
  <c r="AN20" i="7"/>
  <c r="AN21" i="7"/>
  <c r="AN22" i="7"/>
  <c r="AN23" i="7"/>
  <c r="AN24" i="7"/>
  <c r="AN25" i="7"/>
  <c r="AN26" i="7"/>
  <c r="AN29" i="7"/>
  <c r="AN30" i="7"/>
  <c r="AN31" i="7"/>
  <c r="AN32" i="7"/>
  <c r="AN33" i="7"/>
  <c r="AN34" i="7"/>
  <c r="AN35" i="7"/>
  <c r="AN36" i="7"/>
  <c r="AN37" i="7"/>
  <c r="AN38" i="7"/>
  <c r="AM6" i="7"/>
  <c r="AM7" i="7"/>
  <c r="AM8" i="7"/>
  <c r="AM9" i="7"/>
  <c r="AM10" i="7"/>
  <c r="AM11" i="7"/>
  <c r="AM12" i="7"/>
  <c r="AM13" i="7"/>
  <c r="AM14" i="7"/>
  <c r="AM18" i="7"/>
  <c r="AM19" i="7"/>
  <c r="AM20" i="7"/>
  <c r="AM21" i="7"/>
  <c r="AM22" i="7"/>
  <c r="AM23" i="7"/>
  <c r="AM24" i="7"/>
  <c r="AM25" i="7"/>
  <c r="AM26" i="7"/>
  <c r="AM29" i="7"/>
  <c r="AM30" i="7"/>
  <c r="AM31" i="7"/>
  <c r="AM32" i="7"/>
  <c r="AM33" i="7"/>
  <c r="AM34" i="7"/>
  <c r="AM35" i="7"/>
  <c r="AM36" i="7"/>
  <c r="AM37" i="7"/>
  <c r="AM38" i="7"/>
  <c r="AN3" i="7" l="1"/>
  <c r="BK3" i="7" l="1"/>
  <c r="BC3" i="7"/>
  <c r="BA3" i="7"/>
  <c r="AZ3" i="7"/>
  <c r="BI3" i="7"/>
  <c r="BF3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AU3" i="7"/>
  <c r="AV3" i="7"/>
  <c r="AW3" i="7"/>
  <c r="AY3" i="7"/>
  <c r="BB3" i="7"/>
  <c r="BD3" i="7"/>
  <c r="BE3" i="7"/>
  <c r="BG3" i="7"/>
  <c r="BJ3" i="7"/>
  <c r="BL3" i="7"/>
  <c r="BC4" i="7" l="1"/>
  <c r="BC5" i="7"/>
  <c r="AQ4" i="7"/>
  <c r="AQ5" i="7"/>
  <c r="BL16" i="7"/>
  <c r="BL17" i="7"/>
  <c r="AZ16" i="7"/>
  <c r="AZ17" i="7"/>
  <c r="AN16" i="7"/>
  <c r="AN17" i="7"/>
  <c r="BB4" i="7"/>
  <c r="BB5" i="7"/>
  <c r="AP4" i="7"/>
  <c r="AP5" i="7"/>
  <c r="BK17" i="7"/>
  <c r="BK16" i="7"/>
  <c r="AY17" i="7"/>
  <c r="AY16" i="7"/>
  <c r="AM5" i="7"/>
  <c r="AM4" i="7"/>
  <c r="BA4" i="7"/>
  <c r="BA5" i="7"/>
  <c r="AO4" i="7"/>
  <c r="AO5" i="7"/>
  <c r="BJ16" i="7"/>
  <c r="BJ17" i="7"/>
  <c r="AX16" i="7"/>
  <c r="AX17" i="7"/>
  <c r="BL5" i="7"/>
  <c r="BL4" i="7"/>
  <c r="BL39" i="7" s="1"/>
  <c r="C53" i="7" s="1"/>
  <c r="AZ5" i="7"/>
  <c r="AZ4" i="7"/>
  <c r="AN4" i="7"/>
  <c r="AN5" i="7"/>
  <c r="BI17" i="7"/>
  <c r="BI16" i="7"/>
  <c r="AW17" i="7"/>
  <c r="AW16" i="7"/>
  <c r="BK5" i="7"/>
  <c r="BK4" i="7"/>
  <c r="AY5" i="7"/>
  <c r="AY4" i="7"/>
  <c r="AY39" i="7" s="1"/>
  <c r="C54" i="7" s="1"/>
  <c r="BH16" i="7"/>
  <c r="BH17" i="7"/>
  <c r="AV16" i="7"/>
  <c r="AV17" i="7"/>
  <c r="BJ4" i="7"/>
  <c r="BJ5" i="7"/>
  <c r="AX5" i="7"/>
  <c r="BG16" i="7"/>
  <c r="BG17" i="7"/>
  <c r="AU16" i="7"/>
  <c r="AU17" i="7"/>
  <c r="BI5" i="7"/>
  <c r="BI4" i="7"/>
  <c r="AW5" i="7"/>
  <c r="AW4" i="7"/>
  <c r="BF16" i="7"/>
  <c r="BF17" i="7"/>
  <c r="AT16" i="7"/>
  <c r="AT17" i="7"/>
  <c r="BH5" i="7"/>
  <c r="AV4" i="7"/>
  <c r="AV5" i="7"/>
  <c r="BE17" i="7"/>
  <c r="BE16" i="7"/>
  <c r="AS17" i="7"/>
  <c r="AS16" i="7"/>
  <c r="BG5" i="7"/>
  <c r="BG4" i="7"/>
  <c r="AU5" i="7"/>
  <c r="AU4" i="7"/>
  <c r="BD16" i="7"/>
  <c r="BD17" i="7"/>
  <c r="AR16" i="7"/>
  <c r="AR17" i="7"/>
  <c r="BF5" i="7"/>
  <c r="BF4" i="7"/>
  <c r="AT5" i="7"/>
  <c r="AT4" i="7"/>
  <c r="BC17" i="7"/>
  <c r="BC16" i="7"/>
  <c r="AQ17" i="7"/>
  <c r="AQ16" i="7"/>
  <c r="BE5" i="7"/>
  <c r="BE4" i="7"/>
  <c r="AS5" i="7"/>
  <c r="AS4" i="7"/>
  <c r="BB16" i="7"/>
  <c r="BB17" i="7"/>
  <c r="AP16" i="7"/>
  <c r="AP17" i="7"/>
  <c r="BD4" i="7"/>
  <c r="BD5" i="7"/>
  <c r="AR4" i="7"/>
  <c r="AR5" i="7"/>
  <c r="AM17" i="7"/>
  <c r="BA16" i="7"/>
  <c r="BA17" i="7"/>
  <c r="AO16" i="7"/>
  <c r="AO17" i="7"/>
  <c r="AM15" i="7"/>
  <c r="BG39" i="7" l="1"/>
  <c r="C63" i="7" s="1"/>
  <c r="AW39" i="7"/>
  <c r="C50" i="7" s="1"/>
  <c r="BH4" i="7"/>
  <c r="BH39" i="7" s="1"/>
  <c r="C49" i="7" s="1"/>
  <c r="BH3" i="7"/>
  <c r="AX4" i="7"/>
  <c r="AX39" i="7" s="1"/>
  <c r="C55" i="7" s="1"/>
  <c r="AX3" i="7"/>
  <c r="BK39" i="7"/>
  <c r="C56" i="7" s="1"/>
  <c r="AZ39" i="7"/>
  <c r="C47" i="7" s="1"/>
  <c r="AT39" i="7"/>
  <c r="C48" i="7" s="1"/>
  <c r="BD39" i="7"/>
  <c r="C64" i="7" s="1"/>
  <c r="BJ39" i="7"/>
  <c r="C61" i="7" s="1"/>
  <c r="AO39" i="7"/>
  <c r="C65" i="7" s="1"/>
  <c r="BB39" i="7"/>
  <c r="C57" i="7" s="1"/>
  <c r="BA39" i="7"/>
  <c r="C66" i="7" s="1"/>
  <c r="BF39" i="7"/>
  <c r="C70" i="7" s="1"/>
  <c r="BI39" i="7"/>
  <c r="C51" i="7" s="1"/>
  <c r="AS39" i="7"/>
  <c r="C60" i="7" s="1"/>
  <c r="AV39" i="7"/>
  <c r="C58" i="7" s="1"/>
  <c r="BE39" i="7"/>
  <c r="C68" i="7" s="1"/>
  <c r="AM16" i="7"/>
  <c r="AQ39" i="7"/>
  <c r="C46" i="7" s="1"/>
  <c r="AM28" i="7"/>
  <c r="AM27" i="7"/>
  <c r="AU39" i="7"/>
  <c r="C59" i="7" s="1"/>
  <c r="AN27" i="7"/>
  <c r="AN28" i="7"/>
  <c r="AR39" i="7"/>
  <c r="C52" i="7" s="1"/>
  <c r="AP39" i="7"/>
  <c r="C67" i="7" s="1"/>
  <c r="BC39" i="7"/>
  <c r="C62" i="7" s="1"/>
  <c r="AM39" i="7" l="1"/>
  <c r="C69" i="7" s="1"/>
  <c r="AN39" i="7"/>
  <c r="C45" i="7" s="1"/>
  <c r="E18" i="4"/>
  <c r="E19" i="4"/>
  <c r="E20" i="4"/>
  <c r="E21" i="4"/>
  <c r="E22" i="4"/>
  <c r="E17" i="4"/>
  <c r="AR10" i="8" l="1"/>
  <c r="H37" i="5"/>
  <c r="H31" i="5"/>
  <c r="K26" i="5"/>
  <c r="H35" i="5"/>
  <c r="K36" i="5"/>
  <c r="K30" i="5"/>
  <c r="K37" i="5"/>
  <c r="K31" i="5"/>
  <c r="K32" i="5"/>
  <c r="K35" i="5"/>
  <c r="K29" i="5"/>
  <c r="H36" i="5"/>
  <c r="H30" i="5"/>
  <c r="K34" i="5"/>
  <c r="K28" i="5"/>
  <c r="H32" i="5"/>
  <c r="H26" i="5"/>
  <c r="K33" i="5"/>
  <c r="K27" i="5"/>
  <c r="H33" i="5"/>
  <c r="H27" i="5"/>
  <c r="H29" i="5"/>
  <c r="K25" i="5"/>
  <c r="H34" i="5"/>
  <c r="H28" i="5"/>
  <c r="G18" i="4"/>
  <c r="F12" i="3"/>
  <c r="I3" i="3" s="1"/>
  <c r="E12" i="3"/>
  <c r="H11" i="3" s="1"/>
  <c r="D12" i="3"/>
  <c r="G3" i="3" s="1"/>
  <c r="G12" i="5"/>
  <c r="G8" i="5"/>
  <c r="G16" i="5"/>
  <c r="G14" i="5"/>
  <c r="G15" i="5"/>
  <c r="G7" i="5"/>
  <c r="G13" i="5"/>
  <c r="E28" i="5" l="1"/>
  <c r="E36" i="5"/>
  <c r="E25" i="5"/>
  <c r="E30" i="5"/>
  <c r="E27" i="5"/>
  <c r="E37" i="5"/>
  <c r="E26" i="5"/>
  <c r="E32" i="5"/>
  <c r="E35" i="5"/>
  <c r="E34" i="5"/>
  <c r="E31" i="5"/>
  <c r="E33" i="5"/>
  <c r="E29" i="5"/>
  <c r="H8" i="3"/>
  <c r="H10" i="3"/>
  <c r="H3" i="3"/>
  <c r="I8" i="3"/>
  <c r="I11" i="3"/>
  <c r="H4" i="3"/>
  <c r="H9" i="3"/>
  <c r="H5" i="3"/>
  <c r="H7" i="3"/>
  <c r="I5" i="3"/>
  <c r="I7" i="3"/>
  <c r="I10" i="3"/>
  <c r="I4" i="3"/>
  <c r="H6" i="3"/>
  <c r="I9" i="3"/>
  <c r="I6" i="3"/>
  <c r="G10" i="3"/>
  <c r="G7" i="3"/>
  <c r="G11" i="3"/>
  <c r="G6" i="3"/>
  <c r="G8" i="3"/>
  <c r="G4" i="3"/>
  <c r="G9" i="3"/>
  <c r="G5" i="3"/>
  <c r="G11" i="5"/>
  <c r="G10" i="5"/>
  <c r="G9" i="5"/>
  <c r="G17" i="5"/>
  <c r="E7" i="5" l="1"/>
  <c r="E17" i="5"/>
  <c r="E11" i="5"/>
  <c r="E13" i="5"/>
  <c r="E9" i="5"/>
  <c r="E10" i="5"/>
  <c r="E14" i="5"/>
  <c r="E15" i="5"/>
  <c r="E12" i="5"/>
  <c r="E8" i="5"/>
  <c r="E16" i="5"/>
  <c r="F7" i="5" l="1"/>
  <c r="F8" i="5" l="1"/>
  <c r="F9" i="5" l="1"/>
  <c r="F10" i="5" l="1"/>
  <c r="F11" i="5" l="1"/>
  <c r="F12" i="5" l="1"/>
  <c r="F13" i="5" l="1"/>
  <c r="F14" i="5" l="1"/>
  <c r="F15" i="5" l="1"/>
  <c r="F16" i="5" l="1"/>
  <c r="H25" i="5"/>
  <c r="F17" i="5" l="1"/>
</calcChain>
</file>

<file path=xl/sharedStrings.xml><?xml version="1.0" encoding="utf-8"?>
<sst xmlns="http://schemas.openxmlformats.org/spreadsheetml/2006/main" count="3218" uniqueCount="284">
  <si>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</si>
  <si>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</si>
  <si>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</si>
  <si>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</si>
  <si>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</si>
  <si>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</si>
  <si>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</si>
  <si>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</si>
  <si>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</si>
  <si>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</si>
  <si>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</si>
  <si>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</si>
  <si>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</si>
  <si>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</si>
  <si>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</si>
  <si>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</si>
  <si>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</si>
  <si>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</si>
  <si>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</si>
  <si>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</si>
  <si>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</si>
  <si>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</si>
  <si>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</si>
  <si>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</si>
  <si>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</si>
  <si>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</si>
  <si>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</si>
  <si>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</si>
  <si>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</si>
  <si>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</si>
  <si>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</si>
  <si>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</si>
  <si>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</si>
  <si>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</si>
  <si>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</si>
  <si>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</si>
  <si>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</si>
  <si>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</si>
  <si>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</si>
  <si>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</si>
  <si>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</si>
  <si>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</si>
  <si>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</si>
  <si>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</si>
  <si>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</si>
  <si>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</si>
  <si>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</si>
  <si>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</si>
  <si>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</si>
  <si>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Month of Year</t>
  </si>
  <si>
    <t>Category</t>
  </si>
  <si>
    <t>Food</t>
  </si>
  <si>
    <t>Luxury</t>
  </si>
  <si>
    <t>Essentials</t>
  </si>
  <si>
    <t>Total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</si>
  <si>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</si>
  <si>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</si>
  <si>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</si>
  <si>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</si>
  <si>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</si>
  <si>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</si>
  <si>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</si>
  <si>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January-2023</t>
  </si>
  <si>
    <t>February-2023</t>
  </si>
  <si>
    <t>March-2023</t>
  </si>
  <si>
    <t>April-2023</t>
  </si>
  <si>
    <t>May-2023</t>
  </si>
  <si>
    <t>General Index</t>
  </si>
  <si>
    <t>In 2019 April data is missing</t>
  </si>
  <si>
    <t>% Of Inflation</t>
  </si>
  <si>
    <t>Month Of Year</t>
  </si>
  <si>
    <t>Food Category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</si>
  <si>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</si>
  <si>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</si>
  <si>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</si>
  <si>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</si>
  <si>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</si>
  <si>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</si>
  <si>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</si>
  <si>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</si>
  <si>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</si>
  <si>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</si>
  <si>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</si>
  <si>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</si>
  <si>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</si>
  <si>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</si>
  <si>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</si>
  <si>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</si>
  <si>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</si>
  <si>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</si>
  <si>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</si>
  <si>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</si>
  <si>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</si>
  <si>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</si>
  <si>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</si>
  <si>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</si>
  <si>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</si>
  <si>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May-2022</t>
  </si>
  <si>
    <t>Correlation</t>
  </si>
  <si>
    <t>while Oils &amp; Fats and Vegetables have a deflationary effect, helping to counterbalance overall inflation.</t>
  </si>
  <si>
    <t xml:space="preserve">Rural </t>
  </si>
  <si>
    <t xml:space="preserve">Urban </t>
  </si>
  <si>
    <t xml:space="preserve">Rural+Urban </t>
  </si>
  <si>
    <t>FY 2020-2021</t>
  </si>
  <si>
    <t>Insights:</t>
  </si>
  <si>
    <t>Rural %</t>
  </si>
  <si>
    <r>
      <t xml:space="preserve">Urban </t>
    </r>
    <r>
      <rPr>
        <strike/>
        <sz val="11"/>
        <color theme="1"/>
        <rFont val="Calibri"/>
        <family val="2"/>
        <scheme val="minor"/>
      </rPr>
      <t>%</t>
    </r>
  </si>
  <si>
    <t xml:space="preserve">Rural+Urban % </t>
  </si>
  <si>
    <t>Between June 2022 and May 2023, significant inflation spikes were observed in October 2022 and May 2023.</t>
  </si>
  <si>
    <r>
      <t>Spices, Cereals, and Milk products</t>
    </r>
    <r>
      <rPr>
        <sz val="11"/>
        <color theme="1"/>
        <rFont val="Calibri"/>
        <family val="2"/>
        <scheme val="minor"/>
      </rPr>
      <t xml:space="preserve"> are the major contributors to the </t>
    </r>
    <r>
      <rPr>
        <b/>
        <sz val="11"/>
        <color theme="1"/>
        <rFont val="Calibri"/>
        <family val="2"/>
        <scheme val="minor"/>
      </rPr>
      <t xml:space="preserve">increased inflation </t>
    </r>
    <r>
      <rPr>
        <sz val="11"/>
        <color theme="1"/>
        <rFont val="Calibri"/>
        <family val="2"/>
        <scheme val="minor"/>
      </rPr>
      <t xml:space="preserve">during the period of </t>
    </r>
    <r>
      <rPr>
        <b/>
        <sz val="11"/>
        <color theme="1"/>
        <rFont val="Calibri"/>
        <family val="2"/>
        <scheme val="minor"/>
      </rPr>
      <t>june 22 to may 23.</t>
    </r>
  </si>
  <si>
    <t>The food category is the primary contributor to the inflation rate which is nearly 50%.</t>
  </si>
  <si>
    <t>April-2019</t>
  </si>
  <si>
    <t>March-2020</t>
  </si>
  <si>
    <t>December-2019</t>
  </si>
  <si>
    <t>January-2020</t>
  </si>
  <si>
    <t>February-2020</t>
  </si>
  <si>
    <t>November-2019</t>
  </si>
  <si>
    <t>May-2019</t>
  </si>
  <si>
    <t>March-2019</t>
  </si>
  <si>
    <t>June-2019</t>
  </si>
  <si>
    <t>July-2019</t>
  </si>
  <si>
    <t>August-2019</t>
  </si>
  <si>
    <t>September-2019</t>
  </si>
  <si>
    <t>October-2019</t>
  </si>
  <si>
    <t>During pre-covid, the inflation rates are relatively stable with short up and downs</t>
  </si>
  <si>
    <t>Reasons:</t>
  </si>
  <si>
    <t>Supply Chain Disruptions</t>
  </si>
  <si>
    <t>shortage of supply</t>
  </si>
  <si>
    <t>Increase in Production cost and transportation cost.</t>
  </si>
  <si>
    <t>Insights</t>
  </si>
  <si>
    <t>Reasons</t>
  </si>
  <si>
    <t>Shift in consumer demand</t>
  </si>
  <si>
    <t>INSIGHTS:</t>
  </si>
  <si>
    <t>Food Category is the major contributor to the rise in inflation rate.</t>
  </si>
  <si>
    <t>There are 26 categories in the given data out of this I have categorized into 9 broader categories</t>
  </si>
  <si>
    <t>Spices is the major contributor to the increased inflation during the period of june 22 to may 23.</t>
  </si>
  <si>
    <t>4. Investigated  how the onset and progression of the covid-19 pandemic affected inflation rates in India</t>
  </si>
  <si>
    <t xml:space="preserve">1. To identify the contribution of different boarder categories towards the CPI data based on the Last Month 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</si>
  <si>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most recent period considered for analysis spans from June 2022 to May 2023</t>
    </r>
  </si>
  <si>
    <t>During Pre -Covid there is almost stable inflation rate in all the three sectors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</si>
  <si>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:The COVID-19 impact analysis covers 12 months before and after March 2020.</t>
    </r>
  </si>
  <si>
    <t>Crude oil prices</t>
  </si>
  <si>
    <t>5. Investigated how major global economic events (Imported crude oil price fluctuations) have influenced India’s inflation</t>
  </si>
  <si>
    <t>Inflation %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</si>
  <si>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period considered for analysis spans from April 2021 to March 2023</t>
    </r>
  </si>
  <si>
    <t>Row Labels</t>
  </si>
  <si>
    <t>Grand Total</t>
  </si>
  <si>
    <t>Column Labels</t>
  </si>
  <si>
    <t>Count of Month</t>
  </si>
  <si>
    <t>Count of Year</t>
  </si>
  <si>
    <t>Do's</t>
  </si>
  <si>
    <t>Marcrh has to replace with march</t>
  </si>
  <si>
    <t>Trim the November to remove the space</t>
  </si>
  <si>
    <t>replace with moving average values</t>
  </si>
  <si>
    <t>done</t>
  </si>
  <si>
    <t>Count of Sector</t>
  </si>
  <si>
    <t>Year wise months data</t>
  </si>
  <si>
    <t>sample is not good</t>
  </si>
  <si>
    <t xml:space="preserve">In 2019 April data is missing </t>
  </si>
  <si>
    <t>In 2023 upto may month only the data is available</t>
  </si>
  <si>
    <t>sample is good</t>
  </si>
  <si>
    <t>Sectors</t>
  </si>
  <si>
    <t>Marcrh is to replace with March</t>
  </si>
  <si>
    <t xml:space="preserve">In Nov word space has to remove. </t>
  </si>
  <si>
    <t>Note</t>
  </si>
  <si>
    <t>Filled with Moving Average</t>
  </si>
  <si>
    <t>-do-</t>
  </si>
  <si>
    <t>Categories</t>
  </si>
  <si>
    <t>Rural Data for Housing is missing completely hence imputed with average of urban data and rural+urban data</t>
  </si>
  <si>
    <t>Missing Values</t>
  </si>
  <si>
    <t>After filling Missing values</t>
  </si>
  <si>
    <t>Subcategories</t>
  </si>
  <si>
    <t>INDIA  CPI  INFLATION  CASE  STUDY</t>
  </si>
  <si>
    <t>2. Year-on-Year Growth Rate Trend and Identification of the Year with the Highest Inflation Rate</t>
  </si>
  <si>
    <t>3. Investigation of trends in the price of broader food category and evaluate Month-On-Month changes</t>
  </si>
  <si>
    <t>December-2016</t>
  </si>
  <si>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</si>
  <si>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</si>
  <si>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</si>
  <si>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</si>
  <si>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</si>
  <si>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</si>
  <si>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</si>
  <si>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</si>
  <si>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</si>
  <si>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</si>
  <si>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</si>
  <si>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</si>
  <si>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</si>
  <si>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</si>
  <si>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</si>
  <si>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</si>
  <si>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</si>
  <si>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</si>
  <si>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</si>
  <si>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</si>
  <si>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</si>
  <si>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</si>
  <si>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</si>
  <si>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</si>
  <si>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</si>
  <si>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</si>
  <si>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Conclusion:</t>
  </si>
  <si>
    <t>Post-Covid time, a siginificant large spike observed during April 2020 around 3%</t>
  </si>
  <si>
    <t>Mom</t>
  </si>
  <si>
    <t>quantity</t>
  </si>
  <si>
    <t>price per barrel</t>
  </si>
  <si>
    <t>Household goods and services shows negative correlation.</t>
  </si>
  <si>
    <t>CPI</t>
  </si>
  <si>
    <t>During Pre -Covid there is relative stable inflation rate with short up and downs</t>
  </si>
  <si>
    <t>Essential</t>
  </si>
  <si>
    <t>Meat and fish, oils and fats shows positive correlation with the imported oil prices</t>
  </si>
  <si>
    <t>Meat and Fish, Oils and fats shows positive correlation with the imported oil prices</t>
  </si>
  <si>
    <t>Insight</t>
  </si>
  <si>
    <t>Reason</t>
  </si>
  <si>
    <t>Due to rise in price levels</t>
  </si>
  <si>
    <t>Food Boarder Category</t>
  </si>
  <si>
    <t>During Pre -Covid there is  stable inflation rate</t>
  </si>
  <si>
    <t>Increase in demand for medical Services, health products  during pandemic</t>
  </si>
  <si>
    <t>Due to sudden increase in demand for healthcare services and poducts</t>
  </si>
  <si>
    <t>After covid, it shows a sudden inflation spike, especially in health.</t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</si>
  <si>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 The years considered for analysis span from April 2017 to March 2023.</t>
    </r>
  </si>
  <si>
    <t>After covid, significant spikes were observed, particularly in health and food sector</t>
  </si>
  <si>
    <t>February-2013</t>
  </si>
  <si>
    <t>March-2013</t>
  </si>
  <si>
    <t>April-2013</t>
  </si>
  <si>
    <t>May-2013</t>
  </si>
  <si>
    <t>June-2013</t>
  </si>
  <si>
    <t>July-2013</t>
  </si>
  <si>
    <t>August-2013</t>
  </si>
  <si>
    <t>September-2013</t>
  </si>
  <si>
    <t>October-2013</t>
  </si>
  <si>
    <t>November -2013</t>
  </si>
  <si>
    <t>December-2013</t>
  </si>
  <si>
    <t>January-2014</t>
  </si>
  <si>
    <t>February-2014</t>
  </si>
  <si>
    <t>March-2014</t>
  </si>
  <si>
    <t>April-2014</t>
  </si>
  <si>
    <t>May-2014</t>
  </si>
  <si>
    <t>June-2014</t>
  </si>
  <si>
    <t>July-2014</t>
  </si>
  <si>
    <t>August-2014</t>
  </si>
  <si>
    <t>September-2014</t>
  </si>
  <si>
    <t>October-2014</t>
  </si>
  <si>
    <t>November-2014</t>
  </si>
  <si>
    <t>December-2014</t>
  </si>
  <si>
    <t>January-2015</t>
  </si>
  <si>
    <t>February-2015</t>
  </si>
  <si>
    <t>March-2015</t>
  </si>
  <si>
    <t>April-2015</t>
  </si>
  <si>
    <t>May-2015</t>
  </si>
  <si>
    <t>June-2015</t>
  </si>
  <si>
    <t>July-2015</t>
  </si>
  <si>
    <t>August-2015</t>
  </si>
  <si>
    <t>September-2015</t>
  </si>
  <si>
    <t>October-2015</t>
  </si>
  <si>
    <t>November-2015</t>
  </si>
  <si>
    <t>December-2015</t>
  </si>
  <si>
    <t>January-2016</t>
  </si>
  <si>
    <t>February-2016</t>
  </si>
  <si>
    <t>March-2016</t>
  </si>
  <si>
    <t>April-2016</t>
  </si>
  <si>
    <t>May-2016</t>
  </si>
  <si>
    <t>June-2016</t>
  </si>
  <si>
    <t>July-2016</t>
  </si>
  <si>
    <t>August-2016</t>
  </si>
  <si>
    <t>September-2016</t>
  </si>
  <si>
    <t>October-2016</t>
  </si>
  <si>
    <t>November-2016</t>
  </si>
  <si>
    <t>COUNTIF</t>
  </si>
  <si>
    <t>FY 17-18</t>
  </si>
  <si>
    <t>FY18-19</t>
  </si>
  <si>
    <t>FY 19-20</t>
  </si>
  <si>
    <t>FY 20-21</t>
  </si>
  <si>
    <t>FY21-22</t>
  </si>
  <si>
    <t>FY 22-23</t>
  </si>
  <si>
    <t>Insights: Highest Inflation is seen in FY 21-22</t>
  </si>
  <si>
    <t>Inflation</t>
  </si>
  <si>
    <t>Essentials was the major contributor to the rise in inflation during FY 21-22</t>
  </si>
  <si>
    <t>After covid a short rise in  inflation observed in May and june 2020 which is nearly 2%</t>
  </si>
  <si>
    <t>Highest Inflation is seen in FY 21-22 with 6.3%. The key contribution for rise in inflation is Essentials.</t>
  </si>
  <si>
    <t>The inflation trend is volatile, peaking at 1.5% in Dec 2022, with CPI steadily rising through May 2023.</t>
  </si>
  <si>
    <t>The inflation trend is volatile, peaking at 1.5% in November 2022, with CPI steadily rising through May 2023.</t>
  </si>
  <si>
    <t>After lockdowns, a surge in consumer demand led to price increases amid limited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</si>
</sst>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fornian FB"/>
      <family val="1"/>
    </font>
    <font>
      <b/>
      <sz val="14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Times New Roman"/>
      <family val="1"/>
    </font>
    <font>
      <sz val="36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1" xfId="0" applyFill="1" applyBorder="1"/>
    <xf numFmtId="0" fontId="0" fillId="0" borderId="1" xfId="0" applyBorder="1"/>
    <xf numFmtId="9" fontId="0" fillId="0" borderId="1" xfId="1" applyFont="1" applyBorder="1"/>
    <xf numFmtId="9" fontId="0" fillId="0" borderId="0" xfId="1" applyFont="1"/>
    <xf numFmtId="0" fontId="0" fillId="6" borderId="1" xfId="0" applyFill="1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165" fontId="0" fillId="0" borderId="1" xfId="1" applyNumberFormat="1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0" xfId="0" applyFill="1"/>
    <xf numFmtId="9" fontId="0" fillId="0" borderId="1" xfId="1" applyFont="1" applyFill="1" applyBorder="1"/>
    <xf numFmtId="0" fontId="4" fillId="0" borderId="0" xfId="0" applyFont="1"/>
    <xf numFmtId="0" fontId="0" fillId="12" borderId="1" xfId="0" applyFill="1" applyBorder="1"/>
    <xf numFmtId="0" fontId="2" fillId="2" borderId="0" xfId="0" applyFont="1" applyFill="1"/>
    <xf numFmtId="0" fontId="5" fillId="0" borderId="0" xfId="0" applyFont="1"/>
    <xf numFmtId="9" fontId="0" fillId="0" borderId="0" xfId="0" applyNumberFormat="1"/>
    <xf numFmtId="0" fontId="0" fillId="13" borderId="0" xfId="0" applyFill="1"/>
    <xf numFmtId="0" fontId="6" fillId="13" borderId="0" xfId="0" applyFont="1" applyFill="1"/>
    <xf numFmtId="0" fontId="0" fillId="14" borderId="0" xfId="0" applyFill="1"/>
    <xf numFmtId="0" fontId="0" fillId="15" borderId="0" xfId="0" applyFill="1" applyAlignment="1">
      <alignment horizontal="left"/>
    </xf>
    <xf numFmtId="0" fontId="8" fillId="15" borderId="0" xfId="0" applyFont="1" applyFill="1" applyAlignment="1">
      <alignment horizontal="left"/>
    </xf>
    <xf numFmtId="0" fontId="8" fillId="14" borderId="0" xfId="0" applyFont="1" applyFill="1"/>
    <xf numFmtId="17" fontId="0" fillId="0" borderId="1" xfId="0" applyNumberFormat="1" applyBorder="1"/>
    <xf numFmtId="0" fontId="0" fillId="17" borderId="1" xfId="0" applyFill="1" applyBorder="1"/>
    <xf numFmtId="0" fontId="0" fillId="11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0" fillId="14" borderId="0" xfId="0" applyFont="1" applyFill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12" borderId="0" xfId="0" applyFill="1"/>
    <xf numFmtId="0" fontId="0" fillId="7" borderId="0" xfId="0" applyFill="1"/>
    <xf numFmtId="0" fontId="0" fillId="12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6" borderId="15" xfId="0" applyFill="1" applyBorder="1"/>
    <xf numFmtId="2" fontId="0" fillId="0" borderId="1" xfId="0" applyNumberFormat="1" applyBorder="1"/>
    <xf numFmtId="165" fontId="0" fillId="0" borderId="1" xfId="1" applyNumberFormat="1" applyFont="1" applyFill="1" applyBorder="1"/>
    <xf numFmtId="9" fontId="0" fillId="0" borderId="0" xfId="1" applyFont="1" applyFill="1" applyBorder="1"/>
    <xf numFmtId="165" fontId="0" fillId="7" borderId="1" xfId="0" applyNumberFormat="1" applyFill="1" applyBorder="1"/>
    <xf numFmtId="2" fontId="16" fillId="7" borderId="1" xfId="2" applyNumberFormat="1" applyFont="1" applyFill="1" applyBorder="1" applyAlignment="1">
      <alignment horizontal="right"/>
    </xf>
    <xf numFmtId="0" fontId="0" fillId="0" borderId="16" xfId="0" applyBorder="1"/>
    <xf numFmtId="17" fontId="0" fillId="0" borderId="16" xfId="0" applyNumberFormat="1" applyBorder="1"/>
    <xf numFmtId="0" fontId="0" fillId="22" borderId="1" xfId="0" applyFill="1" applyBorder="1"/>
    <xf numFmtId="0" fontId="2" fillId="22" borderId="0" xfId="0" applyFont="1" applyFill="1"/>
    <xf numFmtId="0" fontId="0" fillId="22" borderId="0" xfId="0" applyFill="1"/>
    <xf numFmtId="0" fontId="17" fillId="0" borderId="0" xfId="0" applyFont="1"/>
    <xf numFmtId="0" fontId="17" fillId="0" borderId="0" xfId="0" applyFont="1" applyAlignment="1">
      <alignment horizontal="center"/>
    </xf>
    <xf numFmtId="2" fontId="0" fillId="0" borderId="0" xfId="0" applyNumberFormat="1"/>
    <xf numFmtId="0" fontId="0" fillId="21" borderId="0" xfId="0" applyFill="1"/>
    <xf numFmtId="164" fontId="0" fillId="18" borderId="1" xfId="0" applyNumberFormat="1" applyFill="1" applyBorder="1"/>
    <xf numFmtId="0" fontId="0" fillId="0" borderId="1" xfId="1" applyNumberFormat="1" applyFont="1" applyBorder="1"/>
    <xf numFmtId="0" fontId="0" fillId="23" borderId="1" xfId="0" applyFill="1" applyBorder="1"/>
    <xf numFmtId="10" fontId="0" fillId="23" borderId="1" xfId="1" applyNumberFormat="1" applyFont="1" applyFill="1" applyBorder="1"/>
    <xf numFmtId="10" fontId="0" fillId="2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9" fillId="15" borderId="0" xfId="0" applyFont="1" applyFill="1" applyAlignment="1">
      <alignment horizontal="left"/>
    </xf>
    <xf numFmtId="0" fontId="8" fillId="15" borderId="0" xfId="0" applyFont="1" applyFill="1" applyAlignment="1">
      <alignment horizontal="left"/>
    </xf>
    <xf numFmtId="0" fontId="8" fillId="14" borderId="0" xfId="0" applyFont="1" applyFill="1" applyAlignment="1">
      <alignment horizontal="left"/>
    </xf>
    <xf numFmtId="0" fontId="7" fillId="15" borderId="0" xfId="0" applyFont="1" applyFill="1" applyAlignment="1">
      <alignment horizontal="left"/>
    </xf>
    <xf numFmtId="0" fontId="12" fillId="19" borderId="0" xfId="0" applyFont="1" applyFill="1" applyAlignment="1">
      <alignment horizontal="center"/>
    </xf>
    <xf numFmtId="0" fontId="13" fillId="19" borderId="0" xfId="0" applyFont="1" applyFill="1" applyAlignment="1">
      <alignment horizontal="center"/>
    </xf>
    <xf numFmtId="0" fontId="0" fillId="14" borderId="0" xfId="0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3">
    <cellStyle name="Normal" xfId="0" builtinId="0"/>
    <cellStyle name="Normal 2 2 3 5" xfId="2" xr:uid="{268616A7-A935-47AA-BA99-47B447365DA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Food is the major contributor to rise in inflation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>
              <a:solidFill>
                <a:schemeClr val="lt1">
                  <a:alpha val="90000"/>
                </a:schemeClr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25400" dir="4200000" sx="102000" sy="102000" algn="ctr" rotWithShape="0">
                <a:prstClr val="black">
                  <a:alpha val="17000"/>
                </a:prstClr>
              </a:outerShdw>
            </a:effectLst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B6-463A-8E6A-71CA1FA786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B6-463A-8E6A-71CA1FA7866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B6-463A-8E6A-71CA1FA7866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B6-463A-8E6A-71CA1FA7866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B6-463A-8E6A-71CA1FA7866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B6-463A-8E6A-71CA1FA7866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B6-463A-8E6A-71CA1FA7866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B6-463A-8E6A-71CA1FA7866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9B6-463A-8E6A-71CA1FA78667}"/>
              </c:ext>
            </c:extLst>
          </c:dPt>
          <c:dLbls>
            <c:dLbl>
              <c:idx val="1"/>
              <c:layout>
                <c:manualLayout>
                  <c:x val="-7.0185460092901074E-3"/>
                  <c:y val="-3.51982885700931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B6-463A-8E6A-71CA1FA78667}"/>
                </c:ext>
              </c:extLst>
            </c:dLbl>
            <c:dLbl>
              <c:idx val="2"/>
              <c:layout>
                <c:manualLayout>
                  <c:x val="1.331953727330565E-2"/>
                  <c:y val="-1.75853018372703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B6-463A-8E6A-71CA1FA78667}"/>
                </c:ext>
              </c:extLst>
            </c:dLbl>
            <c:dLbl>
              <c:idx val="3"/>
              <c:layout>
                <c:manualLayout>
                  <c:x val="-3.6745178790096936E-3"/>
                  <c:y val="2.476180203501959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B6-463A-8E6A-71CA1FA78667}"/>
                </c:ext>
              </c:extLst>
            </c:dLbl>
            <c:dLbl>
              <c:idx val="4"/>
              <c:layout>
                <c:manualLayout>
                  <c:x val="-2.1774971438735233E-4"/>
                  <c:y val="5.260130154963506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B6-463A-8E6A-71CA1FA78667}"/>
                </c:ext>
              </c:extLst>
            </c:dLbl>
            <c:dLbl>
              <c:idx val="5"/>
              <c:layout>
                <c:manualLayout>
                  <c:x val="-4.7651819369668282E-3"/>
                  <c:y val="9.842879229137454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B6-463A-8E6A-71CA1FA78667}"/>
                </c:ext>
              </c:extLst>
            </c:dLbl>
            <c:dLbl>
              <c:idx val="7"/>
              <c:layout>
                <c:manualLayout>
                  <c:x val="9.8044836054919718E-3"/>
                  <c:y val="-6.7019019882788621E-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B6-463A-8E6A-71CA1FA78667}"/>
                </c:ext>
              </c:extLst>
            </c:dLbl>
            <c:dLbl>
              <c:idx val="8"/>
              <c:layout>
                <c:manualLayout>
                  <c:x val="8.2675797150030435E-3"/>
                  <c:y val="-2.141336784956674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9B6-463A-8E6A-71CA1FA78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0.00%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B6-463A-8E6A-71CA1FA786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61944765592399"/>
          <c:y val="0.18642433394455829"/>
          <c:w val="0.21482304841120051"/>
          <c:h val="0.69710294887775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Change</a:t>
            </a:r>
            <a:r>
              <a:rPr lang="en-IN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in Trends of Inflation rate</a:t>
            </a:r>
            <a:endParaRPr lang="en-IN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'Y-o-y'!$E$16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7E5-4785-88DE-3B33FCAB7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'Y-o-y'!$D$17:$D$22</c:f>
              <c:strCache>
                <c:ptCount val="6"/>
                <c:pt idx="0">
                  <c:v>FY 17-18</c:v>
                </c:pt>
                <c:pt idx="1">
                  <c:v>FY18-19</c:v>
                </c:pt>
                <c:pt idx="2">
                  <c:v>FY 19-20</c:v>
                </c:pt>
                <c:pt idx="3">
                  <c:v>FY 20-21</c:v>
                </c:pt>
                <c:pt idx="4">
                  <c:v>FY21-22</c:v>
                </c:pt>
                <c:pt idx="5">
                  <c:v>FY 22-23</c:v>
                </c:pt>
              </c:strCache>
            </c:strRef>
          </c:cat>
          <c:val>
            <c:numRef>
              <c:f>'Y-o-y'!$E$17:$E$22</c:f>
              <c:numCache>
                <c:formatCode>0.0%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5.1663128096248991E-2</c:v>
                </c:pt>
                <c:pt idx="3">
                  <c:v>5.5181695827725558E-2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5-4785-88DE-3B33FCAB73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  <a:endParaRPr lang="en-IN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Inflation</a:t>
                </a:r>
                <a:r>
                  <a:rPr lang="en-IN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</a:p>
              <a:p>
                <a:pPr>
                  <a:defRPr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IN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 w="3175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Impact of Crude Oil Prices on CPI Categories (2021-2023): A Correlation Analysis</a:t>
            </a:r>
            <a:endParaRPr lang="en-US"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'!$C$44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5"/>
              <c:layout>
                <c:manualLayout>
                  <c:x val="-1.7068311818972679E-3"/>
                  <c:y val="-7.46687804952279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6A4-4D5F-84A0-11F091FF2103}"/>
                </c:ext>
              </c:extLst>
            </c:dLbl>
            <c:dLbl>
              <c:idx val="19"/>
              <c:layout>
                <c:manualLayout>
                  <c:x val="-5.1204935456919285E-3"/>
                  <c:y val="-0.1098070301400409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46-40E2-8159-944493E10246}"/>
                </c:ext>
              </c:extLst>
            </c:dLbl>
            <c:dLbl>
              <c:idx val="20"/>
              <c:layout>
                <c:manualLayout>
                  <c:x val="-1.706831181897393E-3"/>
                  <c:y val="-3.0745968439211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46-40E2-8159-944493E10246}"/>
                </c:ext>
              </c:extLst>
            </c:dLbl>
            <c:dLbl>
              <c:idx val="21"/>
              <c:layout>
                <c:manualLayout>
                  <c:x val="-3.4136623637946607E-3"/>
                  <c:y val="-7.90610617008296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46-40E2-8159-944493E10246}"/>
                </c:ext>
              </c:extLst>
            </c:dLbl>
            <c:dLbl>
              <c:idx val="25"/>
              <c:layout>
                <c:manualLayout>
                  <c:x val="-3.072296127415082E-2"/>
                  <c:y val="-2.63536872336098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303026641753206E-2"/>
                      <c:h val="7.02107879959992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46-40E2-8159-944493E102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'!$B$45:$B$70</c:f>
              <c:strCache>
                <c:ptCount val="26"/>
                <c:pt idx="0">
                  <c:v>Meat and fish</c:v>
                </c:pt>
                <c:pt idx="1">
                  <c:v>Oils and fats</c:v>
                </c:pt>
                <c:pt idx="2">
                  <c:v>Pan, tobacco and intoxicants</c:v>
                </c:pt>
                <c:pt idx="3">
                  <c:v>Pulses and products</c:v>
                </c:pt>
                <c:pt idx="4">
                  <c:v>Transport and communication</c:v>
                </c:pt>
                <c:pt idx="5">
                  <c:v>Non-alcoholic beverages</c:v>
                </c:pt>
                <c:pt idx="6">
                  <c:v>Recreation and amusement</c:v>
                </c:pt>
                <c:pt idx="7">
                  <c:v>Fruits</c:v>
                </c:pt>
                <c:pt idx="8">
                  <c:v>Miscellaneous</c:v>
                </c:pt>
                <c:pt idx="9">
                  <c:v>Food and beverages</c:v>
                </c:pt>
                <c:pt idx="10">
                  <c:v>Prepared meals, snacks, sweets etc.</c:v>
                </c:pt>
                <c:pt idx="11">
                  <c:v>Personal care and effects</c:v>
                </c:pt>
                <c:pt idx="12">
                  <c:v>Footwear</c:v>
                </c:pt>
                <c:pt idx="13">
                  <c:v>Spices</c:v>
                </c:pt>
                <c:pt idx="14">
                  <c:v>Sugar and Confectionery</c:v>
                </c:pt>
                <c:pt idx="15">
                  <c:v>Vegetables</c:v>
                </c:pt>
                <c:pt idx="16">
                  <c:v>Education</c:v>
                </c:pt>
                <c:pt idx="17">
                  <c:v>Clothing and footwear</c:v>
                </c:pt>
                <c:pt idx="18">
                  <c:v>Health</c:v>
                </c:pt>
                <c:pt idx="19">
                  <c:v>Housing</c:v>
                </c:pt>
                <c:pt idx="20">
                  <c:v>Egg</c:v>
                </c:pt>
                <c:pt idx="21">
                  <c:v>Clothing</c:v>
                </c:pt>
                <c:pt idx="22">
                  <c:v>Milk and products</c:v>
                </c:pt>
                <c:pt idx="23">
                  <c:v>Fuel and light</c:v>
                </c:pt>
                <c:pt idx="24">
                  <c:v>Cereals and products</c:v>
                </c:pt>
                <c:pt idx="25">
                  <c:v>Household goods and services</c:v>
                </c:pt>
              </c:strCache>
            </c:strRef>
          </c:cat>
          <c:val>
            <c:numRef>
              <c:f>'Impact of crude oil prices '!$C$45:$C$70</c:f>
              <c:numCache>
                <c:formatCode>0%</c:formatCode>
                <c:ptCount val="26"/>
                <c:pt idx="0">
                  <c:v>0.33940046122387607</c:v>
                </c:pt>
                <c:pt idx="1">
                  <c:v>0.30678676753646755</c:v>
                </c:pt>
                <c:pt idx="2">
                  <c:v>0.22783443890168281</c:v>
                </c:pt>
                <c:pt idx="3">
                  <c:v>0.22053422169446404</c:v>
                </c:pt>
                <c:pt idx="4">
                  <c:v>0.14912204431501902</c:v>
                </c:pt>
                <c:pt idx="5">
                  <c:v>0.13262334309823132</c:v>
                </c:pt>
                <c:pt idx="6">
                  <c:v>0.11958914275303938</c:v>
                </c:pt>
                <c:pt idx="7">
                  <c:v>9.589881967241666E-2</c:v>
                </c:pt>
                <c:pt idx="8">
                  <c:v>6.113427679453342E-2</c:v>
                </c:pt>
                <c:pt idx="9">
                  <c:v>2.4010123994349451E-2</c:v>
                </c:pt>
                <c:pt idx="10">
                  <c:v>1.1777211316717606E-2</c:v>
                </c:pt>
                <c:pt idx="11">
                  <c:v>1.9081568254924863E-3</c:v>
                </c:pt>
                <c:pt idx="12">
                  <c:v>-1.2839132555409622E-2</c:v>
                </c:pt>
                <c:pt idx="13">
                  <c:v>-1.3063206071365067E-2</c:v>
                </c:pt>
                <c:pt idx="14">
                  <c:v>-5.9987305755302207E-2</c:v>
                </c:pt>
                <c:pt idx="15">
                  <c:v>-6.3109136726209866E-2</c:v>
                </c:pt>
                <c:pt idx="16">
                  <c:v>-6.7914045606147305E-2</c:v>
                </c:pt>
                <c:pt idx="17">
                  <c:v>-7.0828836337462592E-2</c:v>
                </c:pt>
                <c:pt idx="18">
                  <c:v>-7.5999325496038675E-2</c:v>
                </c:pt>
                <c:pt idx="19">
                  <c:v>-9.9016649135173801E-2</c:v>
                </c:pt>
                <c:pt idx="20">
                  <c:v>-0.10219059474700004</c:v>
                </c:pt>
                <c:pt idx="21">
                  <c:v>-0.10990327909732772</c:v>
                </c:pt>
                <c:pt idx="22">
                  <c:v>-0.11554819214588398</c:v>
                </c:pt>
                <c:pt idx="23">
                  <c:v>-0.123277336943088</c:v>
                </c:pt>
                <c:pt idx="24">
                  <c:v>-0.14056877521330075</c:v>
                </c:pt>
                <c:pt idx="25">
                  <c:v>-0.18904977094294331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9-4AA4-9254-FF4E06C965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9739375"/>
        <c:axId val="1199741295"/>
      </c:barChart>
      <c:catAx>
        <c:axId val="119973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741295"/>
        <c:crosses val="autoZero"/>
        <c:auto val="1"/>
        <c:lblAlgn val="ctr"/>
        <c:lblOffset val="100"/>
        <c:noMultiLvlLbl val="0"/>
      </c:catAx>
      <c:valAx>
        <c:axId val="1199741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73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M-o-m Inflation Trend(Rural+Urban)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3048352360994828"/>
          <c:y val="0.17337719298245613"/>
          <c:w val="0.73082132711284464"/>
          <c:h val="0.470308398950131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'M-o-m'!$R$5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'M-o-m'!$Q$6:$Q$16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'M-o-m'!$R$6:$R$16</c:f>
              <c:numCache>
                <c:formatCode>General</c:formatCode>
                <c:ptCount val="11"/>
                <c:pt idx="0">
                  <c:v>2266.3000000000002</c:v>
                </c:pt>
                <c:pt idx="1">
                  <c:v>2269.2000000000003</c:v>
                </c:pt>
                <c:pt idx="2">
                  <c:v>2280.9</c:v>
                </c:pt>
                <c:pt idx="3">
                  <c:v>2261.9</c:v>
                </c:pt>
                <c:pt idx="4">
                  <c:v>2296.8000000000002</c:v>
                </c:pt>
                <c:pt idx="5">
                  <c:v>2283.4</c:v>
                </c:pt>
                <c:pt idx="6">
                  <c:v>2292.6999999999998</c:v>
                </c:pt>
                <c:pt idx="7">
                  <c:v>2279.1</c:v>
                </c:pt>
                <c:pt idx="8">
                  <c:v>2279.1999999999998</c:v>
                </c:pt>
                <c:pt idx="9">
                  <c:v>2289.6000000000004</c:v>
                </c:pt>
                <c:pt idx="10">
                  <c:v>2306.9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7-41B1-BE20-E1D65BC124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9728400"/>
        <c:axId val="239729840"/>
      </c:barChart>
      <c:lineChart>
        <c:grouping val="standard"/>
        <c:varyColors val="0"/>
        <c:ser>
          <c:idx val="1"/>
          <c:order val="1"/>
          <c:tx>
            <c:strRef>
              <c:f>'M-o-m'!$S$5</c:f>
              <c:strCache>
                <c:ptCount val="1"/>
                <c:pt idx="0">
                  <c:v>Inflation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layout>
                <c:manualLayout>
                  <c:x val="-7.2727293551121994E-2"/>
                  <c:y val="-1.53560379003943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87-41B1-BE20-E1D65BC12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'M-o-m'!$Q$6:$Q$16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'M-o-m'!$S$6:$S$16</c:f>
              <c:numCache>
                <c:formatCode>0.0%</c:formatCode>
                <c:ptCount val="11"/>
                <c:pt idx="0">
                  <c:v>1.9452672531942573E-3</c:v>
                </c:pt>
                <c:pt idx="1">
                  <c:v>1.279618761858576E-3</c:v>
                </c:pt>
                <c:pt idx="2">
                  <c:v>5.1560021152828386E-3</c:v>
                </c:pt>
                <c:pt idx="3">
                  <c:v>-8.3300451576132223E-3</c:v>
                </c:pt>
                <c:pt idx="4">
                  <c:v>1.5429506167381445E-2</c:v>
                </c:pt>
                <c:pt idx="5">
                  <c:v>-5.8342041100662182E-3</c:v>
                </c:pt>
                <c:pt idx="6">
                  <c:v>4.0728737847068961E-3</c:v>
                </c:pt>
                <c:pt idx="7">
                  <c:v>-5.9318707201116193E-3</c:v>
                </c:pt>
                <c:pt idx="8">
                  <c:v>4.3876968978943027E-5</c:v>
                </c:pt>
                <c:pt idx="9">
                  <c:v>4.5630045630048032E-3</c:v>
                </c:pt>
                <c:pt idx="10">
                  <c:v>7.5559049615652185E-3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7-41B1-BE20-E1D65BC124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9729360"/>
        <c:axId val="239724080"/>
      </c:lineChart>
      <c:catAx>
        <c:axId val="2397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9840"/>
        <c:crosses val="autoZero"/>
        <c:auto val="1"/>
        <c:lblAlgn val="ctr"/>
        <c:lblOffset val="100"/>
        <c:noMultiLvlLbl val="0"/>
      </c:catAx>
      <c:valAx>
        <c:axId val="239729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8400"/>
        <c:crosses val="autoZero"/>
        <c:crossBetween val="between"/>
      </c:valAx>
      <c:valAx>
        <c:axId val="239724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9360"/>
        <c:crosses val="max"/>
        <c:crossBetween val="between"/>
      </c:valAx>
      <c:catAx>
        <c:axId val="239729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972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59105757796925"/>
          <c:y val="0.15241562869825839"/>
          <c:w val="0.38601356793516617"/>
          <c:h val="6.085578118524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IN" sz="1400">
                <a:latin typeface="Times New Roman" panose="02020603050405020304" pitchFamily="18" charset="0"/>
                <a:cs typeface="Times New Roman" panose="02020603050405020304" pitchFamily="18" charset="0"/>
              </a:rPr>
              <a:t>Monthly Inflation Trends in the Food,Essentials and Health Categories (April 2019 - February 2021)</a:t>
            </a:r>
            <a:endParaRPr lang="en-US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844163383949697E-2"/>
          <c:y val="0.15729294030243537"/>
          <c:w val="0.94932039371433485"/>
          <c:h val="0.69162492052512803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Impact'!$AL$37</c:f>
              <c:strCache>
                <c:ptCount val="1"/>
                <c:pt idx="0">
                  <c:v>Food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'Covid Impact'!$AK$38:$AK$60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Impact'!$AL$38:$AL$60</c:f>
              <c:numCache>
                <c:formatCode>0%</c:formatCode>
                <c:ptCount val="23"/>
                <c:pt idx="0">
                  <c:v>1.0550796982244983E-2</c:v>
                </c:pt>
                <c:pt idx="1">
                  <c:v>5.8377771540839441E-3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2.8437269178009844E-2</c:v>
                </c:pt>
                <c:pt idx="13">
                  <c:v>-2.4239470579181803E-3</c:v>
                </c:pt>
                <c:pt idx="14">
                  <c:v>1.1429232608667773E-2</c:v>
                </c:pt>
                <c:pt idx="15">
                  <c:v>0</c:v>
                </c:pt>
                <c:pt idx="16">
                  <c:v>1.4439699003457207E-2</c:v>
                </c:pt>
                <c:pt idx="17">
                  <c:v>5.9141940657579106E-3</c:v>
                </c:pt>
                <c:pt idx="18">
                  <c:v>2.0727453911310596E-2</c:v>
                </c:pt>
                <c:pt idx="19">
                  <c:v>2.2942497315239448E-2</c:v>
                </c:pt>
                <c:pt idx="20">
                  <c:v>6.4420690971559464E-3</c:v>
                </c:pt>
                <c:pt idx="21">
                  <c:v>-1.5456829927457167E-2</c:v>
                </c:pt>
                <c:pt idx="22">
                  <c:v>-1.7914760414158352E-2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9-42E9-8664-059F1DCF9B86}"/>
            </c:ext>
          </c:extLst>
        </c:ser>
        <c:ser>
          <c:idx val="1"/>
          <c:order val="1"/>
          <c:tx>
            <c:strRef>
              <c:f>'Covid Impact'!$AM$37</c:f>
              <c:strCache>
                <c:ptCount val="1"/>
                <c:pt idx="0">
                  <c:v>Essential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'Covid Impact'!$AK$38:$AK$60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Impact'!$AM$38:$AM$60</c:f>
              <c:numCache>
                <c:formatCode>0.0%</c:formatCode>
                <c:ptCount val="23"/>
                <c:pt idx="0">
                  <c:v>1.6685845799770374E-3</c:v>
                </c:pt>
                <c:pt idx="1">
                  <c:v>2.0104543626859668E-3</c:v>
                </c:pt>
                <c:pt idx="2">
                  <c:v>6.8791561568437175E-4</c:v>
                </c:pt>
                <c:pt idx="3">
                  <c:v>1.3748854262145343E-3</c:v>
                </c:pt>
                <c:pt idx="4">
                  <c:v>1.3729977116705326E-3</c:v>
                </c:pt>
                <c:pt idx="5">
                  <c:v>2.285191956122236E-4</c:v>
                </c:pt>
                <c:pt idx="6">
                  <c:v>1.5992689056433685E-3</c:v>
                </c:pt>
                <c:pt idx="7">
                  <c:v>2.5091240875911628E-3</c:v>
                </c:pt>
                <c:pt idx="8">
                  <c:v>2.5028441410694488E-3</c:v>
                </c:pt>
                <c:pt idx="9">
                  <c:v>1.3617793917384609E-3</c:v>
                </c:pt>
                <c:pt idx="10">
                  <c:v>1.8132366273798989E-3</c:v>
                </c:pt>
                <c:pt idx="11">
                  <c:v>2.0361990950227018E-3</c:v>
                </c:pt>
                <c:pt idx="12">
                  <c:v>0</c:v>
                </c:pt>
                <c:pt idx="13">
                  <c:v>6.0961842402347897E-3</c:v>
                </c:pt>
                <c:pt idx="14">
                  <c:v>6.0592459605025399E-3</c:v>
                </c:pt>
                <c:pt idx="15">
                  <c:v>0</c:v>
                </c:pt>
                <c:pt idx="16">
                  <c:v>-2.2306491188928376E-4</c:v>
                </c:pt>
                <c:pt idx="17">
                  <c:v>3.3467202141902208E-3</c:v>
                </c:pt>
                <c:pt idx="18">
                  <c:v>2.0013342228150329E-3</c:v>
                </c:pt>
                <c:pt idx="19">
                  <c:v>3.1069684864626964E-3</c:v>
                </c:pt>
                <c:pt idx="20">
                  <c:v>4.4247787610618202E-3</c:v>
                </c:pt>
                <c:pt idx="21">
                  <c:v>3.9647577092511268E-3</c:v>
                </c:pt>
                <c:pt idx="22">
                  <c:v>1.0092145677928965E-2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9-42E9-8664-059F1DCF9B86}"/>
            </c:ext>
          </c:extLst>
        </c:ser>
        <c:ser>
          <c:idx val="2"/>
          <c:order val="2"/>
          <c:tx>
            <c:strRef>
              <c:f>'Covid Impact'!$AN$37</c:f>
              <c:strCache>
                <c:ptCount val="1"/>
                <c:pt idx="0">
                  <c:v>Health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'Covid Impact'!$AK$38:$AK$60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Impact'!$AN$38:$AN$60</c:f>
              <c:numCache>
                <c:formatCode>0.0%</c:formatCode>
                <c:ptCount val="23"/>
                <c:pt idx="0">
                  <c:v>2.2229822161421932E-3</c:v>
                </c:pt>
                <c:pt idx="1">
                  <c:v>2.5592902235115405E-3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-1.0505581089954186E-2</c:v>
                </c:pt>
                <c:pt idx="13">
                  <c:v>1.4930325149303253E-2</c:v>
                </c:pt>
                <c:pt idx="14">
                  <c:v>9.4802222948677153E-3</c:v>
                </c:pt>
                <c:pt idx="15">
                  <c:v>0</c:v>
                </c:pt>
                <c:pt idx="16">
                  <c:v>3.8860103626942636E-3</c:v>
                </c:pt>
                <c:pt idx="17">
                  <c:v>3.870967741935447E-3</c:v>
                </c:pt>
                <c:pt idx="18">
                  <c:v>4.4987146529564077E-3</c:v>
                </c:pt>
                <c:pt idx="19">
                  <c:v>5.7581573896351712E-3</c:v>
                </c:pt>
                <c:pt idx="20">
                  <c:v>6.9974554707380584E-3</c:v>
                </c:pt>
                <c:pt idx="21">
                  <c:v>6.3171193935565376E-3</c:v>
                </c:pt>
                <c:pt idx="22">
                  <c:v>1.2554927809165096E-2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9-42E9-8664-059F1DCF9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18573872"/>
        <c:axId val="318585392"/>
      </c:areaChart>
      <c:catAx>
        <c:axId val="31857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bg1"/>
                    </a:solidFill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5011444433141744"/>
              <c:y val="0.86641782372586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85392"/>
        <c:crosses val="autoZero"/>
        <c:auto val="1"/>
        <c:lblAlgn val="ctr"/>
        <c:lblOffset val="100"/>
        <c:noMultiLvlLbl val="0"/>
      </c:catAx>
      <c:valAx>
        <c:axId val="318585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73872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layout>
        <c:manualLayout>
          <c:xMode val="edge"/>
          <c:yMode val="edge"/>
          <c:x val="0.61678848678496367"/>
          <c:y val="0.88199994212598798"/>
          <c:w val="0.29629099447526236"/>
          <c:h val="4.9219091258589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Analysis of Inflation Trends in the Year 2019: Identifying Key Contributing Categories.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'Y-o-y'!$F$41</c:f>
              <c:strCache>
                <c:ptCount val="1"/>
                <c:pt idx="0">
                  <c:v>Inflation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'Y-o-y'!$E$42:$E$50</c:f>
              <c:strCache>
                <c:ptCount val="9"/>
                <c:pt idx="0">
                  <c:v>Essentials</c:v>
                </c:pt>
                <c:pt idx="1">
                  <c:v>Transport and communication</c:v>
                </c:pt>
                <c:pt idx="2">
                  <c:v>Fuel and light</c:v>
                </c:pt>
                <c:pt idx="3">
                  <c:v>Miscellaneous</c:v>
                </c:pt>
                <c:pt idx="4">
                  <c:v>Health</c:v>
                </c:pt>
                <c:pt idx="5">
                  <c:v>Food</c:v>
                </c:pt>
                <c:pt idx="6">
                  <c:v>Luxury</c:v>
                </c:pt>
                <c:pt idx="7">
                  <c:v>Housing</c:v>
                </c:pt>
                <c:pt idx="8">
                  <c:v>Education</c:v>
                </c:pt>
              </c:strCache>
            </c:strRef>
          </c:cat>
          <c:val>
            <c:numRef>
              <c:f>'Y-o-y'!$F$42:$F$50</c:f>
              <c:numCache>
                <c:formatCode>0%</c:formatCode>
                <c:ptCount val="9"/>
                <c:pt idx="0">
                  <c:v>9.2983211364614571E-2</c:v>
                </c:pt>
                <c:pt idx="1">
                  <c:v>7.7080491132332965E-2</c:v>
                </c:pt>
                <c:pt idx="2">
                  <c:v>7.455012853470433E-2</c:v>
                </c:pt>
                <c:pt idx="3">
                  <c:v>6.6062176165803038E-2</c:v>
                </c:pt>
                <c:pt idx="4">
                  <c:v>6.5927295132470656E-2</c:v>
                </c:pt>
                <c:pt idx="5">
                  <c:v>5.8185165447410675E-2</c:v>
                </c:pt>
                <c:pt idx="6">
                  <c:v>5.3880176919984056E-2</c:v>
                </c:pt>
                <c:pt idx="7">
                  <c:v>4.7573435504469908E-2</c:v>
                </c:pt>
                <c:pt idx="8">
                  <c:v>3.5558328134747276E-2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0-4E68-9BA2-FFD1E07727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Boarder</a:t>
                </a:r>
                <a:r>
                  <a:rPr lang="en-IN" baseline="0"/>
                  <a:t> Categories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Food</a:t>
            </a:r>
            <a:r>
              <a:rPr lang="en-US" b="1" baseline="0">
                <a:solidFill>
                  <a:sysClr val="windowText" lastClr="000000"/>
                </a:solidFill>
              </a:rPr>
              <a:t> is the major contributor to rise in inflation rate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 w="12700"/>
          </c:spPr>
          <c:dPt>
            <c:idx val="0"/>
            <c:bubble3D val="0"/>
            <c:spPr>
              <a:solidFill>
                <a:schemeClr val="accent1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88-44EA-A160-B4C81B4785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7-41FD-BE3D-008C0E459A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7-41FD-BE3D-008C0E459A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7-41FD-BE3D-008C0E459A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7-41FD-BE3D-008C0E459A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7-41FD-BE3D-008C0E459A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7-41FD-BE3D-008C0E459A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7-41FD-BE3D-008C0E459A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E7-41FD-BE3D-008C0E459A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0.00%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8-44EA-A160-B4C81B4785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Change</a:t>
            </a:r>
            <a:r>
              <a:rPr lang="en-IN" baseline="0"/>
              <a:t> in Trends of Inflation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'Y-o-y'!$E$16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058-48E2-BDD2-767EA850C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'Y-o-y'!$D$17:$D$22</c:f>
              <c:strCache>
                <c:ptCount val="6"/>
                <c:pt idx="0">
                  <c:v>FY 17-18</c:v>
                </c:pt>
                <c:pt idx="1">
                  <c:v>FY18-19</c:v>
                </c:pt>
                <c:pt idx="2">
                  <c:v>FY 19-20</c:v>
                </c:pt>
                <c:pt idx="3">
                  <c:v>FY 20-21</c:v>
                </c:pt>
                <c:pt idx="4">
                  <c:v>FY21-22</c:v>
                </c:pt>
                <c:pt idx="5">
                  <c:v>FY 22-23</c:v>
                </c:pt>
              </c:strCache>
            </c:strRef>
          </c:cat>
          <c:val>
            <c:numRef>
              <c:f>'Y-o-y'!$E$17:$E$22</c:f>
              <c:numCache>
                <c:formatCode>0.0%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5.1663128096248991E-2</c:v>
                </c:pt>
                <c:pt idx="3">
                  <c:v>5.5181695827725558E-2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8-48E2-BDD2-767EA850CA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Financial</a:t>
                </a:r>
                <a:r>
                  <a:rPr lang="en-IN" baseline="0"/>
                  <a:t> Year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Inflation</a:t>
                </a:r>
                <a:r>
                  <a:rPr lang="en-IN" b="1" baseline="0"/>
                  <a:t> Rate</a:t>
                </a:r>
              </a:p>
              <a:p>
                <a:pPr>
                  <a:defRPr/>
                </a:pP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Analysis of Inflation Trends in the Year 2019: Identifying Key Contributing Categories.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'Y-o-y'!$F$41</c:f>
              <c:strCache>
                <c:ptCount val="1"/>
                <c:pt idx="0">
                  <c:v>Inflation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'Y-o-y'!$E$42:$E$50</c:f>
              <c:strCache>
                <c:ptCount val="9"/>
                <c:pt idx="0">
                  <c:v>Essentials</c:v>
                </c:pt>
                <c:pt idx="1">
                  <c:v>Transport and communication</c:v>
                </c:pt>
                <c:pt idx="2">
                  <c:v>Fuel and light</c:v>
                </c:pt>
                <c:pt idx="3">
                  <c:v>Miscellaneous</c:v>
                </c:pt>
                <c:pt idx="4">
                  <c:v>Health</c:v>
                </c:pt>
                <c:pt idx="5">
                  <c:v>Food</c:v>
                </c:pt>
                <c:pt idx="6">
                  <c:v>Luxury</c:v>
                </c:pt>
                <c:pt idx="7">
                  <c:v>Housing</c:v>
                </c:pt>
                <c:pt idx="8">
                  <c:v>Education</c:v>
                </c:pt>
              </c:strCache>
            </c:strRef>
          </c:cat>
          <c:val>
            <c:numRef>
              <c:f>'Y-o-y'!$F$42:$F$50</c:f>
              <c:numCache>
                <c:formatCode>0%</c:formatCode>
                <c:ptCount val="9"/>
                <c:pt idx="0">
                  <c:v>9.2983211364614571E-2</c:v>
                </c:pt>
                <c:pt idx="1">
                  <c:v>7.7080491132332965E-2</c:v>
                </c:pt>
                <c:pt idx="2">
                  <c:v>7.455012853470433E-2</c:v>
                </c:pt>
                <c:pt idx="3">
                  <c:v>6.6062176165803038E-2</c:v>
                </c:pt>
                <c:pt idx="4">
                  <c:v>6.5927295132470656E-2</c:v>
                </c:pt>
                <c:pt idx="5">
                  <c:v>5.8185165447410675E-2</c:v>
                </c:pt>
                <c:pt idx="6">
                  <c:v>5.3880176919984056E-2</c:v>
                </c:pt>
                <c:pt idx="7">
                  <c:v>4.7573435504469908E-2</c:v>
                </c:pt>
                <c:pt idx="8">
                  <c:v>3.5558328134747276E-2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D-4D84-8ED5-5F61DA55DD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Boarder</a:t>
                </a:r>
                <a:r>
                  <a:rPr lang="en-IN" baseline="0"/>
                  <a:t> Categories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M-o-m</a:t>
            </a:r>
            <a:r>
              <a:rPr lang="en-IN" baseline="0"/>
              <a:t> Inflation Trend(Rural)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09688694565723"/>
          <c:y val="0.18258660508083141"/>
          <c:w val="0.76064333954799945"/>
          <c:h val="0.46526704369805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'M-o-m'!$J$5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'M-o-m'!$I$6:$I$16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'M-o-m'!$J$6:$J$16</c:f>
              <c:numCache>
                <c:formatCode>General</c:formatCode>
                <c:ptCount val="11"/>
                <c:pt idx="0">
                  <c:v>2252.5</c:v>
                </c:pt>
                <c:pt idx="1">
                  <c:v>2255.7999999999997</c:v>
                </c:pt>
                <c:pt idx="2">
                  <c:v>2267.8000000000002</c:v>
                </c:pt>
                <c:pt idx="3">
                  <c:v>2284.5</c:v>
                </c:pt>
                <c:pt idx="4">
                  <c:v>2287.6999999999998</c:v>
                </c:pt>
                <c:pt idx="5">
                  <c:v>2277.1</c:v>
                </c:pt>
                <c:pt idx="6">
                  <c:v>2283.2000000000003</c:v>
                </c:pt>
                <c:pt idx="7">
                  <c:v>2265.6999999999998</c:v>
                </c:pt>
                <c:pt idx="8">
                  <c:v>2265.8000000000002</c:v>
                </c:pt>
                <c:pt idx="9">
                  <c:v>2274.1999999999998</c:v>
                </c:pt>
                <c:pt idx="10">
                  <c:v>2290.7000000000007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A-4A6C-ACB7-FFE77423F0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3272431"/>
        <c:axId val="1893270511"/>
      </c:barChart>
      <c:lineChart>
        <c:grouping val="standard"/>
        <c:varyColors val="0"/>
        <c:ser>
          <c:idx val="1"/>
          <c:order val="1"/>
          <c:tx>
            <c:strRef>
              <c:f>'M-o-m'!$K$5</c:f>
              <c:strCache>
                <c:ptCount val="1"/>
                <c:pt idx="0">
                  <c:v>Inflation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'M-o-m'!$I$6:$I$16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'M-o-m'!$K$6:$K$16</c:f>
              <c:numCache>
                <c:formatCode>0.0%</c:formatCode>
                <c:ptCount val="11"/>
                <c:pt idx="0">
                  <c:v>1.8680781034558635E-3</c:v>
                </c:pt>
                <c:pt idx="1">
                  <c:v>1.4650388457268489E-3</c:v>
                </c:pt>
                <c:pt idx="2">
                  <c:v>5.3196205337354627E-3</c:v>
                </c:pt>
                <c:pt idx="3">
                  <c:v>7.3639650762853063E-3</c:v>
                </c:pt>
                <c:pt idx="4">
                  <c:v>1.4007441453271255E-3</c:v>
                </c:pt>
                <c:pt idx="5">
                  <c:v>-4.6334746688813698E-3</c:v>
                </c:pt>
                <c:pt idx="6">
                  <c:v>2.678845900487622E-3</c:v>
                </c:pt>
                <c:pt idx="7">
                  <c:v>-7.6646811492643886E-3</c:v>
                </c:pt>
                <c:pt idx="8">
                  <c:v>4.4136469965292762E-5</c:v>
                </c:pt>
                <c:pt idx="9">
                  <c:v>3.7072998499424643E-3</c:v>
                </c:pt>
                <c:pt idx="10">
                  <c:v>7.2552985665292899E-3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A-4A6C-ACB7-FFE77423F0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3281071"/>
        <c:axId val="1893280111"/>
      </c:lineChart>
      <c:catAx>
        <c:axId val="189327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70511"/>
        <c:crosses val="autoZero"/>
        <c:auto val="1"/>
        <c:lblAlgn val="ctr"/>
        <c:lblOffset val="100"/>
        <c:noMultiLvlLbl val="0"/>
      </c:catAx>
      <c:valAx>
        <c:axId val="1893270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72431"/>
        <c:crosses val="autoZero"/>
        <c:crossBetween val="between"/>
      </c:valAx>
      <c:valAx>
        <c:axId val="18932801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81071"/>
        <c:crosses val="max"/>
        <c:crossBetween val="between"/>
      </c:valAx>
      <c:catAx>
        <c:axId val="18932810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932801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857883812381474"/>
          <c:y val="0.14607335745849317"/>
          <c:w val="0.26395641904592482"/>
          <c:h val="5.0231492426033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M-o-m Inflation Trend(Urban)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2624266154192687"/>
          <c:y val="0.16669662921348313"/>
          <c:w val="0.74912130201618898"/>
          <c:h val="0.469169954879235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'M-o-m'!$N$5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'M-o-m'!$M$6:$M$16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'M-o-m'!$N$6:$N$16</c:f>
              <c:numCache>
                <c:formatCode>General</c:formatCode>
                <c:ptCount val="11"/>
                <c:pt idx="0">
                  <c:v>2291.6</c:v>
                </c:pt>
                <c:pt idx="1">
                  <c:v>2293.6999999999998</c:v>
                </c:pt>
                <c:pt idx="2">
                  <c:v>2306.4</c:v>
                </c:pt>
                <c:pt idx="3">
                  <c:v>2287.5</c:v>
                </c:pt>
                <c:pt idx="4">
                  <c:v>2314.4</c:v>
                </c:pt>
                <c:pt idx="5">
                  <c:v>2295.7999999999997</c:v>
                </c:pt>
                <c:pt idx="6">
                  <c:v>2310.2000000000003</c:v>
                </c:pt>
                <c:pt idx="7">
                  <c:v>2303.1999999999998</c:v>
                </c:pt>
                <c:pt idx="8">
                  <c:v>2303.4</c:v>
                </c:pt>
                <c:pt idx="9">
                  <c:v>2317.7000000000003</c:v>
                </c:pt>
                <c:pt idx="10">
                  <c:v>2335.1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3ED-93F1-E848C51C78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4446751"/>
        <c:axId val="1744440511"/>
      </c:barChart>
      <c:lineChart>
        <c:grouping val="standard"/>
        <c:varyColors val="0"/>
        <c:ser>
          <c:idx val="1"/>
          <c:order val="1"/>
          <c:tx>
            <c:strRef>
              <c:f>'M-o-m'!$O$5</c:f>
              <c:strCache>
                <c:ptCount val="1"/>
                <c:pt idx="0">
                  <c:v>Inflation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layout>
                <c:manualLayout>
                  <c:x val="-2.4400422069663193E-2"/>
                  <c:y val="-0.137136177234140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8CE-45BC-BF27-07CFD99F25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'M-o-m'!$M$6:$M$16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'M-o-m'!$O$6:$O$16</c:f>
              <c:numCache>
                <c:formatCode>0.0%</c:formatCode>
                <c:ptCount val="11"/>
                <c:pt idx="0">
                  <c:v>1.7923497267759165E-3</c:v>
                </c:pt>
                <c:pt idx="1">
                  <c:v>9.1639029499036005E-4</c:v>
                </c:pt>
                <c:pt idx="2">
                  <c:v>5.5369054366308902E-3</c:v>
                </c:pt>
                <c:pt idx="3">
                  <c:v>-8.1945889698231394E-3</c:v>
                </c:pt>
                <c:pt idx="4">
                  <c:v>1.1759562841530095E-2</c:v>
                </c:pt>
                <c:pt idx="5">
                  <c:v>-8.0366401659178899E-3</c:v>
                </c:pt>
                <c:pt idx="6">
                  <c:v>6.2723233731163631E-3</c:v>
                </c:pt>
                <c:pt idx="7">
                  <c:v>-3.0300406891180217E-3</c:v>
                </c:pt>
                <c:pt idx="8">
                  <c:v>8.6835706842772171E-5</c:v>
                </c:pt>
                <c:pt idx="9">
                  <c:v>6.2082139446037084E-3</c:v>
                </c:pt>
                <c:pt idx="10">
                  <c:v>7.5074427233894096E-3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3-43ED-93F1-E848C51C78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4442911"/>
        <c:axId val="1744443871"/>
      </c:lineChart>
      <c:catAx>
        <c:axId val="174444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</a:rPr>
                  <a:t>MONTH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40511"/>
        <c:crosses val="autoZero"/>
        <c:auto val="1"/>
        <c:lblAlgn val="ctr"/>
        <c:lblOffset val="100"/>
        <c:noMultiLvlLbl val="0"/>
      </c:catAx>
      <c:valAx>
        <c:axId val="1744440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</a:rPr>
                  <a:t>CPI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46751"/>
        <c:crosses val="autoZero"/>
        <c:crossBetween val="between"/>
      </c:valAx>
      <c:valAx>
        <c:axId val="17444438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 b="1" i="0" u="none" strike="noStrike" kern="1200" cap="all" baseline="0">
                    <a:solidFill>
                      <a:sysClr val="window" lastClr="FFFFFF">
                        <a:lumMod val="85000"/>
                      </a:sysClr>
                    </a:solidFill>
                  </a:rPr>
                  <a:t>iNFLATION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42911"/>
        <c:crosses val="max"/>
        <c:crossBetween val="between"/>
      </c:valAx>
      <c:catAx>
        <c:axId val="17444429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4443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964291362544981"/>
          <c:y val="0.84325789613376978"/>
          <c:w val="0.28948238058971404"/>
          <c:h val="7.4651264129432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M-o-m Inflation Trend(Rural+Urban)</a:t>
            </a:r>
            <a:endParaRPr lang="en-IN" sz="18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3048352360994828"/>
          <c:y val="0.17337719298245613"/>
          <c:w val="0.73082132711284464"/>
          <c:h val="0.470308398950131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'M-o-m'!$R$5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'M-o-m'!$Q$6:$Q$16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'M-o-m'!$R$6:$R$16</c:f>
              <c:numCache>
                <c:formatCode>General</c:formatCode>
                <c:ptCount val="11"/>
                <c:pt idx="0">
                  <c:v>2266.3000000000002</c:v>
                </c:pt>
                <c:pt idx="1">
                  <c:v>2269.2000000000003</c:v>
                </c:pt>
                <c:pt idx="2">
                  <c:v>2280.9</c:v>
                </c:pt>
                <c:pt idx="3">
                  <c:v>2261.9</c:v>
                </c:pt>
                <c:pt idx="4">
                  <c:v>2296.8000000000002</c:v>
                </c:pt>
                <c:pt idx="5">
                  <c:v>2283.4</c:v>
                </c:pt>
                <c:pt idx="6">
                  <c:v>2292.6999999999998</c:v>
                </c:pt>
                <c:pt idx="7">
                  <c:v>2279.1</c:v>
                </c:pt>
                <c:pt idx="8">
                  <c:v>2279.1999999999998</c:v>
                </c:pt>
                <c:pt idx="9">
                  <c:v>2289.6000000000004</c:v>
                </c:pt>
                <c:pt idx="10">
                  <c:v>2306.9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F-4E0A-BFF1-1661C72375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9728400"/>
        <c:axId val="239729840"/>
      </c:barChart>
      <c:lineChart>
        <c:grouping val="standard"/>
        <c:varyColors val="0"/>
        <c:ser>
          <c:idx val="1"/>
          <c:order val="1"/>
          <c:tx>
            <c:strRef>
              <c:f>'M-o-m'!$S$5</c:f>
              <c:strCache>
                <c:ptCount val="1"/>
                <c:pt idx="0">
                  <c:v>Inflation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'M-o-m'!$Q$6:$Q$16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'M-o-m'!$S$6:$S$16</c:f>
              <c:numCache>
                <c:formatCode>0.0%</c:formatCode>
                <c:ptCount val="11"/>
                <c:pt idx="0">
                  <c:v>1.9452672531942573E-3</c:v>
                </c:pt>
                <c:pt idx="1">
                  <c:v>1.279618761858576E-3</c:v>
                </c:pt>
                <c:pt idx="2">
                  <c:v>5.1560021152828386E-3</c:v>
                </c:pt>
                <c:pt idx="3">
                  <c:v>-8.3300451576132223E-3</c:v>
                </c:pt>
                <c:pt idx="4">
                  <c:v>1.5429506167381445E-2</c:v>
                </c:pt>
                <c:pt idx="5">
                  <c:v>-5.8342041100662182E-3</c:v>
                </c:pt>
                <c:pt idx="6">
                  <c:v>4.0728737847068961E-3</c:v>
                </c:pt>
                <c:pt idx="7">
                  <c:v>-5.9318707201116193E-3</c:v>
                </c:pt>
                <c:pt idx="8">
                  <c:v>4.3876968978943027E-5</c:v>
                </c:pt>
                <c:pt idx="9">
                  <c:v>4.5630045630048032E-3</c:v>
                </c:pt>
                <c:pt idx="10">
                  <c:v>7.5559049615652185E-3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9F-4E0A-BFF1-1661C72375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9729360"/>
        <c:axId val="239724080"/>
      </c:lineChart>
      <c:catAx>
        <c:axId val="2397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9840"/>
        <c:crosses val="autoZero"/>
        <c:auto val="1"/>
        <c:lblAlgn val="ctr"/>
        <c:lblOffset val="100"/>
        <c:noMultiLvlLbl val="0"/>
      </c:catAx>
      <c:valAx>
        <c:axId val="239729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8400"/>
        <c:crosses val="autoZero"/>
        <c:crossBetween val="between"/>
      </c:valAx>
      <c:valAx>
        <c:axId val="239724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9360"/>
        <c:crosses val="max"/>
        <c:crossBetween val="between"/>
      </c:valAx>
      <c:catAx>
        <c:axId val="239729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972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313663619337073"/>
          <c:y val="0.1408986047796657"/>
          <c:w val="0.27692260040942951"/>
          <c:h val="6.085578118524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M-o-m Inflation Trend(Rural+Urban)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3048352360994828"/>
          <c:y val="0.17337719298245613"/>
          <c:w val="0.73082132711284464"/>
          <c:h val="0.470308398950131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'M-o-m'!$R$5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'M-o-m'!$Q$6:$Q$16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'M-o-m'!$R$6:$R$16</c:f>
              <c:numCache>
                <c:formatCode>General</c:formatCode>
                <c:ptCount val="11"/>
                <c:pt idx="0">
                  <c:v>2266.3000000000002</c:v>
                </c:pt>
                <c:pt idx="1">
                  <c:v>2269.2000000000003</c:v>
                </c:pt>
                <c:pt idx="2">
                  <c:v>2280.9</c:v>
                </c:pt>
                <c:pt idx="3">
                  <c:v>2261.9</c:v>
                </c:pt>
                <c:pt idx="4">
                  <c:v>2296.8000000000002</c:v>
                </c:pt>
                <c:pt idx="5">
                  <c:v>2283.4</c:v>
                </c:pt>
                <c:pt idx="6">
                  <c:v>2292.6999999999998</c:v>
                </c:pt>
                <c:pt idx="7">
                  <c:v>2279.1</c:v>
                </c:pt>
                <c:pt idx="8">
                  <c:v>2279.1999999999998</c:v>
                </c:pt>
                <c:pt idx="9">
                  <c:v>2289.6000000000004</c:v>
                </c:pt>
                <c:pt idx="10">
                  <c:v>2306.9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0-418B-A7A2-0FA37BCF19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9728400"/>
        <c:axId val="239729840"/>
      </c:barChart>
      <c:lineChart>
        <c:grouping val="standard"/>
        <c:varyColors val="0"/>
        <c:ser>
          <c:idx val="1"/>
          <c:order val="1"/>
          <c:tx>
            <c:strRef>
              <c:f>'M-o-m'!$S$5</c:f>
              <c:strCache>
                <c:ptCount val="1"/>
                <c:pt idx="0">
                  <c:v>Inflation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layout>
                <c:manualLayout>
                  <c:x val="-5.6300832549732602E-2"/>
                  <c:y val="-0.190174597430466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DF0-418B-A7A2-0FA37BCF19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'M-o-m'!$Q$6:$Q$16</c:f>
              <c:strCache>
                <c:ptCount val="11"/>
                <c:pt idx="0">
                  <c:v>July-2022</c:v>
                </c:pt>
                <c:pt idx="1">
                  <c:v>August-2022</c:v>
                </c:pt>
                <c:pt idx="2">
                  <c:v>September-2022</c:v>
                </c:pt>
                <c:pt idx="3">
                  <c:v>October-2022</c:v>
                </c:pt>
                <c:pt idx="4">
                  <c:v>November-2022</c:v>
                </c:pt>
                <c:pt idx="5">
                  <c:v>December-2022</c:v>
                </c:pt>
                <c:pt idx="6">
                  <c:v>January-2023</c:v>
                </c:pt>
                <c:pt idx="7">
                  <c:v>February-2023</c:v>
                </c:pt>
                <c:pt idx="8">
                  <c:v>March-2023</c:v>
                </c:pt>
                <c:pt idx="9">
                  <c:v>April-2023</c:v>
                </c:pt>
                <c:pt idx="10">
                  <c:v>May-2023</c:v>
                </c:pt>
              </c:strCache>
            </c:strRef>
          </c:cat>
          <c:val>
            <c:numRef>
              <c:f>'M-o-m'!$S$6:$S$16</c:f>
              <c:numCache>
                <c:formatCode>0.0%</c:formatCode>
                <c:ptCount val="11"/>
                <c:pt idx="0">
                  <c:v>1.9452672531942573E-3</c:v>
                </c:pt>
                <c:pt idx="1">
                  <c:v>1.279618761858576E-3</c:v>
                </c:pt>
                <c:pt idx="2">
                  <c:v>5.1560021152828386E-3</c:v>
                </c:pt>
                <c:pt idx="3">
                  <c:v>-8.3300451576132223E-3</c:v>
                </c:pt>
                <c:pt idx="4">
                  <c:v>1.5429506167381445E-2</c:v>
                </c:pt>
                <c:pt idx="5">
                  <c:v>-5.8342041100662182E-3</c:v>
                </c:pt>
                <c:pt idx="6">
                  <c:v>4.0728737847068961E-3</c:v>
                </c:pt>
                <c:pt idx="7">
                  <c:v>-5.9318707201116193E-3</c:v>
                </c:pt>
                <c:pt idx="8">
                  <c:v>4.3876968978943027E-5</c:v>
                </c:pt>
                <c:pt idx="9">
                  <c:v>4.5630045630048032E-3</c:v>
                </c:pt>
                <c:pt idx="10">
                  <c:v>7.5559049615652185E-3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F0-418B-A7A2-0FA37BCF19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9729360"/>
        <c:axId val="239724080"/>
      </c:lineChart>
      <c:catAx>
        <c:axId val="2397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9840"/>
        <c:crosses val="autoZero"/>
        <c:auto val="1"/>
        <c:lblAlgn val="ctr"/>
        <c:lblOffset val="100"/>
        <c:noMultiLvlLbl val="0"/>
      </c:catAx>
      <c:valAx>
        <c:axId val="239729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8400"/>
        <c:crosses val="autoZero"/>
        <c:crossBetween val="between"/>
      </c:valAx>
      <c:valAx>
        <c:axId val="239724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29360"/>
        <c:crosses val="max"/>
        <c:crossBetween val="between"/>
      </c:valAx>
      <c:catAx>
        <c:axId val="239729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972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59105757796925"/>
          <c:y val="0.15241562869825839"/>
          <c:w val="0.38601356793516617"/>
          <c:h val="6.085578118524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Health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554051546116115E-2"/>
          <c:y val="0.18208366370493748"/>
          <c:w val="0.94171365986231936"/>
          <c:h val="0.70193089789812213"/>
        </c:manualLayout>
      </c:layout>
      <c:lineChart>
        <c:grouping val="standard"/>
        <c:varyColors val="0"/>
        <c:ser>
          <c:idx val="0"/>
          <c:order val="0"/>
          <c:tx>
            <c:strRef>
              <c:f>'Covid Impact'!$BF$2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Impact'!$BE$3:$BE$25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Impact'!$BF$3:$BF$25</c:f>
              <c:numCache>
                <c:formatCode>0%</c:formatCode>
                <c:ptCount val="23"/>
                <c:pt idx="0">
                  <c:v>2.8257978723403121E-3</c:v>
                </c:pt>
                <c:pt idx="1">
                  <c:v>3.149345267694499E-3</c:v>
                </c:pt>
                <c:pt idx="2">
                  <c:v>2.6437541308656789E-3</c:v>
                </c:pt>
                <c:pt idx="3">
                  <c:v>3.2959789057350037E-3</c:v>
                </c:pt>
                <c:pt idx="4">
                  <c:v>3.28515111695138E-3</c:v>
                </c:pt>
                <c:pt idx="5">
                  <c:v>4.5841519318927122E-3</c:v>
                </c:pt>
                <c:pt idx="6">
                  <c:v>1.9556714471967596E-3</c:v>
                </c:pt>
                <c:pt idx="7">
                  <c:v>3.9037085230970905E-3</c:v>
                </c:pt>
                <c:pt idx="8">
                  <c:v>3.2404406999351908E-3</c:v>
                </c:pt>
                <c:pt idx="9">
                  <c:v>5.8139534883719455E-3</c:v>
                </c:pt>
                <c:pt idx="10">
                  <c:v>3.2113037893384717E-3</c:v>
                </c:pt>
                <c:pt idx="11">
                  <c:v>3.2010243277848915E-3</c:v>
                </c:pt>
                <c:pt idx="12">
                  <c:v>-1.5315890236119831E-2</c:v>
                </c:pt>
                <c:pt idx="13">
                  <c:v>1.6526247569669365E-2</c:v>
                </c:pt>
                <c:pt idx="14">
                  <c:v>8.6069493146317781E-3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5-4795-976D-D689495EB7AD}"/>
            </c:ext>
          </c:extLst>
        </c:ser>
        <c:ser>
          <c:idx val="1"/>
          <c:order val="1"/>
          <c:tx>
            <c:strRef>
              <c:f>'Covid Impact'!$BG$2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Impact'!$BE$3:$BE$25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Impact'!$BG$3:$BG$25</c:f>
              <c:numCache>
                <c:formatCode>0%</c:formatCode>
                <c:ptCount val="23"/>
                <c:pt idx="0">
                  <c:v>1.7959770114942531E-3</c:v>
                </c:pt>
                <c:pt idx="1">
                  <c:v>2.5098601649338314E-3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-1.3793103448275078E-3</c:v>
                </c:pt>
                <c:pt idx="13">
                  <c:v>1.1740331491712627E-2</c:v>
                </c:pt>
                <c:pt idx="14">
                  <c:v>1.0921501706484604E-2</c:v>
                </c:pt>
                <c:pt idx="15">
                  <c:v>0</c:v>
                </c:pt>
                <c:pt idx="16">
                  <c:v>4.051316677920286E-3</c:v>
                </c:pt>
                <c:pt idx="17">
                  <c:v>8.7424344317418388E-3</c:v>
                </c:pt>
                <c:pt idx="18">
                  <c:v>6.6666666666666671E-3</c:v>
                </c:pt>
                <c:pt idx="19">
                  <c:v>6.6225165562913907E-3</c:v>
                </c:pt>
                <c:pt idx="20">
                  <c:v>5.9210526315789849E-3</c:v>
                </c:pt>
                <c:pt idx="21">
                  <c:v>7.848266841072522E-3</c:v>
                </c:pt>
                <c:pt idx="22">
                  <c:v>1.4276443867618541E-2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5-4795-976D-D689495EB7AD}"/>
            </c:ext>
          </c:extLst>
        </c:ser>
        <c:ser>
          <c:idx val="2"/>
          <c:order val="2"/>
          <c:tx>
            <c:strRef>
              <c:f>'Covid Impact'!$BH$2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Impact'!$BE$3:$BE$25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Impact'!$BH$3:$BH$25</c:f>
              <c:numCache>
                <c:formatCode>0%</c:formatCode>
                <c:ptCount val="23"/>
                <c:pt idx="0">
                  <c:v>2.2229822161421932E-3</c:v>
                </c:pt>
                <c:pt idx="1">
                  <c:v>2.5592902235115405E-3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-1.0505581089954186E-2</c:v>
                </c:pt>
                <c:pt idx="13">
                  <c:v>1.4930325149303253E-2</c:v>
                </c:pt>
                <c:pt idx="14">
                  <c:v>9.4802222948677153E-3</c:v>
                </c:pt>
                <c:pt idx="15">
                  <c:v>0</c:v>
                </c:pt>
                <c:pt idx="16">
                  <c:v>3.8860103626942636E-3</c:v>
                </c:pt>
                <c:pt idx="17">
                  <c:v>3.870967741935447E-3</c:v>
                </c:pt>
                <c:pt idx="18">
                  <c:v>4.4987146529564077E-3</c:v>
                </c:pt>
                <c:pt idx="19">
                  <c:v>5.7581573896351712E-3</c:v>
                </c:pt>
                <c:pt idx="20">
                  <c:v>6.9974554707380584E-3</c:v>
                </c:pt>
                <c:pt idx="21">
                  <c:v>6.3171193935565376E-3</c:v>
                </c:pt>
                <c:pt idx="22">
                  <c:v>1.2554927809165096E-2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5-4795-976D-D689495E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21935"/>
        <c:axId val="1030720015"/>
      </c:lineChart>
      <c:catAx>
        <c:axId val="10307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0015"/>
        <c:crosses val="autoZero"/>
        <c:auto val="1"/>
        <c:lblAlgn val="ctr"/>
        <c:lblOffset val="100"/>
        <c:noMultiLvlLbl val="0"/>
      </c:catAx>
      <c:valAx>
        <c:axId val="103072001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1935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Impact'!$I$2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Impact'!$H$3:$H$25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Impact'!$I$3:$I$25</c:f>
              <c:numCache>
                <c:formatCode>0%</c:formatCode>
                <c:ptCount val="23"/>
                <c:pt idx="0">
                  <c:v>8.8717919600272525E-3</c:v>
                </c:pt>
                <c:pt idx="1">
                  <c:v>2.9687785797700185E-3</c:v>
                </c:pt>
                <c:pt idx="2">
                  <c:v>1.2401099826047741E-2</c:v>
                </c:pt>
                <c:pt idx="3">
                  <c:v>1.2581753685844167E-2</c:v>
                </c:pt>
                <c:pt idx="4">
                  <c:v>4.1600525480323851E-3</c:v>
                </c:pt>
                <c:pt idx="5">
                  <c:v>7.7405287544288996E-3</c:v>
                </c:pt>
                <c:pt idx="6">
                  <c:v>1.5253962243738622E-2</c:v>
                </c:pt>
                <c:pt idx="7">
                  <c:v>1.4758378176781132E-2</c:v>
                </c:pt>
                <c:pt idx="8">
                  <c:v>1.9111624488081177E-2</c:v>
                </c:pt>
                <c:pt idx="9">
                  <c:v>-1.2364760432764744E-3</c:v>
                </c:pt>
                <c:pt idx="10">
                  <c:v>-1.485608170844949E-2</c:v>
                </c:pt>
                <c:pt idx="11">
                  <c:v>-7.9589485810032719E-3</c:v>
                </c:pt>
                <c:pt idx="12">
                  <c:v>2.4807347197297828E-2</c:v>
                </c:pt>
                <c:pt idx="13">
                  <c:v>-3.6310259579727822E-3</c:v>
                </c:pt>
                <c:pt idx="14">
                  <c:v>8.5032694941975222E-3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7-4B09-AD0D-1709BB449AF8}"/>
            </c:ext>
          </c:extLst>
        </c:ser>
        <c:ser>
          <c:idx val="1"/>
          <c:order val="1"/>
          <c:tx>
            <c:strRef>
              <c:f>'Covid Impact'!$J$2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Impact'!$H$3:$H$25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Impact'!$J$3:$J$25</c:f>
              <c:numCache>
                <c:formatCode>0%</c:formatCode>
                <c:ptCount val="23"/>
                <c:pt idx="0">
                  <c:v>1.3288848676769832E-2</c:v>
                </c:pt>
                <c:pt idx="1">
                  <c:v>1.0938110385624401E-2</c:v>
                </c:pt>
                <c:pt idx="2">
                  <c:v>1.203422577974027E-2</c:v>
                </c:pt>
                <c:pt idx="3">
                  <c:v>1.3145693558064768E-2</c:v>
                </c:pt>
                <c:pt idx="4">
                  <c:v>6.2991278130720609E-3</c:v>
                </c:pt>
                <c:pt idx="5">
                  <c:v>3.1030977475791461E-3</c:v>
                </c:pt>
                <c:pt idx="6">
                  <c:v>1.4774121286468635E-2</c:v>
                </c:pt>
                <c:pt idx="7">
                  <c:v>1.124776621465344E-2</c:v>
                </c:pt>
                <c:pt idx="8">
                  <c:v>1.6995841995842139E-2</c:v>
                </c:pt>
                <c:pt idx="9">
                  <c:v>-5.7750293862115715E-3</c:v>
                </c:pt>
                <c:pt idx="10">
                  <c:v>-1.4804153387478132E-2</c:v>
                </c:pt>
                <c:pt idx="11">
                  <c:v>-9.4438067411039914E-3</c:v>
                </c:pt>
                <c:pt idx="12">
                  <c:v>3.413220963918881E-2</c:v>
                </c:pt>
                <c:pt idx="13">
                  <c:v>-1.7827127795022751E-4</c:v>
                </c:pt>
                <c:pt idx="14">
                  <c:v>1.632746631345653E-2</c:v>
                </c:pt>
                <c:pt idx="15">
                  <c:v>0</c:v>
                </c:pt>
                <c:pt idx="16">
                  <c:v>1.4987468671679246E-2</c:v>
                </c:pt>
                <c:pt idx="17">
                  <c:v>8.2473208553510164E-3</c:v>
                </c:pt>
                <c:pt idx="18">
                  <c:v>1.8906739811912068E-2</c:v>
                </c:pt>
                <c:pt idx="19">
                  <c:v>1.9469281799826942E-2</c:v>
                </c:pt>
                <c:pt idx="20">
                  <c:v>2.2162493516293077E-3</c:v>
                </c:pt>
                <c:pt idx="21">
                  <c:v>-1.336219064646659E-2</c:v>
                </c:pt>
                <c:pt idx="22">
                  <c:v>-1.4783023366714354E-2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7-4B09-AD0D-1709BB449AF8}"/>
            </c:ext>
          </c:extLst>
        </c:ser>
        <c:ser>
          <c:idx val="2"/>
          <c:order val="2"/>
          <c:tx>
            <c:strRef>
              <c:f>'Covid Impact'!$K$2</c:f>
              <c:strCache>
                <c:ptCount val="1"/>
                <c:pt idx="0">
                  <c:v>Rural+Urban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Impact'!$H$3:$H$25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Impact'!$K$3:$K$25</c:f>
              <c:numCache>
                <c:formatCode>0%</c:formatCode>
                <c:ptCount val="23"/>
                <c:pt idx="0">
                  <c:v>1.0550796982244983E-2</c:v>
                </c:pt>
                <c:pt idx="1">
                  <c:v>5.8377771540839441E-3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2.8437269178009844E-2</c:v>
                </c:pt>
                <c:pt idx="13">
                  <c:v>-2.4239470579181803E-3</c:v>
                </c:pt>
                <c:pt idx="14">
                  <c:v>1.1429232608667773E-2</c:v>
                </c:pt>
                <c:pt idx="15">
                  <c:v>0</c:v>
                </c:pt>
                <c:pt idx="16">
                  <c:v>1.4439699003457207E-2</c:v>
                </c:pt>
                <c:pt idx="17">
                  <c:v>5.9141940657579106E-3</c:v>
                </c:pt>
                <c:pt idx="18">
                  <c:v>2.0727453911310596E-2</c:v>
                </c:pt>
                <c:pt idx="19">
                  <c:v>2.2942497315239448E-2</c:v>
                </c:pt>
                <c:pt idx="20">
                  <c:v>6.4420690971559464E-3</c:v>
                </c:pt>
                <c:pt idx="21">
                  <c:v>-1.5456829927457167E-2</c:v>
                </c:pt>
                <c:pt idx="22">
                  <c:v>-1.7914760414158352E-2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7-4B09-AD0D-1709BB449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10895"/>
        <c:axId val="1030714735"/>
      </c:lineChart>
      <c:catAx>
        <c:axId val="10307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735"/>
        <c:crosses val="autoZero"/>
        <c:auto val="1"/>
        <c:lblAlgn val="ctr"/>
        <c:lblOffset val="100"/>
        <c:noMultiLvlLbl val="0"/>
      </c:catAx>
      <c:valAx>
        <c:axId val="103071473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0895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ysClr val="windowText" lastClr="000000"/>
                </a:solidFill>
              </a:rPr>
              <a:t>Monthly Inflation Trends in the Essentials CATEGORY (April 2019 - February 2021)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882159734683074E-2"/>
          <c:y val="0.19637787929298389"/>
          <c:w val="0.92987209232368484"/>
          <c:h val="0.61185241701811144"/>
        </c:manualLayout>
      </c:layout>
      <c:lineChart>
        <c:grouping val="standard"/>
        <c:varyColors val="0"/>
        <c:ser>
          <c:idx val="0"/>
          <c:order val="0"/>
          <c:tx>
            <c:strRef>
              <c:f>'Covid Impact'!$AH$2</c:f>
              <c:strCache>
                <c:ptCount val="1"/>
                <c:pt idx="0">
                  <c:v>Rural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'Covid Impact'!$AG$3:$AG$25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1.510067114093858E-3</c:v>
                </c:pt>
                <c:pt idx="1">
                  <c:v>2.0662310828168011E-3</c:v>
                </c:pt>
                <c:pt idx="2">
                  <c:v>0</c:v>
                </c:pt>
                <c:pt idx="3">
                  <c:v>1.1145786892555883E-3</c:v>
                </c:pt>
                <c:pt idx="4">
                  <c:v>8.9067022934753335E-4</c:v>
                </c:pt>
                <c:pt idx="5">
                  <c:v>-4.4493882091222576E-4</c:v>
                </c:pt>
                <c:pt idx="6">
                  <c:v>2.2256843979528767E-4</c:v>
                </c:pt>
                <c:pt idx="7">
                  <c:v>3.1152647975078644E-3</c:v>
                </c:pt>
                <c:pt idx="8">
                  <c:v>2.2182786157940175E-3</c:v>
                </c:pt>
                <c:pt idx="9">
                  <c:v>1.1066843736168962E-3</c:v>
                </c:pt>
                <c:pt idx="10">
                  <c:v>1.105460977227378E-3</c:v>
                </c:pt>
                <c:pt idx="11">
                  <c:v>1.5459363957596921E-3</c:v>
                </c:pt>
                <c:pt idx="12">
                  <c:v>0</c:v>
                </c:pt>
                <c:pt idx="13">
                  <c:v>5.8434399117972087E-3</c:v>
                </c:pt>
                <c:pt idx="14">
                  <c:v>5.8094924915048128E-3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4-45E8-A4DD-FB198C4A1B50}"/>
            </c:ext>
          </c:extLst>
        </c:ser>
        <c:ser>
          <c:idx val="1"/>
          <c:order val="1"/>
          <c:tx>
            <c:strRef>
              <c:f>'Covid Impact'!$AI$2</c:f>
              <c:strCache>
                <c:ptCount val="1"/>
                <c:pt idx="0">
                  <c:v>Urban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'Covid Impact'!$AG$3:$AG$25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Impact'!$AI$3:$AI$25</c:f>
              <c:numCache>
                <c:formatCode>0%</c:formatCode>
                <c:ptCount val="23"/>
                <c:pt idx="0">
                  <c:v>1.7415325486428604E-3</c:v>
                </c:pt>
                <c:pt idx="1">
                  <c:v>2.0981955518254302E-3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0</c:v>
                </c:pt>
                <c:pt idx="13">
                  <c:v>6.789978927651417E-3</c:v>
                </c:pt>
                <c:pt idx="14">
                  <c:v>6.7441860465117078E-3</c:v>
                </c:pt>
                <c:pt idx="15">
                  <c:v>0</c:v>
                </c:pt>
                <c:pt idx="16">
                  <c:v>2.3100023100028355E-4</c:v>
                </c:pt>
                <c:pt idx="17">
                  <c:v>3.6951501154734935E-3</c:v>
                </c:pt>
                <c:pt idx="18">
                  <c:v>6.9028992176716831E-4</c:v>
                </c:pt>
                <c:pt idx="19">
                  <c:v>3.2191308346745853E-3</c:v>
                </c:pt>
                <c:pt idx="20">
                  <c:v>4.354801741920775E-3</c:v>
                </c:pt>
                <c:pt idx="21">
                  <c:v>4.1077133728889877E-3</c:v>
                </c:pt>
                <c:pt idx="22">
                  <c:v>9.5454545454545202E-3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D4-45E8-A4DD-FB198C4A1B50}"/>
            </c:ext>
          </c:extLst>
        </c:ser>
        <c:ser>
          <c:idx val="2"/>
          <c:order val="2"/>
          <c:tx>
            <c:strRef>
              <c:f>'Covid Impact'!$AJ$2</c:f>
              <c:strCache>
                <c:ptCount val="1"/>
                <c:pt idx="0">
                  <c:v>Rural+Urban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'Covid Impact'!$AG$3:$AG$25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Impact'!$AJ$3:$AJ$25</c:f>
              <c:numCache>
                <c:formatCode>0%</c:formatCode>
                <c:ptCount val="23"/>
                <c:pt idx="0">
                  <c:v>1.6685845799770374E-3</c:v>
                </c:pt>
                <c:pt idx="1">
                  <c:v>2.0104543626859668E-3</c:v>
                </c:pt>
                <c:pt idx="2">
                  <c:v>6.8791561568437175E-4</c:v>
                </c:pt>
                <c:pt idx="3">
                  <c:v>1.3748854262145343E-3</c:v>
                </c:pt>
                <c:pt idx="4">
                  <c:v>1.3729977116705326E-3</c:v>
                </c:pt>
                <c:pt idx="5">
                  <c:v>2.285191956122236E-4</c:v>
                </c:pt>
                <c:pt idx="6">
                  <c:v>1.5992689056433685E-3</c:v>
                </c:pt>
                <c:pt idx="7">
                  <c:v>2.5091240875911628E-3</c:v>
                </c:pt>
                <c:pt idx="8">
                  <c:v>2.5028441410694488E-3</c:v>
                </c:pt>
                <c:pt idx="9">
                  <c:v>1.3617793917384609E-3</c:v>
                </c:pt>
                <c:pt idx="10">
                  <c:v>1.8132366273798989E-3</c:v>
                </c:pt>
                <c:pt idx="11">
                  <c:v>2.0361990950227018E-3</c:v>
                </c:pt>
                <c:pt idx="12">
                  <c:v>0</c:v>
                </c:pt>
                <c:pt idx="13">
                  <c:v>6.0961842402347897E-3</c:v>
                </c:pt>
                <c:pt idx="14">
                  <c:v>6.0592459605025399E-3</c:v>
                </c:pt>
                <c:pt idx="15">
                  <c:v>0</c:v>
                </c:pt>
                <c:pt idx="16">
                  <c:v>-2.2306491188928376E-4</c:v>
                </c:pt>
                <c:pt idx="17">
                  <c:v>3.3467202141902208E-3</c:v>
                </c:pt>
                <c:pt idx="18">
                  <c:v>2.0013342228150329E-3</c:v>
                </c:pt>
                <c:pt idx="19">
                  <c:v>3.1069684864626964E-3</c:v>
                </c:pt>
                <c:pt idx="20">
                  <c:v>4.4247787610618202E-3</c:v>
                </c:pt>
                <c:pt idx="21">
                  <c:v>3.9647577092511268E-3</c:v>
                </c:pt>
                <c:pt idx="22">
                  <c:v>1.0092145677928965E-2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D4-45E8-A4DD-FB198C4A1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867279"/>
        <c:axId val="1777869679"/>
      </c:lineChart>
      <c:catAx>
        <c:axId val="177786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69679"/>
        <c:crosses val="autoZero"/>
        <c:auto val="1"/>
        <c:lblAlgn val="ctr"/>
        <c:lblOffset val="100"/>
        <c:noMultiLvlLbl val="0"/>
      </c:catAx>
      <c:valAx>
        <c:axId val="17778696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6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Monthly Inflation Trends in the Food,Essentials and Health Categories (April 2019 - February 2021)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844163383949697E-2"/>
          <c:y val="0.15729294030243537"/>
          <c:w val="0.94932039371433485"/>
          <c:h val="0.69162492052512803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Impact'!$AL$37</c:f>
              <c:strCache>
                <c:ptCount val="1"/>
                <c:pt idx="0">
                  <c:v>Food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'Covid Impact'!$AK$38:$AK$60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Impact'!$AL$38:$AL$60</c:f>
              <c:numCache>
                <c:formatCode>0%</c:formatCode>
                <c:ptCount val="23"/>
                <c:pt idx="0">
                  <c:v>1.0550796982244983E-2</c:v>
                </c:pt>
                <c:pt idx="1">
                  <c:v>5.8377771540839441E-3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2.8437269178009844E-2</c:v>
                </c:pt>
                <c:pt idx="13">
                  <c:v>-2.4239470579181803E-3</c:v>
                </c:pt>
                <c:pt idx="14">
                  <c:v>1.1429232608667773E-2</c:v>
                </c:pt>
                <c:pt idx="15">
                  <c:v>0</c:v>
                </c:pt>
                <c:pt idx="16">
                  <c:v>1.4439699003457207E-2</c:v>
                </c:pt>
                <c:pt idx="17">
                  <c:v>5.9141940657579106E-3</c:v>
                </c:pt>
                <c:pt idx="18">
                  <c:v>2.0727453911310596E-2</c:v>
                </c:pt>
                <c:pt idx="19">
                  <c:v>2.2942497315239448E-2</c:v>
                </c:pt>
                <c:pt idx="20">
                  <c:v>6.4420690971559464E-3</c:v>
                </c:pt>
                <c:pt idx="21">
                  <c:v>-1.5456829927457167E-2</c:v>
                </c:pt>
                <c:pt idx="22">
                  <c:v>-1.7914760414158352E-2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A-4D1C-8054-927358D15B4E}"/>
            </c:ext>
          </c:extLst>
        </c:ser>
        <c:ser>
          <c:idx val="1"/>
          <c:order val="1"/>
          <c:tx>
            <c:strRef>
              <c:f>'Covid Impact'!$AM$37</c:f>
              <c:strCache>
                <c:ptCount val="1"/>
                <c:pt idx="0">
                  <c:v>Essential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'Covid Impact'!$AK$38:$AK$60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Impact'!$AM$38:$AM$60</c:f>
              <c:numCache>
                <c:formatCode>0.0%</c:formatCode>
                <c:ptCount val="23"/>
                <c:pt idx="0">
                  <c:v>1.6685845799770374E-3</c:v>
                </c:pt>
                <c:pt idx="1">
                  <c:v>2.0104543626859668E-3</c:v>
                </c:pt>
                <c:pt idx="2">
                  <c:v>6.8791561568437175E-4</c:v>
                </c:pt>
                <c:pt idx="3">
                  <c:v>1.3748854262145343E-3</c:v>
                </c:pt>
                <c:pt idx="4">
                  <c:v>1.3729977116705326E-3</c:v>
                </c:pt>
                <c:pt idx="5">
                  <c:v>2.285191956122236E-4</c:v>
                </c:pt>
                <c:pt idx="6">
                  <c:v>1.5992689056433685E-3</c:v>
                </c:pt>
                <c:pt idx="7">
                  <c:v>2.5091240875911628E-3</c:v>
                </c:pt>
                <c:pt idx="8">
                  <c:v>2.5028441410694488E-3</c:v>
                </c:pt>
                <c:pt idx="9">
                  <c:v>1.3617793917384609E-3</c:v>
                </c:pt>
                <c:pt idx="10">
                  <c:v>1.8132366273798989E-3</c:v>
                </c:pt>
                <c:pt idx="11">
                  <c:v>2.0361990950227018E-3</c:v>
                </c:pt>
                <c:pt idx="12">
                  <c:v>0</c:v>
                </c:pt>
                <c:pt idx="13">
                  <c:v>6.0961842402347897E-3</c:v>
                </c:pt>
                <c:pt idx="14">
                  <c:v>6.0592459605025399E-3</c:v>
                </c:pt>
                <c:pt idx="15">
                  <c:v>0</c:v>
                </c:pt>
                <c:pt idx="16">
                  <c:v>-2.2306491188928376E-4</c:v>
                </c:pt>
                <c:pt idx="17">
                  <c:v>3.3467202141902208E-3</c:v>
                </c:pt>
                <c:pt idx="18">
                  <c:v>2.0013342228150329E-3</c:v>
                </c:pt>
                <c:pt idx="19">
                  <c:v>3.1069684864626964E-3</c:v>
                </c:pt>
                <c:pt idx="20">
                  <c:v>4.4247787610618202E-3</c:v>
                </c:pt>
                <c:pt idx="21">
                  <c:v>3.9647577092511268E-3</c:v>
                </c:pt>
                <c:pt idx="22">
                  <c:v>1.0092145677928965E-2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A-4D1C-8054-927358D15B4E}"/>
            </c:ext>
          </c:extLst>
        </c:ser>
        <c:ser>
          <c:idx val="2"/>
          <c:order val="2"/>
          <c:tx>
            <c:strRef>
              <c:f>'Covid Impact'!$AN$37</c:f>
              <c:strCache>
                <c:ptCount val="1"/>
                <c:pt idx="0">
                  <c:v>Health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'Covid Impact'!$AK$38:$AK$60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Impact'!$AN$38:$AN$60</c:f>
              <c:numCache>
                <c:formatCode>0.0%</c:formatCode>
                <c:ptCount val="23"/>
                <c:pt idx="0">
                  <c:v>2.2229822161421932E-3</c:v>
                </c:pt>
                <c:pt idx="1">
                  <c:v>2.5592902235115405E-3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-1.0505581089954186E-2</c:v>
                </c:pt>
                <c:pt idx="13">
                  <c:v>1.4930325149303253E-2</c:v>
                </c:pt>
                <c:pt idx="14">
                  <c:v>9.4802222948677153E-3</c:v>
                </c:pt>
                <c:pt idx="15">
                  <c:v>0</c:v>
                </c:pt>
                <c:pt idx="16">
                  <c:v>3.8860103626942636E-3</c:v>
                </c:pt>
                <c:pt idx="17">
                  <c:v>3.870967741935447E-3</c:v>
                </c:pt>
                <c:pt idx="18">
                  <c:v>4.4987146529564077E-3</c:v>
                </c:pt>
                <c:pt idx="19">
                  <c:v>5.7581573896351712E-3</c:v>
                </c:pt>
                <c:pt idx="20">
                  <c:v>6.9974554707380584E-3</c:v>
                </c:pt>
                <c:pt idx="21">
                  <c:v>6.3171193935565376E-3</c:v>
                </c:pt>
                <c:pt idx="22">
                  <c:v>1.2554927809165096E-2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2A-4D1C-8054-927358D15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18573872"/>
        <c:axId val="318585392"/>
      </c:areaChart>
      <c:catAx>
        <c:axId val="31857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Month</a:t>
                </a:r>
              </a:p>
            </c:rich>
          </c:tx>
          <c:layout>
            <c:manualLayout>
              <c:xMode val="edge"/>
              <c:yMode val="edge"/>
              <c:x val="0.5011444433141744"/>
              <c:y val="0.86641782372586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85392"/>
        <c:crosses val="autoZero"/>
        <c:auto val="1"/>
        <c:lblAlgn val="ctr"/>
        <c:lblOffset val="100"/>
        <c:noMultiLvlLbl val="0"/>
      </c:catAx>
      <c:valAx>
        <c:axId val="318585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73872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t"/>
      <c:layout>
        <c:manualLayout>
          <c:xMode val="edge"/>
          <c:yMode val="edge"/>
          <c:x val="0.69071800676332085"/>
          <c:y val="0.88199994212598798"/>
          <c:w val="0.22236144279155901"/>
          <c:h val="4.9219091258589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82904726423263E-2"/>
          <c:y val="0.2331413612565445"/>
          <c:w val="0.87966135690839153"/>
          <c:h val="0.385441315908809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'!$C$44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'!$B$45:$B$68</c:f>
              <c:strCache>
                <c:ptCount val="24"/>
                <c:pt idx="0">
                  <c:v>Meat and fish</c:v>
                </c:pt>
                <c:pt idx="1">
                  <c:v>Oils and fats</c:v>
                </c:pt>
                <c:pt idx="2">
                  <c:v>Pan, tobacco and intoxicants</c:v>
                </c:pt>
                <c:pt idx="3">
                  <c:v>Pulses and products</c:v>
                </c:pt>
                <c:pt idx="4">
                  <c:v>Transport and communication</c:v>
                </c:pt>
                <c:pt idx="5">
                  <c:v>Non-alcoholic beverages</c:v>
                </c:pt>
                <c:pt idx="6">
                  <c:v>Recreation and amusement</c:v>
                </c:pt>
                <c:pt idx="7">
                  <c:v>Fruits</c:v>
                </c:pt>
                <c:pt idx="8">
                  <c:v>Miscellaneous</c:v>
                </c:pt>
                <c:pt idx="9">
                  <c:v>Food and beverages</c:v>
                </c:pt>
                <c:pt idx="10">
                  <c:v>Prepared meals, snacks, sweets etc.</c:v>
                </c:pt>
                <c:pt idx="11">
                  <c:v>Personal care and effects</c:v>
                </c:pt>
                <c:pt idx="12">
                  <c:v>Footwear</c:v>
                </c:pt>
                <c:pt idx="13">
                  <c:v>Spices</c:v>
                </c:pt>
                <c:pt idx="14">
                  <c:v>Sugar and Confectionery</c:v>
                </c:pt>
                <c:pt idx="15">
                  <c:v>Vegetables</c:v>
                </c:pt>
                <c:pt idx="16">
                  <c:v>Education</c:v>
                </c:pt>
                <c:pt idx="17">
                  <c:v>Clothing and footwear</c:v>
                </c:pt>
                <c:pt idx="18">
                  <c:v>Health</c:v>
                </c:pt>
                <c:pt idx="19">
                  <c:v>Housing</c:v>
                </c:pt>
                <c:pt idx="20">
                  <c:v>Egg</c:v>
                </c:pt>
                <c:pt idx="21">
                  <c:v>Clothing</c:v>
                </c:pt>
                <c:pt idx="22">
                  <c:v>Milk and products</c:v>
                </c:pt>
                <c:pt idx="23">
                  <c:v>Fuel and light</c:v>
                </c:pt>
              </c:strCache>
            </c:strRef>
          </c:cat>
          <c:val>
            <c:numRef>
              <c:f>'Impact of crude oil prices '!$C$45:$C$68</c:f>
              <c:numCache>
                <c:formatCode>0%</c:formatCode>
                <c:ptCount val="24"/>
                <c:pt idx="0">
                  <c:v>0.33940046122387607</c:v>
                </c:pt>
                <c:pt idx="1">
                  <c:v>0.30678676753646755</c:v>
                </c:pt>
                <c:pt idx="2">
                  <c:v>0.22783443890168281</c:v>
                </c:pt>
                <c:pt idx="3">
                  <c:v>0.22053422169446404</c:v>
                </c:pt>
                <c:pt idx="4">
                  <c:v>0.14912204431501902</c:v>
                </c:pt>
                <c:pt idx="5">
                  <c:v>0.13262334309823132</c:v>
                </c:pt>
                <c:pt idx="6">
                  <c:v>0.11958914275303938</c:v>
                </c:pt>
                <c:pt idx="7">
                  <c:v>9.589881967241666E-2</c:v>
                </c:pt>
                <c:pt idx="8">
                  <c:v>6.113427679453342E-2</c:v>
                </c:pt>
                <c:pt idx="9">
                  <c:v>2.4010123994349451E-2</c:v>
                </c:pt>
                <c:pt idx="10">
                  <c:v>1.1777211316717606E-2</c:v>
                </c:pt>
                <c:pt idx="11">
                  <c:v>1.9081568254924863E-3</c:v>
                </c:pt>
                <c:pt idx="12">
                  <c:v>-1.2839132555409622E-2</c:v>
                </c:pt>
                <c:pt idx="13">
                  <c:v>-1.3063206071365067E-2</c:v>
                </c:pt>
                <c:pt idx="14">
                  <c:v>-5.9987305755302207E-2</c:v>
                </c:pt>
                <c:pt idx="15">
                  <c:v>-6.3109136726209866E-2</c:v>
                </c:pt>
                <c:pt idx="16">
                  <c:v>-6.7914045606147305E-2</c:v>
                </c:pt>
                <c:pt idx="17">
                  <c:v>-7.0828836337462592E-2</c:v>
                </c:pt>
                <c:pt idx="18">
                  <c:v>-7.5999325496038675E-2</c:v>
                </c:pt>
                <c:pt idx="19">
                  <c:v>-9.9016649135173801E-2</c:v>
                </c:pt>
                <c:pt idx="20">
                  <c:v>-0.10219059474700004</c:v>
                </c:pt>
                <c:pt idx="21">
                  <c:v>-0.10990327909732772</c:v>
                </c:pt>
                <c:pt idx="22">
                  <c:v>-0.11554819214588398</c:v>
                </c:pt>
                <c:pt idx="23">
                  <c:v>-0.123277336943088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D-4AC9-80F3-E6945DB593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Impact of Crude Oil Prices on CPI Categories (2021-2023): A Correlation Analysis</a:t>
            </a:r>
            <a:endParaRPr lang="en-US"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44609564759873E-2"/>
          <c:y val="9.1482281700798959E-2"/>
          <c:w val="0.94225539043524009"/>
          <c:h val="0.88527920474268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'!$C$44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'!$B$45:$B$70</c:f>
              <c:strCache>
                <c:ptCount val="26"/>
                <c:pt idx="0">
                  <c:v>Meat and fish</c:v>
                </c:pt>
                <c:pt idx="1">
                  <c:v>Oils and fats</c:v>
                </c:pt>
                <c:pt idx="2">
                  <c:v>Pan, tobacco and intoxicants</c:v>
                </c:pt>
                <c:pt idx="3">
                  <c:v>Pulses and products</c:v>
                </c:pt>
                <c:pt idx="4">
                  <c:v>Transport and communication</c:v>
                </c:pt>
                <c:pt idx="5">
                  <c:v>Non-alcoholic beverages</c:v>
                </c:pt>
                <c:pt idx="6">
                  <c:v>Recreation and amusement</c:v>
                </c:pt>
                <c:pt idx="7">
                  <c:v>Fruits</c:v>
                </c:pt>
                <c:pt idx="8">
                  <c:v>Miscellaneous</c:v>
                </c:pt>
                <c:pt idx="9">
                  <c:v>Food and beverages</c:v>
                </c:pt>
                <c:pt idx="10">
                  <c:v>Prepared meals, snacks, sweets etc.</c:v>
                </c:pt>
                <c:pt idx="11">
                  <c:v>Personal care and effects</c:v>
                </c:pt>
                <c:pt idx="12">
                  <c:v>Footwear</c:v>
                </c:pt>
                <c:pt idx="13">
                  <c:v>Spices</c:v>
                </c:pt>
                <c:pt idx="14">
                  <c:v>Sugar and Confectionery</c:v>
                </c:pt>
                <c:pt idx="15">
                  <c:v>Vegetables</c:v>
                </c:pt>
                <c:pt idx="16">
                  <c:v>Education</c:v>
                </c:pt>
                <c:pt idx="17">
                  <c:v>Clothing and footwear</c:v>
                </c:pt>
                <c:pt idx="18">
                  <c:v>Health</c:v>
                </c:pt>
                <c:pt idx="19">
                  <c:v>Housing</c:v>
                </c:pt>
                <c:pt idx="20">
                  <c:v>Egg</c:v>
                </c:pt>
                <c:pt idx="21">
                  <c:v>Clothing</c:v>
                </c:pt>
                <c:pt idx="22">
                  <c:v>Milk and products</c:v>
                </c:pt>
                <c:pt idx="23">
                  <c:v>Fuel and light</c:v>
                </c:pt>
                <c:pt idx="24">
                  <c:v>Cereals and products</c:v>
                </c:pt>
                <c:pt idx="25">
                  <c:v>Household goods and services</c:v>
                </c:pt>
              </c:strCache>
            </c:strRef>
          </c:cat>
          <c:val>
            <c:numRef>
              <c:f>'Impact of crude oil prices '!$C$45:$C$70</c:f>
              <c:numCache>
                <c:formatCode>0%</c:formatCode>
                <c:ptCount val="26"/>
                <c:pt idx="0">
                  <c:v>0.33940046122387607</c:v>
                </c:pt>
                <c:pt idx="1">
                  <c:v>0.30678676753646755</c:v>
                </c:pt>
                <c:pt idx="2">
                  <c:v>0.22783443890168281</c:v>
                </c:pt>
                <c:pt idx="3">
                  <c:v>0.22053422169446404</c:v>
                </c:pt>
                <c:pt idx="4">
                  <c:v>0.14912204431501902</c:v>
                </c:pt>
                <c:pt idx="5">
                  <c:v>0.13262334309823132</c:v>
                </c:pt>
                <c:pt idx="6">
                  <c:v>0.11958914275303938</c:v>
                </c:pt>
                <c:pt idx="7">
                  <c:v>9.589881967241666E-2</c:v>
                </c:pt>
                <c:pt idx="8">
                  <c:v>6.113427679453342E-2</c:v>
                </c:pt>
                <c:pt idx="9">
                  <c:v>2.4010123994349451E-2</c:v>
                </c:pt>
                <c:pt idx="10">
                  <c:v>1.1777211316717606E-2</c:v>
                </c:pt>
                <c:pt idx="11">
                  <c:v>1.9081568254924863E-3</c:v>
                </c:pt>
                <c:pt idx="12">
                  <c:v>-1.2839132555409622E-2</c:v>
                </c:pt>
                <c:pt idx="13">
                  <c:v>-1.3063206071365067E-2</c:v>
                </c:pt>
                <c:pt idx="14">
                  <c:v>-5.9987305755302207E-2</c:v>
                </c:pt>
                <c:pt idx="15">
                  <c:v>-6.3109136726209866E-2</c:v>
                </c:pt>
                <c:pt idx="16">
                  <c:v>-6.7914045606147305E-2</c:v>
                </c:pt>
                <c:pt idx="17">
                  <c:v>-7.0828836337462592E-2</c:v>
                </c:pt>
                <c:pt idx="18">
                  <c:v>-7.5999325496038675E-2</c:v>
                </c:pt>
                <c:pt idx="19">
                  <c:v>-9.9016649135173801E-2</c:v>
                </c:pt>
                <c:pt idx="20">
                  <c:v>-0.10219059474700004</c:v>
                </c:pt>
                <c:pt idx="21">
                  <c:v>-0.10990327909732772</c:v>
                </c:pt>
                <c:pt idx="22">
                  <c:v>-0.11554819214588398</c:v>
                </c:pt>
                <c:pt idx="23">
                  <c:v>-0.123277336943088</c:v>
                </c:pt>
                <c:pt idx="24">
                  <c:v>-0.14056877521330075</c:v>
                </c:pt>
                <c:pt idx="25">
                  <c:v>-0.18904977094294331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C-4023-879F-99180AEC01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9739375"/>
        <c:axId val="1199741295"/>
      </c:barChart>
      <c:catAx>
        <c:axId val="119973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741295"/>
        <c:crosses val="autoZero"/>
        <c:auto val="1"/>
        <c:lblAlgn val="ctr"/>
        <c:lblOffset val="100"/>
        <c:noMultiLvlLbl val="0"/>
      </c:catAx>
      <c:valAx>
        <c:axId val="119974129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73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Increase in Spice price majorly led to rising inflation rates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1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kumimoji="0" lang="en-IN" sz="11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Increase in Spice price majorly led to rising inflation rates </a:t>
          </a:r>
        </a:p>
      </cx:txPr>
    </cx:title>
    <cx:plotArea>
      <cx:plotAreaRegion>
        <cx:series layoutId="waterfall" uniqueId="{7A625CCE-A136-4F5A-8615-833F2B45513E}" formatIdx="0">
          <cx:tx>
            <cx:txData>
              <cx:f>_xlchart.v1.1</cx:f>
              <cx:v>Rural</cx:v>
            </cx:txData>
          </cx:tx>
          <cx:dataLabels>
            <cx:numFmt formatCode="0.00%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  <cx:series layoutId="waterfall" hidden="1" uniqueId="{DAD5FF58-CB4A-4E70-80D9-4947D7681419}" formatIdx="1">
          <cx:tx>
            <cx:txData>
              <cx:f>_xlchart.v1.3</cx:f>
              <cx:v>Urban</cx:v>
            </cx:txData>
          </cx:tx>
          <cx:dataLabels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1A008A9B-19E4-49DD-B56B-1A46FA5FEF7C}" formatIdx="2">
          <cx:tx>
            <cx:txData>
              <cx:f>_xlchart.v1.5</cx:f>
              <cx:v>Rural+Urban</cx:v>
            </cx:txData>
          </cx:tx>
          <cx:dataLabels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valScaling/>
        <cx:tickLabels/>
      </cx:axis>
      <cx:axis id="1">
        <cx:cat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kern="1200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Increase in Spice price majorly led to rising inflation rates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IN" sz="16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Increase in Spice price majorly led to rising inflation rates </a:t>
          </a:r>
        </a:p>
      </cx:txPr>
    </cx:title>
    <cx:plotArea>
      <cx:plotAreaRegion>
        <cx:series layoutId="waterfall" uniqueId="{7A625CCE-A136-4F5A-8615-833F2B45513E}" formatIdx="0">
          <cx:tx>
            <cx:txData>
              <cx:f>_xlchart.v1.8</cx:f>
              <cx:v>Rural</cx:v>
            </cx:txData>
          </cx:tx>
          <cx:dataLabels>
            <cx:numFmt formatCode="0.00%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  <cx:series layoutId="waterfall" hidden="1" uniqueId="{DAD5FF58-CB4A-4E70-80D9-4947D7681419}" formatIdx="1">
          <cx:tx>
            <cx:txData>
              <cx:f>_xlchart.v1.10</cx:f>
              <cx:v>Urban</cx:v>
            </cx:txData>
          </cx:tx>
          <cx:dataLabels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1A008A9B-19E4-49DD-B56B-1A46FA5FEF7C}" formatIdx="2">
          <cx:tx>
            <cx:txData>
              <cx:f>_xlchart.v1.12</cx:f>
              <cx:v>Rural+Urban</cx:v>
            </cx:txData>
          </cx:tx>
          <cx:dataLabels>
            <cx:visibility seriesName="0" categoryName="0" value="1"/>
          </cx:dataLabels>
          <cx:dataId val="2"/>
          <cx:layoutPr>
            <cx:subtotals/>
          </cx:layoutPr>
        </cx:series>
      </cx:plotAreaRegion>
      <cx:axis id="0">
        <cx:valScaling/>
        <cx:tickLabels/>
      </cx:axis>
      <cx:axis id="1">
        <cx:cat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microsoft.com/office/2014/relationships/chartEx" Target="../charts/chartEx2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11</xdr:col>
      <xdr:colOff>596900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5659C-B446-4B89-A47F-6AFCA2270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23</xdr:row>
      <xdr:rowOff>88900</xdr:rowOff>
    </xdr:from>
    <xdr:to>
      <xdr:col>5</xdr:col>
      <xdr:colOff>482600</xdr:colOff>
      <xdr:row>26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E5AAA8-5E79-F2F1-D666-4BD0A283894F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Housing data for the rural sector was unavailable; hence, values were estimated using the average of urban and total (urban + rural) sector data.</a:t>
          </a:r>
        </a:p>
      </xdr:txBody>
    </xdr:sp>
    <xdr:clientData/>
  </xdr:twoCellAnchor>
  <xdr:twoCellAnchor>
    <xdr:from>
      <xdr:col>6</xdr:col>
      <xdr:colOff>31750</xdr:colOff>
      <xdr:row>23</xdr:row>
      <xdr:rowOff>88900</xdr:rowOff>
    </xdr:from>
    <xdr:to>
      <xdr:col>11</xdr:col>
      <xdr:colOff>552450</xdr:colOff>
      <xdr:row>26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AB02E1-C6CB-4160-968B-5EB8EA5DA616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44450</xdr:colOff>
      <xdr:row>23</xdr:row>
      <xdr:rowOff>88900</xdr:rowOff>
    </xdr:from>
    <xdr:to>
      <xdr:col>18</xdr:col>
      <xdr:colOff>482600</xdr:colOff>
      <xdr:row>26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5BDF22-0C11-43CE-9004-E623BD733E41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Six missing values in the General Index column were imputed using the moving average method and april 2019 data was missed,</a:t>
          </a:r>
          <a:r>
            <a:rPr lang="en-IN" sz="800" baseline="0"/>
            <a:t> imputed with MA values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23</xdr:row>
      <xdr:rowOff>88900</xdr:rowOff>
    </xdr:from>
    <xdr:to>
      <xdr:col>24</xdr:col>
      <xdr:colOff>552450</xdr:colOff>
      <xdr:row>26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019D98-8DE6-4529-95FD-5F7C22A12E6B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Due to impact</a:t>
          </a:r>
          <a:r>
            <a:rPr lang="en-IN" sz="800" b="0" baseline="0">
              <a:effectLst/>
            </a:rPr>
            <a:t> of covid-19, the inflation rates changes</a:t>
          </a:r>
        </a:p>
      </xdr:txBody>
    </xdr:sp>
    <xdr:clientData/>
  </xdr:twoCellAnchor>
  <xdr:twoCellAnchor>
    <xdr:from>
      <xdr:col>13</xdr:col>
      <xdr:colOff>1</xdr:colOff>
      <xdr:row>5</xdr:row>
      <xdr:rowOff>15301</xdr:rowOff>
    </xdr:from>
    <xdr:to>
      <xdr:col>19</xdr:col>
      <xdr:colOff>22952</xdr:colOff>
      <xdr:row>19</xdr:row>
      <xdr:rowOff>168312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322B70-0125-4257-9FBC-688446C62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</xdr:colOff>
      <xdr:row>52</xdr:row>
      <xdr:rowOff>88900</xdr:rowOff>
    </xdr:from>
    <xdr:to>
      <xdr:col>5</xdr:col>
      <xdr:colOff>482600</xdr:colOff>
      <xdr:row>55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CC396FE-4099-4852-8E33-6DFB4D1A41CA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6</xdr:col>
      <xdr:colOff>31750</xdr:colOff>
      <xdr:row>52</xdr:row>
      <xdr:rowOff>88900</xdr:rowOff>
    </xdr:from>
    <xdr:to>
      <xdr:col>11</xdr:col>
      <xdr:colOff>552450</xdr:colOff>
      <xdr:row>55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20C9A2-1028-490D-A5D1-DAF037CB1279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44450</xdr:colOff>
      <xdr:row>52</xdr:row>
      <xdr:rowOff>88900</xdr:rowOff>
    </xdr:from>
    <xdr:to>
      <xdr:col>18</xdr:col>
      <xdr:colOff>482600</xdr:colOff>
      <xdr:row>55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F386C6-D4D6-4856-BDF1-0E429F27D347}"/>
            </a:ext>
          </a:extLst>
        </xdr:cNvPr>
        <xdr:cNvSpPr txBox="1"/>
      </xdr:nvSpPr>
      <xdr:spPr>
        <a:xfrm>
          <a:off x="44450" y="948055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52</xdr:row>
      <xdr:rowOff>88900</xdr:rowOff>
    </xdr:from>
    <xdr:to>
      <xdr:col>24</xdr:col>
      <xdr:colOff>552450</xdr:colOff>
      <xdr:row>55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60D61AD-7B0D-44D5-879B-36D673D6212A}"/>
            </a:ext>
          </a:extLst>
        </xdr:cNvPr>
        <xdr:cNvSpPr txBox="1"/>
      </xdr:nvSpPr>
      <xdr:spPr>
        <a:xfrm>
          <a:off x="3841750" y="948055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Supply Chain Disruptions, Increase in Production costs and transportation</a:t>
          </a:r>
          <a:r>
            <a:rPr lang="en-IN" sz="800" b="0" baseline="0">
              <a:effectLst/>
            </a:rPr>
            <a:t> costs, shift in cosumer demand</a:t>
          </a:r>
          <a:endParaRPr lang="en-IN" sz="800" b="0">
            <a:effectLst/>
          </a:endParaRPr>
        </a:p>
      </xdr:txBody>
    </xdr:sp>
    <xdr:clientData/>
  </xdr:twoCellAnchor>
  <xdr:twoCellAnchor>
    <xdr:from>
      <xdr:col>0</xdr:col>
      <xdr:colOff>44450</xdr:colOff>
      <xdr:row>79</xdr:row>
      <xdr:rowOff>88900</xdr:rowOff>
    </xdr:from>
    <xdr:to>
      <xdr:col>11</xdr:col>
      <xdr:colOff>443735</xdr:colOff>
      <xdr:row>82</xdr:row>
      <xdr:rowOff>99458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598FF94-0890-4CF2-8D58-11A9F1823FB2}"/>
            </a:ext>
          </a:extLst>
        </xdr:cNvPr>
        <xdr:cNvSpPr txBox="1"/>
      </xdr:nvSpPr>
      <xdr:spPr>
        <a:xfrm>
          <a:off x="44450" y="13859984"/>
          <a:ext cx="7284827" cy="561402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was filled with Moving Average</a:t>
          </a:r>
          <a:endParaRPr lang="en-IN" sz="800"/>
        </a:p>
      </xdr:txBody>
    </xdr:sp>
    <xdr:clientData/>
  </xdr:twoCellAnchor>
  <xdr:twoCellAnchor>
    <xdr:from>
      <xdr:col>5</xdr:col>
      <xdr:colOff>297016</xdr:colOff>
      <xdr:row>30</xdr:row>
      <xdr:rowOff>10242</xdr:rowOff>
    </xdr:from>
    <xdr:to>
      <xdr:col>12</xdr:col>
      <xdr:colOff>0</xdr:colOff>
      <xdr:row>48</xdr:row>
      <xdr:rowOff>30726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2C0B70D-A929-43AD-AC2A-25556A4F78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7416" y="5534742"/>
              <a:ext cx="3970184" cy="33351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59</xdr:row>
      <xdr:rowOff>0</xdr:rowOff>
    </xdr:from>
    <xdr:to>
      <xdr:col>12</xdr:col>
      <xdr:colOff>10241</xdr:colOff>
      <xdr:row>75</xdr:row>
      <xdr:rowOff>10242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7D1282-E869-418D-AE78-18DD104FF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</xdr:colOff>
      <xdr:row>29</xdr:row>
      <xdr:rowOff>184354</xdr:rowOff>
    </xdr:from>
    <xdr:to>
      <xdr:col>5</xdr:col>
      <xdr:colOff>276532</xdr:colOff>
      <xdr:row>47</xdr:row>
      <xdr:rowOff>174112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6A10CF-2116-4480-8DBA-CE6076274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25</xdr:col>
      <xdr:colOff>40968</xdr:colOff>
      <xdr:row>48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77C6C7-0801-4082-9893-066825238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606566</xdr:colOff>
      <xdr:row>5</xdr:row>
      <xdr:rowOff>18955</xdr:rowOff>
    </xdr:from>
    <xdr:to>
      <xdr:col>25</xdr:col>
      <xdr:colOff>9478</xdr:colOff>
      <xdr:row>19</xdr:row>
      <xdr:rowOff>151642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77855E-C905-4FA8-9D22-CC55730CA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0.08536</cdr:x>
      <cdr:y>0.17615</cdr:y>
    </cdr:from>
    <cdr:to>
      <cdr:x>0.21058</cdr:x>
      <cdr:y>0.277</cdr:y>
    </cdr:to>
    <cdr:sp macro="" textlink="">
      <cdr:nvSpPr>
        <cdr:cNvPr id="3" name="Speech Bubble: Rectangle 2">
          <a:extLst xmlns:a="http://schemas.openxmlformats.org/drawingml/2006/main">
            <a:ext uri="{FF2B5EF4-FFF2-40B4-BE49-F238E27FC236}">
              <a16:creationId xmlns:a16="http://schemas.microsoft.com/office/drawing/2014/main" id="{408D889A-0BB9-F347-4F22-4899564AA574}"/>
            </a:ext>
          </a:extLst>
        </cdr:cNvPr>
        <cdr:cNvSpPr/>
      </cdr:nvSpPr>
      <cdr:spPr>
        <a:xfrm xmlns:a="http://schemas.openxmlformats.org/drawingml/2006/main" flipH="1">
          <a:off x="796674" y="756355"/>
          <a:ext cx="1168802" cy="433010"/>
        </a:xfrm>
        <a:prstGeom xmlns:a="http://schemas.openxmlformats.org/drawingml/2006/main" prst="wedgeRectCallout">
          <a:avLst/>
        </a:prstGeom>
        <a:ln xmlns:a="http://schemas.openxmlformats.org/drawingml/2006/main" w="2857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0.69659</cdr:x>
      <cdr:y>0.1738</cdr:y>
    </cdr:from>
    <cdr:to>
      <cdr:x>0.8067</cdr:x>
      <cdr:y>0.26995</cdr:y>
    </cdr:to>
    <cdr:sp macro="" textlink="">
      <cdr:nvSpPr>
        <cdr:cNvPr id="4" name="Speech Bubble: Rectangle 3">
          <a:extLst xmlns:a="http://schemas.openxmlformats.org/drawingml/2006/main">
            <a:ext uri="{FF2B5EF4-FFF2-40B4-BE49-F238E27FC236}">
              <a16:creationId xmlns:a16="http://schemas.microsoft.com/office/drawing/2014/main" id="{D6FF62ED-E6F6-C212-757C-B6E625BB256B}"/>
            </a:ext>
          </a:extLst>
        </cdr:cNvPr>
        <cdr:cNvSpPr/>
      </cdr:nvSpPr>
      <cdr:spPr>
        <a:xfrm xmlns:a="http://schemas.openxmlformats.org/drawingml/2006/main" flipH="1">
          <a:off x="6501594" y="746277"/>
          <a:ext cx="1027692" cy="412850"/>
        </a:xfrm>
        <a:prstGeom xmlns:a="http://schemas.openxmlformats.org/drawingml/2006/main" prst="wedgeRectCallout">
          <a:avLst/>
        </a:prstGeom>
        <a:ln xmlns:a="http://schemas.openxmlformats.org/drawingml/2006/main" w="2540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  <cdr:relSizeAnchor xmlns:cdr="http://schemas.openxmlformats.org/drawingml/2006/chartDrawing">
    <cdr:from>
      <cdr:x>0.51718</cdr:x>
      <cdr:y>0.15741</cdr:y>
    </cdr:from>
    <cdr:to>
      <cdr:x>0.51808</cdr:x>
      <cdr:y>0.55093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73F12E90-7E18-B737-8BC7-9A6D2D001053}"/>
            </a:ext>
          </a:extLst>
        </cdr:cNvPr>
        <cdr:cNvCxnSpPr/>
      </cdr:nvCxnSpPr>
      <cdr:spPr>
        <a:xfrm xmlns:a="http://schemas.openxmlformats.org/drawingml/2006/main" flipH="1" flipV="1">
          <a:off x="5765397" y="685397"/>
          <a:ext cx="10079" cy="1713492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187324</xdr:colOff>
      <xdr:row>1</xdr:row>
      <xdr:rowOff>120650</xdr:rowOff>
    </xdr:from>
    <xdr:to>
      <xdr:col>19</xdr:col>
      <xdr:colOff>298449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BC53C5-84A9-6D91-47B6-37AEC00DC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733424</xdr:colOff>
      <xdr:row>8</xdr:row>
      <xdr:rowOff>38100</xdr:rowOff>
    </xdr:from>
    <xdr:to>
      <xdr:col>14</xdr:col>
      <xdr:colOff>393699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5CDFF-18CA-DDDD-FF94-679EB319D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746125</xdr:colOff>
      <xdr:row>38</xdr:row>
      <xdr:rowOff>66675</xdr:rowOff>
    </xdr:from>
    <xdr:to>
      <xdr:col>11</xdr:col>
      <xdr:colOff>479425</xdr:colOff>
      <xdr:row>53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A5E48-1AE0-FE9D-EA70-F1B06A9C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260851</xdr:colOff>
      <xdr:row>21</xdr:row>
      <xdr:rowOff>100263</xdr:rowOff>
    </xdr:from>
    <xdr:to>
      <xdr:col>21</xdr:col>
      <xdr:colOff>238627</xdr:colOff>
      <xdr:row>39</xdr:row>
      <xdr:rowOff>64503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0147E67-0C03-0A11-F054-FD7A069737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2501" y="4132513"/>
              <a:ext cx="8709026" cy="3278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212724</xdr:colOff>
      <xdr:row>2</xdr:row>
      <xdr:rowOff>31750</xdr:rowOff>
    </xdr:from>
    <xdr:to>
      <xdr:col>25</xdr:col>
      <xdr:colOff>133350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9B363-41F4-67EB-5622-BE4AA17EF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130175</xdr:colOff>
      <xdr:row>1</xdr:row>
      <xdr:rowOff>234950</xdr:rowOff>
    </xdr:from>
    <xdr:to>
      <xdr:col>34</xdr:col>
      <xdr:colOff>31751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74506-639F-F324-A2A8-BF6F6E12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412750</xdr:colOff>
      <xdr:row>64</xdr:row>
      <xdr:rowOff>33088</xdr:rowOff>
    </xdr:from>
    <xdr:to>
      <xdr:col>35</xdr:col>
      <xdr:colOff>66842</xdr:colOff>
      <xdr:row>79</xdr:row>
      <xdr:rowOff>20053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2BBF8E-659D-9913-BB0F-478D2AB96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1664369</xdr:colOff>
      <xdr:row>21</xdr:row>
      <xdr:rowOff>93578</xdr:rowOff>
    </xdr:from>
    <xdr:to>
      <xdr:col>32</xdr:col>
      <xdr:colOff>427788</xdr:colOff>
      <xdr:row>35</xdr:row>
      <xdr:rowOff>93579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121E34-6550-4600-9AE4-F8F0F142E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506791</xdr:colOff>
      <xdr:row>20</xdr:row>
      <xdr:rowOff>50397</xdr:rowOff>
    </xdr:from>
    <xdr:to>
      <xdr:col>63</xdr:col>
      <xdr:colOff>403175</xdr:colOff>
      <xdr:row>22</xdr:row>
      <xdr:rowOff>29532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AFB5DD49-AB0E-65DA-5719-593437981707}"/>
            </a:ext>
          </a:extLst>
        </xdr:cNvPr>
        <xdr:cNvSpPr/>
      </xdr:nvSpPr>
      <xdr:spPr>
        <a:xfrm flipH="1">
          <a:off x="47527029" y="3678968"/>
          <a:ext cx="1105908" cy="341993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xdr:txBody>
    </xdr:sp>
    <xdr:clientData/>
  </xdr:twoCellAnchor>
  <xdr:twoCellAnchor>
    <xdr:from>
      <xdr:col>70</xdr:col>
      <xdr:colOff>22627</xdr:colOff>
      <xdr:row>9</xdr:row>
      <xdr:rowOff>93335</xdr:rowOff>
    </xdr:from>
    <xdr:to>
      <xdr:col>71</xdr:col>
      <xdr:colOff>441727</xdr:colOff>
      <xdr:row>11</xdr:row>
      <xdr:rowOff>806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68EF407D-385D-4747-A5F3-61A0FF5502C7}"/>
            </a:ext>
          </a:extLst>
        </xdr:cNvPr>
        <xdr:cNvSpPr/>
      </xdr:nvSpPr>
      <xdr:spPr>
        <a:xfrm>
          <a:off x="52485722" y="1726192"/>
          <a:ext cx="1023862" cy="270328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After Covid</a:t>
          </a:r>
          <a:endParaRPr lang="en-IN" sz="1100"/>
        </a:p>
      </xdr:txBody>
    </xdr:sp>
    <xdr:clientData/>
  </xdr:twoCellAnchor>
  <xdr:twoCellAnchor>
    <xdr:from>
      <xdr:col>61</xdr:col>
      <xdr:colOff>119441</xdr:colOff>
      <xdr:row>1</xdr:row>
      <xdr:rowOff>116417</xdr:rowOff>
    </xdr:from>
    <xdr:to>
      <xdr:col>73</xdr:col>
      <xdr:colOff>101913</xdr:colOff>
      <xdr:row>23</xdr:row>
      <xdr:rowOff>39197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605D8-F196-7548-C161-031F3787E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231824</xdr:colOff>
      <xdr:row>1</xdr:row>
      <xdr:rowOff>80634</xdr:rowOff>
    </xdr:from>
    <xdr:to>
      <xdr:col>25</xdr:col>
      <xdr:colOff>463650</xdr:colOff>
      <xdr:row>21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2F127F-AC12-F4C0-465B-5A6DDB2B5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718827</xdr:colOff>
      <xdr:row>1</xdr:row>
      <xdr:rowOff>61013</xdr:rowOff>
    </xdr:from>
    <xdr:to>
      <xdr:col>49</xdr:col>
      <xdr:colOff>609130</xdr:colOff>
      <xdr:row>22</xdr:row>
      <xdr:rowOff>51741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E6BFF-0F31-98C1-C3B8-2E658221A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473732</xdr:colOff>
      <xdr:row>35</xdr:row>
      <xdr:rowOff>134390</xdr:rowOff>
    </xdr:from>
    <xdr:to>
      <xdr:col>56</xdr:col>
      <xdr:colOff>391975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0C8014-160E-431B-0F02-E0511E472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0.51352</cdr:x>
      <cdr:y>0.17935</cdr:y>
    </cdr:from>
    <cdr:to>
      <cdr:x>0.5165</cdr:x>
      <cdr:y>0.8587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E170480-83B5-6851-84F0-67A44C49AB4D}"/>
            </a:ext>
          </a:extLst>
        </cdr:cNvPr>
        <cdr:cNvCxnSpPr/>
      </cdr:nvCxnSpPr>
      <cdr:spPr>
        <a:xfrm xmlns:a="http://schemas.openxmlformats.org/drawingml/2006/main" flipH="1" flipV="1">
          <a:off x="5224135" y="665239"/>
          <a:ext cx="30239" cy="2519841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0.23287</cdr:x>
      <cdr:y>0.26098</cdr:y>
    </cdr:from>
    <cdr:to>
      <cdr:x>0.34158</cdr:x>
      <cdr:y>0.35318</cdr:y>
    </cdr:to>
    <cdr:sp macro="" textlink="">
      <cdr:nvSpPr>
        <cdr:cNvPr id="6" name="Speech Bubble: Rectangle 5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2369054" y="968022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0.70449</cdr:x>
      <cdr:y>0.24196</cdr:y>
    </cdr:from>
    <cdr:to>
      <cdr:x>0.8132</cdr:x>
      <cdr:y>0.33416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7166833" y="897466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0.51382</cdr:x>
      <cdr:y>0.1856</cdr:y>
    </cdr:from>
    <cdr:to>
      <cdr:x>0.51564</cdr:x>
      <cdr:y>0.87202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AEE9B166-A861-6534-BF10-536041E8A13C}"/>
            </a:ext>
          </a:extLst>
        </cdr:cNvPr>
        <cdr:cNvCxnSpPr/>
      </cdr:nvCxnSpPr>
      <cdr:spPr>
        <a:xfrm xmlns:a="http://schemas.openxmlformats.org/drawingml/2006/main" flipV="1">
          <a:off x="4469503" y="675318"/>
          <a:ext cx="15816" cy="2497673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0.15648</cdr:x>
      <cdr:y>0.21618</cdr:y>
    </cdr:from>
    <cdr:to>
      <cdr:x>0.33617</cdr:x>
      <cdr:y>0.347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639967FD-FB6D-D97A-DD83-60360AE5F2D9}"/>
            </a:ext>
          </a:extLst>
        </cdr:cNvPr>
        <cdr:cNvSpPr/>
      </cdr:nvSpPr>
      <cdr:spPr>
        <a:xfrm xmlns:a="http://schemas.openxmlformats.org/drawingml/2006/main">
          <a:off x="1361118" y="786593"/>
          <a:ext cx="1563088" cy="476004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Pre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0.59332</cdr:x>
      <cdr:y>0.21064</cdr:y>
    </cdr:from>
    <cdr:to>
      <cdr:x>0.77919</cdr:x>
      <cdr:y>0.34946</cdr:y>
    </cdr:to>
    <cdr:sp macro="" textlink="">
      <cdr:nvSpPr>
        <cdr:cNvPr id="8" name="Speech Bubble: Rectangle 7">
          <a:extLst xmlns:a="http://schemas.openxmlformats.org/drawingml/2006/main">
            <a:ext uri="{FF2B5EF4-FFF2-40B4-BE49-F238E27FC236}">
              <a16:creationId xmlns:a16="http://schemas.microsoft.com/office/drawing/2014/main" id="{C42122AA-D6B0-DE0B-FF62-6AA78D3D17C0}"/>
            </a:ext>
          </a:extLst>
        </cdr:cNvPr>
        <cdr:cNvSpPr/>
      </cdr:nvSpPr>
      <cdr:spPr>
        <a:xfrm xmlns:a="http://schemas.openxmlformats.org/drawingml/2006/main">
          <a:off x="5161013" y="766446"/>
          <a:ext cx="1616789" cy="505118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Post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0.17641</cdr:x>
      <cdr:y>0.32663</cdr:y>
    </cdr:from>
    <cdr:to>
      <cdr:x>0.36185</cdr:x>
      <cdr:y>0.4605</cdr:y>
    </cdr:to>
    <cdr:sp macro="" textlink="">
      <cdr:nvSpPr>
        <cdr:cNvPr id="2" name="Speech Bubble: Rectangle 1">
          <a:extLst xmlns:a="http://schemas.openxmlformats.org/drawingml/2006/main">
            <a:ext uri="{FF2B5EF4-FFF2-40B4-BE49-F238E27FC236}">
              <a16:creationId xmlns:a16="http://schemas.microsoft.com/office/drawing/2014/main" id="{E2E7A676-9DBE-59BB-20C5-F41B8453B66C}"/>
            </a:ext>
          </a:extLst>
        </cdr:cNvPr>
        <cdr:cNvSpPr/>
      </cdr:nvSpPr>
      <cdr:spPr>
        <a:xfrm xmlns:a="http://schemas.openxmlformats.org/drawingml/2006/main">
          <a:off x="1558650" y="1231071"/>
          <a:ext cx="1638468" cy="504553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>
              <a:solidFill>
                <a:sysClr val="windowText" lastClr="000000"/>
              </a:solidFill>
            </a:rPr>
            <a:t>Before</a:t>
          </a:r>
          <a:r>
            <a:rPr lang="en-IN" kern="1200" baseline="0">
              <a:solidFill>
                <a:sysClr val="windowText" lastClr="000000"/>
              </a:solidFill>
            </a:rPr>
            <a:t>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0.69014</cdr:x>
      <cdr:y>0.30564</cdr:y>
    </cdr:from>
    <cdr:to>
      <cdr:x>0.88194</cdr:x>
      <cdr:y>0.44769</cdr:y>
    </cdr:to>
    <cdr:sp macro="" textlink="">
      <cdr:nvSpPr>
        <cdr:cNvPr id="3" name="Speech Bubble: Rectangle 2">
          <a:extLst xmlns:a="http://schemas.openxmlformats.org/drawingml/2006/main">
            <a:ext uri="{FF2B5EF4-FFF2-40B4-BE49-F238E27FC236}">
              <a16:creationId xmlns:a16="http://schemas.microsoft.com/office/drawing/2014/main" id="{B4BB7F8F-01C7-C32D-9D19-8A21AD417B2F}"/>
            </a:ext>
          </a:extLst>
        </cdr:cNvPr>
        <cdr:cNvSpPr/>
      </cdr:nvSpPr>
      <cdr:spPr>
        <a:xfrm xmlns:a="http://schemas.openxmlformats.org/drawingml/2006/main">
          <a:off x="6097754" y="1151961"/>
          <a:ext cx="1694663" cy="535383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After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0.49928</cdr:x>
      <cdr:y>0.21454</cdr:y>
    </cdr:from>
    <cdr:to>
      <cdr:x>0.50011</cdr:x>
      <cdr:y>0.72939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146B38E-17CA-24C7-334F-4F490B88F467}"/>
            </a:ext>
          </a:extLst>
        </cdr:cNvPr>
        <cdr:cNvCxnSpPr/>
      </cdr:nvCxnSpPr>
      <cdr:spPr>
        <a:xfrm xmlns:a="http://schemas.openxmlformats.org/drawingml/2006/main" flipH="1">
          <a:off x="4406619" y="829683"/>
          <a:ext cx="7334" cy="1991005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0.08536</cdr:x>
      <cdr:y>0.17615</cdr:y>
    </cdr:from>
    <cdr:to>
      <cdr:x>0.21058</cdr:x>
      <cdr:y>0.277</cdr:y>
    </cdr:to>
    <cdr:sp macro="" textlink="">
      <cdr:nvSpPr>
        <cdr:cNvPr id="3" name="Speech Bubble: Rectangle 2">
          <a:extLst xmlns:a="http://schemas.openxmlformats.org/drawingml/2006/main">
            <a:ext uri="{FF2B5EF4-FFF2-40B4-BE49-F238E27FC236}">
              <a16:creationId xmlns:a16="http://schemas.microsoft.com/office/drawing/2014/main" id="{408D889A-0BB9-F347-4F22-4899564AA574}"/>
            </a:ext>
          </a:extLst>
        </cdr:cNvPr>
        <cdr:cNvSpPr/>
      </cdr:nvSpPr>
      <cdr:spPr>
        <a:xfrm xmlns:a="http://schemas.openxmlformats.org/drawingml/2006/main" flipH="1">
          <a:off x="796674" y="756355"/>
          <a:ext cx="1168802" cy="433010"/>
        </a:xfrm>
        <a:prstGeom xmlns:a="http://schemas.openxmlformats.org/drawingml/2006/main" prst="wedgeRectCallout">
          <a:avLst/>
        </a:prstGeom>
        <a:ln xmlns:a="http://schemas.openxmlformats.org/drawingml/2006/main" w="2857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0.69659</cdr:x>
      <cdr:y>0.1738</cdr:y>
    </cdr:from>
    <cdr:to>
      <cdr:x>0.8067</cdr:x>
      <cdr:y>0.26995</cdr:y>
    </cdr:to>
    <cdr:sp macro="" textlink="">
      <cdr:nvSpPr>
        <cdr:cNvPr id="4" name="Speech Bubble: Rectangle 3">
          <a:extLst xmlns:a="http://schemas.openxmlformats.org/drawingml/2006/main">
            <a:ext uri="{FF2B5EF4-FFF2-40B4-BE49-F238E27FC236}">
              <a16:creationId xmlns:a16="http://schemas.microsoft.com/office/drawing/2014/main" id="{D6FF62ED-E6F6-C212-757C-B6E625BB256B}"/>
            </a:ext>
          </a:extLst>
        </cdr:cNvPr>
        <cdr:cNvSpPr/>
      </cdr:nvSpPr>
      <cdr:spPr>
        <a:xfrm xmlns:a="http://schemas.openxmlformats.org/drawingml/2006/main" flipH="1">
          <a:off x="6501594" y="746277"/>
          <a:ext cx="1027692" cy="412850"/>
        </a:xfrm>
        <a:prstGeom xmlns:a="http://schemas.openxmlformats.org/drawingml/2006/main" prst="wedgeRectCallout">
          <a:avLst/>
        </a:prstGeom>
        <a:ln xmlns:a="http://schemas.openxmlformats.org/drawingml/2006/main" w="2540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  <cdr:relSizeAnchor xmlns:cdr="http://schemas.openxmlformats.org/drawingml/2006/chartDrawing">
    <cdr:from>
      <cdr:x>0.51718</cdr:x>
      <cdr:y>0.15741</cdr:y>
    </cdr:from>
    <cdr:to>
      <cdr:x>0.51808</cdr:x>
      <cdr:y>0.55093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73F12E90-7E18-B737-8BC7-9A6D2D001053}"/>
            </a:ext>
          </a:extLst>
        </cdr:cNvPr>
        <cdr:cNvCxnSpPr/>
      </cdr:nvCxnSpPr>
      <cdr:spPr>
        <a:xfrm xmlns:a="http://schemas.openxmlformats.org/drawingml/2006/main" flipH="1" flipV="1">
          <a:off x="5765397" y="685397"/>
          <a:ext cx="10079" cy="1713492"/>
        </a:xfrm>
        <a:prstGeom xmlns:a="http://schemas.openxmlformats.org/drawingml/2006/main" prst="line">
          <a:avLst/>
        </a:prstGeom>
        <a:ln xmlns:a="http://schemas.openxmlformats.org/drawingml/2006/main" w="22225" cap="flat" cmpd="sng" algn="ctr">
          <a:solidFill>
            <a:schemeClr val="bg1">
              <a:alpha val="94000"/>
            </a:schemeClr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2143124</xdr:colOff>
      <xdr:row>45</xdr:row>
      <xdr:rowOff>6350</xdr:rowOff>
    </xdr:from>
    <xdr:to>
      <xdr:col>45</xdr:col>
      <xdr:colOff>50799</xdr:colOff>
      <xdr:row>58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29E52-3D82-A844-FD6D-72EEB07F0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998094</xdr:colOff>
      <xdr:row>46</xdr:row>
      <xdr:rowOff>165353</xdr:rowOff>
    </xdr:from>
    <xdr:to>
      <xdr:col>16</xdr:col>
      <xdr:colOff>435401</xdr:colOff>
      <xdr:row>73</xdr:row>
      <xdr:rowOff>143828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36C3B2-9027-725B-2E53-95B3ED8AE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49" refreshedDate="45728.493287268517" createdVersion="8" refreshedVersion="8" minRefreshableVersion="3" recordCount="372" xr:uid="{F57EF57E-0185-4C4C-835A-14D04F03E982}">
  <cacheSource type="worksheet">
    <worksheetSource ref="AD1:BG379" sheet="Note"/>
  </cacheSource>
  <cacheFields count="30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s v="November " u="1"/>
        <s v="Marcrh" u="1"/>
      </sharedItems>
    </cacheField>
    <cacheField name="Cereals and products" numFmtId="0">
      <sharedItems containsMixedTypes="1" containsNumber="1" minValue="107.5" maxValue="174.8" count="253">
        <n v="107.5"/>
        <n v="110.5"/>
        <n v="108.4"/>
        <n v="109.2"/>
        <n v="112.9"/>
        <n v="110.4"/>
        <n v="110.2"/>
        <n v="113.9"/>
        <n v="111.4"/>
        <n v="114.6"/>
        <n v="111.6"/>
        <n v="110.9"/>
        <n v="115.4"/>
        <n v="112.3"/>
        <n v="117"/>
        <n v="113.8"/>
        <n v="113.4"/>
        <n v="117.8"/>
        <n v="114.8"/>
        <n v="114.3"/>
        <n v="118.3"/>
        <n v="115.6"/>
        <n v="118.6"/>
        <n v="116.4"/>
        <n v="116.3"/>
        <n v="118.9"/>
        <n v="117.1"/>
        <n v="117.3"/>
        <n v="119.8"/>
        <n v="118.1"/>
        <n v="118.4"/>
        <n v="120.5"/>
        <n v="119.1"/>
        <n v="121.2"/>
        <n v="119.6"/>
        <n v="119.4"/>
        <n v="121.9"/>
        <n v="120.2"/>
        <n v="120.1"/>
        <n v="122.1"/>
        <n v="120.7"/>
        <n v="122.5"/>
        <n v="120.9"/>
        <n v="120.3"/>
        <n v="122.7"/>
        <n v="121.1"/>
        <n v="123.1"/>
        <n v="121.5"/>
        <n v="121.7"/>
        <n v="123.8"/>
        <n v="122.4"/>
        <n v="121.8"/>
        <n v="124.8"/>
        <n v="122.3"/>
        <n v="124.2"/>
        <n v="122.9"/>
        <n v="122.6"/>
        <n v="124.6"/>
        <n v="123.2"/>
        <n v="124.5"/>
        <n v="123.3"/>
        <n v="124"/>
        <n v="123.4"/>
        <n v="124.3"/>
        <n v="123.7"/>
        <n v="123.5"/>
        <n v="123.6"/>
        <n v="124.1"/>
        <n v="123.9"/>
        <n v="124.7"/>
        <n v="125.1"/>
        <n v="125.6"/>
        <n v="125"/>
        <n v="126.1"/>
        <n v="125.4"/>
        <n v="126.3"/>
        <n v="125.7"/>
        <n v="126.8"/>
        <n v="127.1"/>
        <n v="126.4"/>
        <n v="127.3"/>
        <n v="126.5"/>
        <n v="127.4"/>
        <n v="124.9"/>
        <n v="126.6"/>
        <n v="127.6"/>
        <n v="128.6"/>
        <n v="125.9"/>
        <n v="127.7"/>
        <n v="129.30000000000001"/>
        <n v="128.5"/>
        <n v="130.1"/>
        <n v="130.80000000000001"/>
        <n v="128.1"/>
        <n v="129.9"/>
        <n v="131.30000000000001"/>
        <n v="128.69999999999999"/>
        <n v="130.5"/>
        <n v="132"/>
        <n v="130.19999999999999"/>
        <n v="131.4"/>
        <n v="132.6"/>
        <n v="131.6"/>
        <n v="132.30000000000001"/>
        <n v="133.1"/>
        <n v="132.19999999999999"/>
        <n v="132.80000000000001"/>
        <n v="133.30000000000001"/>
        <n v="133.6"/>
        <n v="132.69999999999999"/>
        <n v="133.19999999999999"/>
        <n v="133"/>
        <n v="132.9"/>
        <n v="133.5"/>
        <n v="134"/>
        <n v="134.80000000000001"/>
        <n v="134.30000000000001"/>
        <n v="135.19999999999999"/>
        <n v="134.69999999999999"/>
        <n v="135.9"/>
        <n v="133.9"/>
        <n v="135.30000000000001"/>
        <n v="136.30000000000001"/>
        <n v="135.69999999999999"/>
        <n v="136.4"/>
        <n v="134.4"/>
        <n v="135.80000000000001"/>
        <n v="136.6"/>
        <n v="134.6"/>
        <n v="136"/>
        <n v="136.80000000000001"/>
        <n v="135"/>
        <n v="136.19999999999999"/>
        <n v="137.1"/>
        <n v="137.4"/>
        <n v="137.6"/>
        <n v="136.9"/>
        <n v="138.4"/>
        <n v="135.6"/>
        <n v="137.5"/>
        <n v="139.19999999999999"/>
        <n v="136.5"/>
        <n v="138.30000000000001"/>
        <n v="139.4"/>
        <n v="137"/>
        <n v="138.6"/>
        <n v="139.30000000000001"/>
        <n v="138.1"/>
        <n v="138.5"/>
        <n v="139.69999999999999"/>
        <n v="137.80000000000001"/>
        <n v="140.4"/>
        <n v="140.69999999999999"/>
        <n v="138.69999999999999"/>
        <n v="141.4"/>
        <n v="142.1"/>
        <n v="140.1"/>
        <n v="142.69999999999999"/>
        <n v="140.9"/>
        <n v="141"/>
        <n v="143.5"/>
        <n v="141.80000000000001"/>
        <n v="144.1"/>
        <n v="142.5"/>
        <n v="142.80000000000001"/>
        <n v="144.9"/>
        <n v="143.69999999999999"/>
        <n v="145.6"/>
        <n v="144.30000000000001"/>
        <n v="144.19999999999999"/>
        <n v="146.19999999999999"/>
        <n v="144.80000000000001"/>
        <n v="144.4"/>
        <n v="146.5"/>
        <n v="145.1"/>
        <n v="147.19999999999999"/>
        <n v="151.80000000000001"/>
        <n v="148.69999999999999"/>
        <s v="NA"/>
        <n v="148.19999999999999"/>
        <n v="152.69999999999999"/>
        <n v="149.6"/>
        <n v="147.6"/>
        <n v="151.6"/>
        <n v="148.9"/>
        <n v="146.9"/>
        <n v="151.5"/>
        <n v="148.4"/>
        <n v="146"/>
        <n v="150.6"/>
        <n v="147.5"/>
        <n v="145.4"/>
        <n v="149.69999999999999"/>
        <n v="146.80000000000001"/>
        <n v="144.6"/>
        <n v="149"/>
        <n v="143.4"/>
        <n v="148"/>
        <n v="148.80000000000001"/>
        <n v="146.30000000000001"/>
        <n v="149.19999999999999"/>
        <n v="146.69999999999999"/>
        <n v="149.1"/>
        <n v="146.4"/>
        <n v="149.30000000000001"/>
        <n v="146.6"/>
        <n v="146.1"/>
        <n v="150.1"/>
        <n v="147.4"/>
        <n v="151"/>
        <n v="148.30000000000001"/>
        <n v="152.19999999999999"/>
        <n v="149.5"/>
        <n v="152.5"/>
        <n v="150"/>
        <n v="150.19999999999999"/>
        <n v="153.69999999999999"/>
        <n v="151.30000000000001"/>
        <n v="155.4"/>
        <n v="152.9"/>
        <n v="156.69999999999999"/>
        <n v="154.1"/>
        <n v="153.80000000000001"/>
        <n v="157.5"/>
        <n v="155"/>
        <n v="155.19999999999999"/>
        <n v="159.30000000000001"/>
        <n v="156.5"/>
        <n v="159.5"/>
        <n v="162.1"/>
        <n v="160.30000000000001"/>
        <n v="162.9"/>
        <n v="164.9"/>
        <n v="163.5"/>
        <n v="164.7"/>
        <n v="166.4"/>
        <n v="165.2"/>
        <n v="166.9"/>
        <n v="168.4"/>
        <n v="167.4"/>
        <n v="168.8"/>
        <n v="170.2"/>
        <n v="169.2"/>
        <n v="174"/>
        <n v="173.3"/>
        <n v="173.8"/>
        <n v="174.2"/>
        <n v="174.7"/>
        <n v="174.4"/>
        <n v="174.3"/>
        <n v="174.8"/>
        <n v="173.2"/>
        <n v="173.7"/>
      </sharedItems>
    </cacheField>
    <cacheField name="Meat and fish" numFmtId="0">
      <sharedItems containsMixedTypes="1" containsNumber="1" minValue="106.3" maxValue="223.4" count="291">
        <n v="106.3"/>
        <n v="109.1"/>
        <n v="107.3"/>
        <n v="108.7"/>
        <n v="112.9"/>
        <n v="110.2"/>
        <n v="108.8"/>
        <n v="111.4"/>
        <n v="109.7"/>
        <n v="109.5"/>
        <n v="113.4"/>
        <n v="110.9"/>
        <n v="109.8"/>
        <n v="114.2"/>
        <n v="111.3"/>
        <n v="112.1"/>
        <n v="120.1"/>
        <n v="114.9"/>
        <n v="119.2"/>
        <n v="116.4"/>
        <n v="115.4"/>
        <n v="120.4"/>
        <n v="117.2"/>
        <n v="115.7"/>
        <n v="119.1"/>
        <n v="116.9"/>
        <n v="118.1"/>
        <n v="116.3"/>
        <n v="115.9"/>
        <n v="116.7"/>
        <n v="117.1"/>
        <n v="122"/>
        <n v="118.8"/>
        <n v="117.7"/>
        <n v="121.4"/>
        <n v="119.3"/>
        <n v="118.9"/>
        <n v="121.7"/>
        <n v="119.9"/>
        <n v="120.2"/>
        <n v="124.1"/>
        <n v="121.6"/>
        <n v="125.9"/>
        <n v="123.1"/>
        <n v="122.5"/>
        <n v="126.4"/>
        <n v="123.9"/>
        <n v="122.8"/>
        <n v="127.3"/>
        <n v="124.4"/>
        <n v="122.4"/>
        <n v="125.4"/>
        <n v="123.5"/>
        <n v="126.1"/>
        <n v="123.8"/>
        <n v="122.6"/>
        <n v="125.6"/>
        <n v="123.7"/>
        <n v="124.7"/>
        <n v="123.2"/>
        <n v="125.5"/>
        <n v="126.5"/>
        <n v="125.1"/>
        <n v="126.7"/>
        <n v="128.19999999999999"/>
        <n v="127.1"/>
        <n v="129.69999999999999"/>
        <n v="128"/>
        <n v="130.4"/>
        <n v="134.4"/>
        <n v="131.80000000000001"/>
        <n v="131.5"/>
        <n v="134.30000000000001"/>
        <n v="132.5"/>
        <n v="131.30000000000001"/>
        <n v="131.69999999999999"/>
        <n v="131.4"/>
        <n v="131.1"/>
        <n v="129"/>
        <n v="128.6"/>
        <n v="129.80000000000001"/>
        <n v="130.6"/>
        <n v="130.30000000000001"/>
        <n v="133.19999999999999"/>
        <n v="135.9"/>
        <n v="134.1"/>
        <n v="133.69999999999999"/>
        <n v="135.1"/>
        <n v="134.19999999999999"/>
        <n v="136.30000000000001"/>
        <n v="135.4"/>
        <n v="139.30000000000001"/>
        <n v="136.80000000000001"/>
        <n v="137.5"/>
        <n v="142.1"/>
        <n v="139.1"/>
        <n v="138.6"/>
        <n v="143.9"/>
        <n v="140.5"/>
        <n v="139.5"/>
        <n v="144.19999999999999"/>
        <n v="141.19999999999999"/>
        <n v="138.80000000000001"/>
        <n v="140.30000000000001"/>
        <n v="138.19999999999999"/>
        <n v="137.69999999999999"/>
        <n v="138"/>
        <n v="137.6"/>
        <n v="138.4"/>
        <n v="137.9"/>
        <n v="137.4"/>
        <n v="138.5"/>
        <n v="137.80000000000001"/>
        <n v="137.30000000000001"/>
        <n v="138.9"/>
        <n v="138.30000000000001"/>
        <n v="139.80000000000001"/>
        <n v="139.4"/>
        <n v="139"/>
        <n v="138.69999999999999"/>
        <n v="140.6"/>
        <n v="144.1"/>
        <n v="141.6"/>
        <n v="143.69999999999999"/>
        <n v="148.69999999999999"/>
        <n v="145.5"/>
        <n v="148.4"/>
        <n v="145.69999999999999"/>
        <n v="143.1"/>
        <n v="143.4"/>
        <n v="142"/>
        <n v="143"/>
        <n v="142.4"/>
        <n v="141.9"/>
        <n v="142.80000000000001"/>
        <n v="142.19999999999999"/>
        <n v="142.5"/>
        <n v="142.6"/>
        <n v="143.30000000000001"/>
        <n v="144.4"/>
        <n v="143.5"/>
        <n v="143.80000000000001"/>
        <n v="143.6"/>
        <n v="144.5"/>
        <n v="144.30000000000001"/>
        <n v="148.19999999999999"/>
        <n v="146.6"/>
        <n v="148.1"/>
        <n v="149.69999999999999"/>
        <n v="149.30000000000001"/>
        <n v="148.6"/>
        <n v="149.1"/>
        <n v="148.80000000000001"/>
        <n v="146.4"/>
        <n v="148"/>
        <n v="147.19999999999999"/>
        <n v="145.80000000000001"/>
        <n v="147.6"/>
        <n v="144.9"/>
        <n v="149.5"/>
        <n v="150.80000000000001"/>
        <n v="146.30000000000001"/>
        <n v="149.19999999999999"/>
        <n v="151.9"/>
        <n v="147.80000000000001"/>
        <n v="150.5"/>
        <n v="152.5"/>
        <n v="149.4"/>
        <n v="151.4"/>
        <n v="153"/>
        <n v="150.1"/>
        <n v="152"/>
        <n v="154.1"/>
        <n v="151.1"/>
        <n v="159.5"/>
        <n v="156.69999999999999"/>
        <n v="158.5"/>
        <n v="163.5"/>
        <n v="159.6"/>
        <n v="162.1"/>
        <n v="164"/>
        <n v="160.19999999999999"/>
        <n v="162.69999999999999"/>
        <n v="161.9"/>
        <n v="158.30000000000001"/>
        <n v="160.6"/>
        <n v="158.69999999999999"/>
        <n v="160.80000000000001"/>
        <n v="161.6"/>
        <n v="159.80000000000001"/>
        <n v="161"/>
        <n v="163.69999999999999"/>
        <n v="162.4"/>
        <n v="163.19999999999999"/>
        <n v="165.3"/>
        <n v="164.5"/>
        <n v="165"/>
        <n v="167.3"/>
        <n v="167.6"/>
        <n v="167.4"/>
        <n v="167.5"/>
        <n v="166.8"/>
        <n v="167"/>
        <s v="NA"/>
        <n v="190.3"/>
        <n v="197"/>
        <n v="192.7"/>
        <n v="187.2"/>
        <n v="197.8"/>
        <n v="190.9"/>
        <n v="183.9"/>
        <n v="193.1"/>
        <n v="187.1"/>
        <n v="186.3"/>
        <n v="193.7"/>
        <n v="188.9"/>
        <n v="188.6"/>
        <n v="195.5"/>
        <n v="191"/>
        <n v="188.5"/>
        <n v="195.7"/>
        <n v="187.5"/>
        <n v="194.8"/>
        <n v="190.1"/>
        <n v="184"/>
        <n v="191.2"/>
        <n v="186.5"/>
        <n v="189.4"/>
        <n v="197.5"/>
        <n v="192.2"/>
        <n v="202.5"/>
        <n v="198"/>
        <n v="198.5"/>
        <n v="204.3"/>
        <n v="200.5"/>
        <n v="200.1"/>
        <n v="205.5"/>
        <n v="202"/>
        <n v="204.5"/>
        <n v="210.9"/>
        <n v="206.8"/>
        <n v="202.3"/>
        <n v="207.4"/>
        <n v="204"/>
        <n v="202.1"/>
        <n v="208.4"/>
        <n v="204.6"/>
        <n v="199.8"/>
        <n v="204.9"/>
        <n v="201.6"/>
        <n v="202.2"/>
        <n v="198.8"/>
        <n v="196.9"/>
        <n v="198.7"/>
        <n v="198.1"/>
        <n v="205.2"/>
        <n v="200.6"/>
        <n v="208"/>
        <n v="215.8"/>
        <n v="210.7"/>
        <n v="209.7"/>
        <n v="211.8"/>
        <n v="214.7"/>
        <n v="221.2"/>
        <n v="217"/>
        <n v="217.2"/>
        <n v="223.4"/>
        <n v="219.4"/>
        <n v="210.8"/>
        <n v="217.1"/>
        <n v="213"/>
        <n v="204.1"/>
        <n v="206.5"/>
        <n v="206.7"/>
        <n v="213.7"/>
        <n v="209.2"/>
        <n v="208.8"/>
        <n v="214.9"/>
        <n v="207.2"/>
        <n v="213.4"/>
        <n v="209.4"/>
        <n v="206.9"/>
        <n v="212.9"/>
        <n v="209"/>
        <n v="208.3"/>
        <n v="215.2"/>
        <n v="212.2"/>
        <n v="207.7"/>
        <n v="209.3"/>
        <n v="211.5"/>
        <n v="214.3"/>
      </sharedItems>
    </cacheField>
    <cacheField name="Egg" numFmtId="0">
      <sharedItems containsMixedTypes="1" containsNumber="1" minValue="102.7" maxValue="197"/>
    </cacheField>
    <cacheField name="Milk and products" numFmtId="0">
      <sharedItems containsMixedTypes="1" containsNumber="1" minValue="103.6" maxValue="179.6"/>
    </cacheField>
    <cacheField name="Oils and fats" numFmtId="0">
      <sharedItems containsMixedTypes="1" containsNumber="1" minValue="101.1" maxValue="209.9"/>
    </cacheField>
    <cacheField name="Fruits" numFmtId="0">
      <sharedItems containsMixedTypes="1" containsNumber="1" minValue="102.3" maxValue="179.5"/>
    </cacheField>
    <cacheField name="Vegetables" numFmtId="0">
      <sharedItems containsMixedTypes="1" containsNumber="1" minValue="101.4" maxValue="245.3"/>
    </cacheField>
    <cacheField name="Pulses and products" numFmtId="0">
      <sharedItems containsMixedTypes="1" containsNumber="1" minValue="103.5" maxValue="191.6"/>
    </cacheField>
    <cacheField name="Sugar and Confectionery" numFmtId="0">
      <sharedItems containsMixedTypes="1" containsNumber="1" minValue="85.3" maxValue="124.2"/>
    </cacheField>
    <cacheField name="Spices" numFmtId="0">
      <sharedItems containsMixedTypes="1" containsNumber="1" minValue="101.8" maxValue="221"/>
    </cacheField>
    <cacheField name="Non-alcoholic beverages" numFmtId="0">
      <sharedItems containsMixedTypes="1" containsNumber="1" minValue="104.8" maxValue="178.7"/>
    </cacheField>
    <cacheField name="Prepared meals, snacks, sweets etc." numFmtId="0">
      <sharedItems containsMixedTypes="1" containsNumber="1" minValue="106.7" maxValue="197.7"/>
    </cacheField>
    <cacheField name="Food and beverages" numFmtId="0">
      <sharedItems containsMixedTypes="1" containsNumber="1" minValue="105.5" maxValue="183.3"/>
    </cacheField>
    <cacheField name="Pan, tobacco and intoxicants" numFmtId="0">
      <sharedItems containsMixedTypes="1" containsNumber="1" minValue="105.1" maxValue="204.2"/>
    </cacheField>
    <cacheField name="Clothing" numFmtId="0">
      <sharedItems containsMixedTypes="1" containsNumber="1" minValue="105.9" maxValue="191.2"/>
    </cacheField>
    <cacheField name="Footwear" numFmtId="0">
      <sharedItems containsMixedTypes="1" containsNumber="1" minValue="105" maxValue="187.9"/>
    </cacheField>
    <cacheField name="Clothing and footwear" numFmtId="0">
      <sharedItems containsMixedTypes="1" containsNumber="1" minValue="105.8" maxValue="190.8"/>
    </cacheField>
    <cacheField name="Housing" numFmtId="0">
      <sharedItems containsMixedTypes="1" containsNumber="1" minValue="100.3" maxValue="175.6"/>
    </cacheField>
    <cacheField name="Fuel and light" numFmtId="0">
      <sharedItems containsMixedTypes="1" containsNumber="1" minValue="105.4" maxValue="183.4"/>
    </cacheField>
    <cacheField name="Household goods and services" numFmtId="0">
      <sharedItems containsMixedTypes="1" containsNumber="1" minValue="104.8" maxValue="179.8"/>
    </cacheField>
    <cacheField name="Health" numFmtId="0">
      <sharedItems containsMixedTypes="1" containsNumber="1" minValue="104" maxValue="187.8"/>
    </cacheField>
    <cacheField name="Transport and communication" numFmtId="0">
      <sharedItems containsMixedTypes="1" containsNumber="1" minValue="103.2" maxValue="169.7"/>
    </cacheField>
    <cacheField name="Recreation and amusement" numFmtId="0">
      <sharedItems containsMixedTypes="1" containsNumber="1" minValue="102.9" maxValue="173.8"/>
    </cacheField>
    <cacheField name="Education" numFmtId="0">
      <sharedItems containsMixedTypes="1" containsNumber="1" minValue="103.5" maxValue="180.3"/>
    </cacheField>
    <cacheField name="Personal care and effects" numFmtId="0">
      <sharedItems containsMixedTypes="1" containsNumber="1" minValue="102.1" maxValue="185.6"/>
    </cacheField>
    <cacheField name="Miscellaneous" numFmtId="0">
      <sharedItems containsMixedTypes="1" containsNumber="1" minValue="103.7" maxValue="179.5"/>
    </cacheField>
    <cacheField name="General index" numFmtId="0">
      <sharedItems containsMixedTypes="1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x v="0"/>
    <n v="108.1"/>
    <n v="104.9"/>
    <n v="106.1"/>
    <n v="103.9"/>
    <n v="101.9"/>
    <n v="106.1"/>
    <n v="106.8"/>
    <n v="103.1"/>
    <n v="104.8"/>
    <n v="106.7"/>
    <n v="105.5"/>
    <n v="105.1"/>
    <n v="106.5"/>
    <n v="105.8"/>
    <n v="106.4"/>
    <s v="NA"/>
    <n v="105.5"/>
    <n v="104.8"/>
    <n v="104"/>
    <n v="103.3"/>
    <n v="103.4"/>
    <n v="103.8"/>
    <n v="104.7"/>
    <n v="104"/>
    <n v="105.1"/>
  </r>
  <r>
    <x v="1"/>
    <x v="0"/>
    <x v="0"/>
    <x v="1"/>
    <x v="1"/>
    <n v="113"/>
    <n v="103.6"/>
    <n v="103.4"/>
    <n v="102.3"/>
    <n v="102.9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</r>
  <r>
    <x v="2"/>
    <x v="0"/>
    <x v="0"/>
    <x v="2"/>
    <x v="2"/>
    <n v="110"/>
    <n v="104.4"/>
    <n v="105.1"/>
    <n v="103.2"/>
    <n v="102.2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</r>
  <r>
    <x v="0"/>
    <x v="0"/>
    <x v="1"/>
    <x v="3"/>
    <x v="3"/>
    <n v="110.2"/>
    <n v="105.4"/>
    <n v="106.7"/>
    <n v="104"/>
    <n v="102.4"/>
    <n v="105.9"/>
    <n v="105.7"/>
    <n v="103.1"/>
    <n v="105.1"/>
    <n v="107.7"/>
    <n v="106.3"/>
    <n v="105.6"/>
    <n v="107.1"/>
    <n v="106.3"/>
    <n v="107"/>
    <s v="NA"/>
    <n v="106.2"/>
    <n v="105.2"/>
    <n v="104.4"/>
    <n v="103.9"/>
    <n v="104"/>
    <n v="104.1"/>
    <n v="104.6"/>
    <n v="104.4"/>
    <n v="105.8"/>
  </r>
  <r>
    <x v="1"/>
    <x v="0"/>
    <x v="1"/>
    <x v="4"/>
    <x v="4"/>
    <n v="116.9"/>
    <n v="104"/>
    <n v="103.5"/>
    <n v="103.1"/>
    <n v="104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</r>
  <r>
    <x v="2"/>
    <x v="0"/>
    <x v="1"/>
    <x v="5"/>
    <x v="5"/>
    <n v="112.8"/>
    <n v="104.9"/>
    <n v="105.5"/>
    <n v="103.6"/>
    <n v="103.2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</r>
  <r>
    <x v="0"/>
    <x v="0"/>
    <x v="2"/>
    <x v="6"/>
    <x v="6"/>
    <n v="109.9"/>
    <n v="105.6"/>
    <n v="106.2"/>
    <n v="105.7"/>
    <n v="101.4"/>
    <n v="105.7"/>
    <n v="105"/>
    <n v="103.3"/>
    <n v="105.6"/>
    <n v="108.2"/>
    <n v="106.6"/>
    <n v="106.5"/>
    <n v="107.6"/>
    <n v="106.8"/>
    <n v="107.5"/>
    <s v="NA"/>
    <n v="106.1"/>
    <n v="105.6"/>
    <n v="104.7"/>
    <n v="104.6"/>
    <n v="104"/>
    <n v="104.3"/>
    <n v="104.3"/>
    <n v="104.6"/>
    <n v="106"/>
  </r>
  <r>
    <x v="1"/>
    <x v="0"/>
    <x v="2"/>
    <x v="7"/>
    <x v="7"/>
    <n v="113.2"/>
    <n v="104.3"/>
    <n v="102.7"/>
    <n v="104.9"/>
    <n v="103.8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</r>
  <r>
    <x v="2"/>
    <x v="0"/>
    <x v="2"/>
    <x v="8"/>
    <x v="8"/>
    <n v="111.2"/>
    <n v="105.1"/>
    <n v="104.9"/>
    <n v="105.3"/>
    <n v="102.2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</r>
  <r>
    <x v="0"/>
    <x v="0"/>
    <x v="3"/>
    <x v="6"/>
    <x v="9"/>
    <n v="106.9"/>
    <n v="106.3"/>
    <n v="105.7"/>
    <n v="108.3"/>
    <n v="103.4"/>
    <n v="105.7"/>
    <n v="104.2"/>
    <n v="103.2"/>
    <n v="106.5"/>
    <n v="108.8"/>
    <n v="107.1"/>
    <n v="107.1"/>
    <n v="108.1"/>
    <n v="107.4"/>
    <n v="108"/>
    <s v="NA"/>
    <n v="106.5"/>
    <n v="106.1"/>
    <n v="105.1"/>
    <n v="104.4"/>
    <n v="104.5"/>
    <n v="104.8"/>
    <n v="102.7"/>
    <n v="104.6"/>
    <n v="106.4"/>
  </r>
  <r>
    <x v="1"/>
    <x v="0"/>
    <x v="3"/>
    <x v="9"/>
    <x v="10"/>
    <n v="106"/>
    <n v="104.7"/>
    <n v="102.1"/>
    <n v="109.5"/>
    <n v="109.7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</r>
  <r>
    <x v="2"/>
    <x v="0"/>
    <x v="3"/>
    <x v="10"/>
    <x v="11"/>
    <n v="106.6"/>
    <n v="105.7"/>
    <n v="104.4"/>
    <n v="108.9"/>
    <n v="105.5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</r>
  <r>
    <x v="0"/>
    <x v="0"/>
    <x v="4"/>
    <x v="11"/>
    <x v="12"/>
    <n v="105.9"/>
    <n v="107.5"/>
    <n v="105.3"/>
    <n v="108.1"/>
    <n v="107.3"/>
    <n v="106.1"/>
    <n v="103.7"/>
    <n v="104"/>
    <n v="107.4"/>
    <n v="109.9"/>
    <n v="108.1"/>
    <n v="108.1"/>
    <n v="108.8"/>
    <n v="107.9"/>
    <n v="108.6"/>
    <s v="NA"/>
    <n v="107.5"/>
    <n v="106.8"/>
    <n v="105.7"/>
    <n v="104.1"/>
    <n v="105"/>
    <n v="105.5"/>
    <n v="102.1"/>
    <n v="104.8"/>
    <n v="107.2"/>
  </r>
  <r>
    <x v="1"/>
    <x v="0"/>
    <x v="4"/>
    <x v="12"/>
    <x v="13"/>
    <n v="102.7"/>
    <n v="105.5"/>
    <n v="101.5"/>
    <n v="110.6"/>
    <n v="123.7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</r>
  <r>
    <x v="2"/>
    <x v="0"/>
    <x v="4"/>
    <x v="13"/>
    <x v="14"/>
    <n v="104.7"/>
    <n v="106.8"/>
    <n v="103.9"/>
    <n v="109.3"/>
    <n v="112.9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</r>
  <r>
    <x v="0"/>
    <x v="0"/>
    <x v="5"/>
    <x v="13"/>
    <x v="15"/>
    <n v="108.1"/>
    <n v="108.3"/>
    <n v="105.9"/>
    <n v="109.2"/>
    <n v="118"/>
    <n v="106.8"/>
    <n v="104.1"/>
    <n v="105.4"/>
    <n v="108.2"/>
    <n v="111"/>
    <n v="110.6"/>
    <n v="109"/>
    <n v="109.7"/>
    <n v="108.8"/>
    <n v="109.5"/>
    <s v="NA"/>
    <n v="108.5"/>
    <n v="107.5"/>
    <n v="106.3"/>
    <n v="105"/>
    <n v="105.6"/>
    <n v="106.5"/>
    <n v="102.5"/>
    <n v="105.5"/>
    <n v="108.9"/>
  </r>
  <r>
    <x v="1"/>
    <x v="0"/>
    <x v="5"/>
    <x v="14"/>
    <x v="16"/>
    <n v="112.5"/>
    <n v="107.3"/>
    <n v="101.3"/>
    <n v="112.4"/>
    <n v="143.6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</r>
  <r>
    <x v="2"/>
    <x v="0"/>
    <x v="5"/>
    <x v="15"/>
    <x v="17"/>
    <n v="109.8"/>
    <n v="107.9"/>
    <n v="104.2"/>
    <n v="110.7"/>
    <n v="126.7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</r>
  <r>
    <x v="0"/>
    <x v="0"/>
    <x v="6"/>
    <x v="16"/>
    <x v="17"/>
    <n v="110.5"/>
    <n v="109.3"/>
    <n v="106.2"/>
    <n v="110.3"/>
    <n v="129.19999999999999"/>
    <n v="107.1"/>
    <n v="104.3"/>
    <n v="106.4"/>
    <n v="109.1"/>
    <n v="112.1"/>
    <n v="113.1"/>
    <n v="109.8"/>
    <n v="110.5"/>
    <n v="109.5"/>
    <n v="110.3"/>
    <s v="NA"/>
    <n v="109.5"/>
    <n v="108.3"/>
    <n v="106.9"/>
    <n v="106.8"/>
    <n v="106.4"/>
    <n v="107.8"/>
    <n v="102.5"/>
    <n v="106.5"/>
    <n v="110.7"/>
  </r>
  <r>
    <x v="1"/>
    <x v="0"/>
    <x v="6"/>
    <x v="17"/>
    <x v="18"/>
    <n v="114"/>
    <n v="108.3"/>
    <n v="101.1"/>
    <n v="113.2"/>
    <n v="160.9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</r>
  <r>
    <x v="2"/>
    <x v="0"/>
    <x v="6"/>
    <x v="18"/>
    <x v="19"/>
    <n v="111.9"/>
    <n v="108.9"/>
    <n v="104.3"/>
    <n v="111.7"/>
    <n v="140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</r>
  <r>
    <x v="0"/>
    <x v="0"/>
    <x v="7"/>
    <x v="19"/>
    <x v="20"/>
    <n v="111.1"/>
    <n v="110"/>
    <n v="106.4"/>
    <n v="110.8"/>
    <n v="138.9"/>
    <n v="107.4"/>
    <n v="104.1"/>
    <n v="106.9"/>
    <n v="109.7"/>
    <n v="112.6"/>
    <n v="114.9"/>
    <n v="110.7"/>
    <n v="111.3"/>
    <n v="110.2"/>
    <n v="111.1"/>
    <s v="NA"/>
    <n v="109.9"/>
    <n v="108.7"/>
    <n v="107.5"/>
    <n v="107.8"/>
    <n v="106.8"/>
    <n v="108.7"/>
    <n v="105"/>
    <n v="107.5"/>
    <n v="112.1"/>
  </r>
  <r>
    <x v="1"/>
    <x v="0"/>
    <x v="7"/>
    <x v="20"/>
    <x v="21"/>
    <n v="112.7"/>
    <n v="108.9"/>
    <n v="101.1"/>
    <n v="108.7"/>
    <n v="177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</r>
  <r>
    <x v="2"/>
    <x v="0"/>
    <x v="7"/>
    <x v="21"/>
    <x v="22"/>
    <n v="111.7"/>
    <n v="109.6"/>
    <n v="104.5"/>
    <n v="109.8"/>
    <n v="151.80000000000001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</r>
  <r>
    <x v="0"/>
    <x v="0"/>
    <x v="8"/>
    <x v="12"/>
    <x v="23"/>
    <n v="111.7"/>
    <n v="111"/>
    <n v="107.4"/>
    <n v="110.9"/>
    <n v="154"/>
    <n v="108.1"/>
    <n v="104.2"/>
    <n v="107.9"/>
    <n v="110.4"/>
    <n v="114"/>
    <n v="117.8"/>
    <n v="111.7"/>
    <n v="112.7"/>
    <n v="111.4"/>
    <n v="112.5"/>
    <s v="NA"/>
    <n v="111.1"/>
    <n v="109.6"/>
    <n v="108.3"/>
    <n v="109.3"/>
    <n v="107.7"/>
    <n v="109.8"/>
    <n v="106.7"/>
    <n v="108.7"/>
    <n v="114.2"/>
  </r>
  <r>
    <x v="1"/>
    <x v="0"/>
    <x v="8"/>
    <x v="22"/>
    <x v="24"/>
    <n v="113.2"/>
    <n v="109.6"/>
    <n v="101.7"/>
    <n v="103.2"/>
    <n v="174.3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</r>
  <r>
    <x v="2"/>
    <x v="0"/>
    <x v="8"/>
    <x v="23"/>
    <x v="25"/>
    <n v="112.3"/>
    <n v="110.5"/>
    <n v="105.3"/>
    <n v="107.3"/>
    <n v="160.9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</r>
  <r>
    <x v="0"/>
    <x v="0"/>
    <x v="9"/>
    <x v="24"/>
    <x v="20"/>
    <n v="112.6"/>
    <n v="111.7"/>
    <n v="107.7"/>
    <n v="113.2"/>
    <n v="164.9"/>
    <n v="108.3"/>
    <n v="103.9"/>
    <n v="108.2"/>
    <n v="111.1"/>
    <n v="114.9"/>
    <n v="119.8"/>
    <n v="112.2"/>
    <n v="113.6"/>
    <n v="112.3"/>
    <n v="113.4"/>
    <s v="NA"/>
    <n v="111.6"/>
    <n v="110.4"/>
    <n v="108.9"/>
    <n v="109.3"/>
    <n v="108.3"/>
    <n v="110.2"/>
    <n v="107.5"/>
    <n v="109.1"/>
    <n v="115.5"/>
  </r>
  <r>
    <x v="1"/>
    <x v="0"/>
    <x v="9"/>
    <x v="25"/>
    <x v="26"/>
    <n v="114.5"/>
    <n v="110.4"/>
    <n v="102.3"/>
    <n v="106.2"/>
    <n v="183.5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</r>
  <r>
    <x v="2"/>
    <x v="0"/>
    <x v="9"/>
    <x v="26"/>
    <x v="27"/>
    <n v="113.3"/>
    <n v="111.2"/>
    <n v="105.7"/>
    <n v="109.9"/>
    <n v="171.2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</r>
  <r>
    <x v="0"/>
    <x v="0"/>
    <x v="10"/>
    <x v="27"/>
    <x v="17"/>
    <n v="116.2"/>
    <n v="112.8"/>
    <n v="108.9"/>
    <n v="116.6"/>
    <n v="178.1"/>
    <n v="109.1"/>
    <n v="103.6"/>
    <n v="109"/>
    <n v="111.8"/>
    <n v="116"/>
    <n v="122.5"/>
    <n v="112.8"/>
    <n v="114.6"/>
    <n v="113.1"/>
    <n v="114.4"/>
    <s v="NA"/>
    <n v="112.6"/>
    <n v="111.3"/>
    <n v="109.7"/>
    <n v="109.6"/>
    <n v="108.7"/>
    <n v="111"/>
    <n v="108.2"/>
    <n v="109.8"/>
    <n v="117.4"/>
  </r>
  <r>
    <x v="1"/>
    <x v="0"/>
    <x v="10"/>
    <x v="28"/>
    <x v="27"/>
    <n v="122.6"/>
    <n v="112"/>
    <n v="103.2"/>
    <n v="110"/>
    <n v="192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</r>
  <r>
    <x v="2"/>
    <x v="0"/>
    <x v="10"/>
    <x v="29"/>
    <x v="20"/>
    <n v="118.7"/>
    <n v="112.5"/>
    <n v="106.8"/>
    <n v="113.5"/>
    <n v="183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</r>
  <r>
    <x v="0"/>
    <x v="0"/>
    <x v="11"/>
    <x v="30"/>
    <x v="28"/>
    <n v="120.4"/>
    <n v="113.8"/>
    <n v="109.5"/>
    <n v="115.5"/>
    <n v="145.69999999999999"/>
    <n v="109.5"/>
    <n v="102.9"/>
    <n v="109.8"/>
    <n v="112.1"/>
    <n v="116.8"/>
    <n v="118.7"/>
    <n v="113.6"/>
    <n v="115.8"/>
    <n v="114"/>
    <n v="115.5"/>
    <s v="NA"/>
    <n v="112.8"/>
    <n v="112.1"/>
    <n v="110.1"/>
    <n v="109.9"/>
    <n v="109.2"/>
    <n v="111.6"/>
    <n v="108.1"/>
    <n v="110.1"/>
    <n v="115.5"/>
  </r>
  <r>
    <x v="1"/>
    <x v="0"/>
    <x v="11"/>
    <x v="31"/>
    <x v="26"/>
    <n v="128.5"/>
    <n v="112.8"/>
    <n v="103.4"/>
    <n v="110.7"/>
    <n v="144.80000000000001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</r>
  <r>
    <x v="2"/>
    <x v="0"/>
    <x v="11"/>
    <x v="32"/>
    <x v="29"/>
    <n v="123.5"/>
    <n v="113.4"/>
    <n v="107.3"/>
    <n v="113.3"/>
    <n v="145.4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</r>
  <r>
    <x v="0"/>
    <x v="1"/>
    <x v="0"/>
    <x v="25"/>
    <x v="30"/>
    <n v="120.5"/>
    <n v="114.4"/>
    <n v="109"/>
    <n v="115.5"/>
    <n v="123.9"/>
    <n v="109.6"/>
    <n v="101.8"/>
    <n v="110.2"/>
    <n v="112.4"/>
    <n v="117.3"/>
    <n v="116"/>
    <n v="114"/>
    <n v="116.5"/>
    <n v="114.5"/>
    <n v="116.2"/>
    <s v="NA"/>
    <n v="113"/>
    <n v="112.6"/>
    <n v="110.6"/>
    <n v="110.5"/>
    <n v="109.6"/>
    <n v="111.8"/>
    <n v="108.3"/>
    <n v="110.6"/>
    <n v="114.2"/>
  </r>
  <r>
    <x v="1"/>
    <x v="1"/>
    <x v="0"/>
    <x v="33"/>
    <x v="31"/>
    <n v="129.9"/>
    <n v="113.6"/>
    <n v="102.9"/>
    <n v="112.1"/>
    <n v="118.9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</r>
  <r>
    <x v="2"/>
    <x v="1"/>
    <x v="0"/>
    <x v="34"/>
    <x v="32"/>
    <n v="124.1"/>
    <n v="114.1"/>
    <n v="106.8"/>
    <n v="113.9"/>
    <n v="122.2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</r>
  <r>
    <x v="0"/>
    <x v="1"/>
    <x v="1"/>
    <x v="35"/>
    <x v="33"/>
    <n v="121.2"/>
    <n v="115"/>
    <n v="109"/>
    <n v="116.6"/>
    <n v="116"/>
    <n v="109.8"/>
    <n v="101.1"/>
    <n v="110.4"/>
    <n v="112.9"/>
    <n v="117.8"/>
    <n v="115.3"/>
    <n v="114.2"/>
    <n v="117.1"/>
    <n v="114.5"/>
    <n v="116.7"/>
    <s v="NA"/>
    <n v="113.2"/>
    <n v="112.9"/>
    <n v="110.9"/>
    <n v="110.8"/>
    <n v="109.9"/>
    <n v="112"/>
    <n v="108.7"/>
    <n v="110.9"/>
    <n v="114"/>
  </r>
  <r>
    <x v="1"/>
    <x v="1"/>
    <x v="1"/>
    <x v="36"/>
    <x v="31"/>
    <n v="124.5"/>
    <n v="115.2"/>
    <n v="102.5"/>
    <n v="114.1"/>
    <n v="111.5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</r>
  <r>
    <x v="2"/>
    <x v="1"/>
    <x v="1"/>
    <x v="37"/>
    <x v="18"/>
    <n v="122.5"/>
    <n v="115.1"/>
    <n v="106.6"/>
    <n v="115.4"/>
    <n v="114.5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</r>
  <r>
    <x v="0"/>
    <x v="1"/>
    <x v="2"/>
    <x v="38"/>
    <x v="26"/>
    <n v="120.7"/>
    <n v="116.1"/>
    <n v="109.3"/>
    <n v="119.6"/>
    <n v="117.9"/>
    <n v="110.2"/>
    <n v="101.2"/>
    <n v="110.7"/>
    <n v="113"/>
    <n v="118.3"/>
    <n v="116.2"/>
    <n v="114.6"/>
    <n v="117.5"/>
    <n v="114.9"/>
    <n v="117.2"/>
    <s v="NA"/>
    <n v="113.4"/>
    <n v="113.4"/>
    <n v="111.4"/>
    <n v="111.2"/>
    <n v="110.2"/>
    <n v="112.4"/>
    <n v="108.9"/>
    <n v="111.3"/>
    <n v="114.6"/>
  </r>
  <r>
    <x v="1"/>
    <x v="1"/>
    <x v="2"/>
    <x v="39"/>
    <x v="34"/>
    <n v="121.5"/>
    <n v="116.2"/>
    <n v="102.8"/>
    <n v="117.7"/>
    <n v="113.3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</r>
  <r>
    <x v="2"/>
    <x v="1"/>
    <x v="2"/>
    <x v="40"/>
    <x v="35"/>
    <n v="121"/>
    <n v="116.1"/>
    <n v="106.9"/>
    <n v="118.7"/>
    <n v="116.3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</r>
  <r>
    <x v="0"/>
    <x v="1"/>
    <x v="3"/>
    <x v="37"/>
    <x v="36"/>
    <n v="118.1"/>
    <n v="117"/>
    <n v="109.7"/>
    <n v="125.5"/>
    <n v="120.5"/>
    <n v="111"/>
    <n v="102.6"/>
    <n v="111.2"/>
    <n v="113.5"/>
    <n v="118.7"/>
    <n v="117.2"/>
    <n v="115.4"/>
    <n v="118.1"/>
    <n v="116.1"/>
    <n v="117.8"/>
    <s v="NA"/>
    <n v="113.4"/>
    <n v="113.7"/>
    <n v="111.8"/>
    <n v="111.2"/>
    <n v="110.5"/>
    <n v="113"/>
    <n v="108.9"/>
    <n v="111.5"/>
    <n v="115.4"/>
  </r>
  <r>
    <x v="1"/>
    <x v="1"/>
    <x v="3"/>
    <x v="41"/>
    <x v="37"/>
    <n v="113.3"/>
    <n v="117"/>
    <n v="103.1"/>
    <n v="126.7"/>
    <n v="121.2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</r>
  <r>
    <x v="2"/>
    <x v="1"/>
    <x v="3"/>
    <x v="42"/>
    <x v="38"/>
    <n v="116.2"/>
    <n v="117"/>
    <n v="107.3"/>
    <n v="126.1"/>
    <n v="120.7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</r>
  <r>
    <x v="0"/>
    <x v="1"/>
    <x v="4"/>
    <x v="43"/>
    <x v="39"/>
    <n v="116.9"/>
    <n v="118"/>
    <n v="110.1"/>
    <n v="126.3"/>
    <n v="123.9"/>
    <n v="111.5"/>
    <n v="103.5"/>
    <n v="111.6"/>
    <n v="114.2"/>
    <n v="119.2"/>
    <n v="118.2"/>
    <n v="116.3"/>
    <n v="118.7"/>
    <n v="116.8"/>
    <n v="118.5"/>
    <s v="NA"/>
    <n v="113.4"/>
    <n v="114.1"/>
    <n v="112.1"/>
    <n v="111.4"/>
    <n v="110.9"/>
    <n v="113.1"/>
    <n v="108.9"/>
    <n v="111.8"/>
    <n v="116"/>
  </r>
  <r>
    <x v="1"/>
    <x v="1"/>
    <x v="4"/>
    <x v="44"/>
    <x v="40"/>
    <n v="114.2"/>
    <n v="119.1"/>
    <n v="103.5"/>
    <n v="129.19999999999999"/>
    <n v="12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</r>
  <r>
    <x v="2"/>
    <x v="1"/>
    <x v="4"/>
    <x v="45"/>
    <x v="41"/>
    <n v="115.9"/>
    <n v="118.4"/>
    <n v="107.7"/>
    <n v="127.7"/>
    <n v="125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</r>
  <r>
    <x v="0"/>
    <x v="1"/>
    <x v="5"/>
    <x v="40"/>
    <x v="41"/>
    <n v="116.1"/>
    <n v="119.3"/>
    <n v="110.3"/>
    <n v="125.8"/>
    <n v="129.30000000000001"/>
    <n v="112.2"/>
    <n v="103.6"/>
    <n v="112.3"/>
    <n v="114.9"/>
    <n v="120.1"/>
    <n v="119.5"/>
    <n v="117.3"/>
    <n v="119.7"/>
    <n v="117.3"/>
    <n v="119.3"/>
    <s v="NA"/>
    <n v="114.4"/>
    <n v="114.9"/>
    <n v="112.8"/>
    <n v="112.2"/>
    <n v="111.4"/>
    <n v="114.3"/>
    <n v="108"/>
    <n v="112.3"/>
    <n v="117"/>
  </r>
  <r>
    <x v="1"/>
    <x v="1"/>
    <x v="5"/>
    <x v="46"/>
    <x v="42"/>
    <n v="115.4"/>
    <n v="120.4"/>
    <n v="103.4"/>
    <n v="131.19999999999999"/>
    <n v="137.5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</r>
  <r>
    <x v="2"/>
    <x v="1"/>
    <x v="5"/>
    <x v="47"/>
    <x v="43"/>
    <n v="115.8"/>
    <n v="119.7"/>
    <n v="107.8"/>
    <n v="128.30000000000001"/>
    <n v="132.1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</r>
  <r>
    <x v="0"/>
    <x v="1"/>
    <x v="6"/>
    <x v="48"/>
    <x v="44"/>
    <n v="117.7"/>
    <n v="120.6"/>
    <n v="110.4"/>
    <n v="129.1"/>
    <n v="150.1"/>
    <n v="113.2"/>
    <n v="104.8"/>
    <n v="113.3"/>
    <n v="115.6"/>
    <n v="120.9"/>
    <n v="123.3"/>
    <n v="118"/>
    <n v="120.7"/>
    <n v="118.3"/>
    <n v="120.3"/>
    <s v="NA"/>
    <n v="115.3"/>
    <n v="115.4"/>
    <n v="113.4"/>
    <n v="113.2"/>
    <n v="111.8"/>
    <n v="115.5"/>
    <n v="108.8"/>
    <n v="113.1"/>
    <n v="119.5"/>
  </r>
  <r>
    <x v="1"/>
    <x v="1"/>
    <x v="6"/>
    <x v="49"/>
    <x v="45"/>
    <n v="118"/>
    <n v="121.6"/>
    <n v="103.5"/>
    <n v="133.69999999999999"/>
    <n v="172.4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</r>
  <r>
    <x v="2"/>
    <x v="1"/>
    <x v="6"/>
    <x v="50"/>
    <x v="46"/>
    <n v="117.8"/>
    <n v="121"/>
    <n v="107.9"/>
    <n v="131.19999999999999"/>
    <n v="157.69999999999999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</r>
  <r>
    <x v="0"/>
    <x v="1"/>
    <x v="7"/>
    <x v="51"/>
    <x v="47"/>
    <n v="117.8"/>
    <n v="121.9"/>
    <n v="110.6"/>
    <n v="129.69999999999999"/>
    <n v="161.1"/>
    <n v="114.1"/>
    <n v="105.1"/>
    <n v="114.6"/>
    <n v="115.8"/>
    <n v="121.7"/>
    <n v="125.3"/>
    <n v="118.8"/>
    <n v="120.9"/>
    <n v="118.8"/>
    <n v="120.7"/>
    <s v="NA"/>
    <n v="115.4"/>
    <n v="115.9"/>
    <n v="114"/>
    <n v="113.2"/>
    <n v="112.2"/>
    <n v="116.2"/>
    <n v="109.4"/>
    <n v="113.5"/>
    <n v="120.7"/>
  </r>
  <r>
    <x v="1"/>
    <x v="1"/>
    <x v="7"/>
    <x v="52"/>
    <x v="48"/>
    <n v="116.5"/>
    <n v="122.2"/>
    <n v="103.6"/>
    <n v="132.69999999999999"/>
    <n v="181.9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</r>
  <r>
    <x v="2"/>
    <x v="1"/>
    <x v="7"/>
    <x v="44"/>
    <x v="49"/>
    <n v="117.3"/>
    <n v="122"/>
    <n v="108"/>
    <n v="131.1"/>
    <n v="168.2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</r>
  <r>
    <x v="0"/>
    <x v="1"/>
    <x v="8"/>
    <x v="53"/>
    <x v="50"/>
    <n v="117.8"/>
    <n v="122.7"/>
    <n v="110.4"/>
    <n v="129.80000000000001"/>
    <n v="158.80000000000001"/>
    <n v="115"/>
    <n v="104.7"/>
    <n v="114.9"/>
    <n v="116.5"/>
    <n v="122.6"/>
    <n v="125.3"/>
    <n v="119.5"/>
    <n v="121.7"/>
    <n v="119.2"/>
    <n v="121.3"/>
    <s v="NA"/>
    <n v="115.8"/>
    <n v="116.7"/>
    <n v="114.5"/>
    <n v="112.8"/>
    <n v="112.6"/>
    <n v="116.6"/>
    <n v="109.1"/>
    <n v="113.7"/>
    <n v="120.9"/>
  </r>
  <r>
    <x v="1"/>
    <x v="1"/>
    <x v="8"/>
    <x v="54"/>
    <x v="51"/>
    <n v="116.4"/>
    <n v="122.7"/>
    <n v="103.5"/>
    <n v="124.5"/>
    <n v="168.6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</r>
  <r>
    <x v="2"/>
    <x v="1"/>
    <x v="8"/>
    <x v="55"/>
    <x v="52"/>
    <n v="117.3"/>
    <n v="122.7"/>
    <n v="107.9"/>
    <n v="127.3"/>
    <n v="162.1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</r>
  <r>
    <x v="0"/>
    <x v="1"/>
    <x v="9"/>
    <x v="56"/>
    <x v="44"/>
    <n v="118.3"/>
    <n v="123.2"/>
    <n v="110.5"/>
    <n v="128.9"/>
    <n v="155.30000000000001"/>
    <n v="115.5"/>
    <n v="104"/>
    <n v="115.3"/>
    <n v="116.8"/>
    <n v="123.2"/>
    <n v="125.1"/>
    <n v="120"/>
    <n v="122.7"/>
    <n v="120.3"/>
    <n v="122.3"/>
    <s v="NA"/>
    <n v="116.4"/>
    <n v="117.5"/>
    <n v="115.3"/>
    <n v="112.6"/>
    <n v="113"/>
    <n v="116.9"/>
    <n v="109.3"/>
    <n v="114"/>
    <n v="121"/>
  </r>
  <r>
    <x v="1"/>
    <x v="1"/>
    <x v="9"/>
    <x v="57"/>
    <x v="53"/>
    <n v="117.8"/>
    <n v="123.1"/>
    <n v="103.5"/>
    <n v="123.5"/>
    <n v="159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</r>
  <r>
    <x v="2"/>
    <x v="1"/>
    <x v="9"/>
    <x v="58"/>
    <x v="54"/>
    <n v="118.1"/>
    <n v="123.2"/>
    <n v="107.9"/>
    <n v="126.4"/>
    <n v="156.80000000000001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</r>
  <r>
    <x v="0"/>
    <x v="1"/>
    <x v="10"/>
    <x v="44"/>
    <x v="55"/>
    <n v="119.9"/>
    <n v="124"/>
    <n v="110.5"/>
    <n v="128.80000000000001"/>
    <n v="152"/>
    <n v="116.2"/>
    <n v="103.3"/>
    <n v="115.8"/>
    <n v="116.8"/>
    <n v="124.5"/>
    <n v="124.9"/>
    <n v="120.8"/>
    <n v="123.3"/>
    <n v="120.5"/>
    <n v="122.9"/>
    <s v="NA"/>
    <n v="117.3"/>
    <n v="118.1"/>
    <n v="115.9"/>
    <n v="112"/>
    <n v="113.3"/>
    <n v="117.2"/>
    <n v="108.8"/>
    <n v="114.1"/>
    <n v="121.1"/>
  </r>
  <r>
    <x v="1"/>
    <x v="1"/>
    <x v="10"/>
    <x v="59"/>
    <x v="56"/>
    <n v="122.7"/>
    <n v="124.6"/>
    <n v="103.2"/>
    <n v="122.2"/>
    <n v="153.19999999999999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</r>
  <r>
    <x v="2"/>
    <x v="1"/>
    <x v="10"/>
    <x v="60"/>
    <x v="57"/>
    <n v="121"/>
    <n v="124.2"/>
    <n v="107.8"/>
    <n v="125.7"/>
    <n v="152.4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</r>
  <r>
    <x v="0"/>
    <x v="1"/>
    <x v="11"/>
    <x v="50"/>
    <x v="50"/>
    <n v="121.8"/>
    <n v="124.2"/>
    <n v="110.2"/>
    <n v="128.6"/>
    <n v="140.30000000000001"/>
    <n v="116.3"/>
    <n v="102"/>
    <n v="116"/>
    <n v="117.3"/>
    <n v="124.8"/>
    <n v="123.3"/>
    <n v="121.7"/>
    <n v="123.8"/>
    <n v="120.6"/>
    <n v="123.3"/>
    <s v="NA"/>
    <n v="117.4"/>
    <n v="118.2"/>
    <n v="116.2"/>
    <n v="111.5"/>
    <n v="113.3"/>
    <n v="117.7"/>
    <n v="109.4"/>
    <n v="114.2"/>
    <n v="120.3"/>
  </r>
  <r>
    <x v="1"/>
    <x v="1"/>
    <x v="11"/>
    <x v="61"/>
    <x v="58"/>
    <n v="126.3"/>
    <n v="124.9"/>
    <n v="103"/>
    <n v="122.3"/>
    <n v="141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</r>
  <r>
    <x v="2"/>
    <x v="1"/>
    <x v="11"/>
    <x v="55"/>
    <x v="59"/>
    <n v="123.5"/>
    <n v="124.5"/>
    <n v="107.6"/>
    <n v="125.7"/>
    <n v="140.5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</r>
  <r>
    <x v="0"/>
    <x v="2"/>
    <x v="0"/>
    <x v="46"/>
    <x v="43"/>
    <n v="122.1"/>
    <n v="124.9"/>
    <n v="111"/>
    <n v="130.4"/>
    <n v="132.30000000000001"/>
    <n v="117.2"/>
    <n v="100.5"/>
    <n v="117.2"/>
    <n v="117.9"/>
    <n v="125.6"/>
    <n v="122.8"/>
    <n v="122.7"/>
    <n v="124.4"/>
    <n v="121.6"/>
    <n v="124"/>
    <s v="NA"/>
    <n v="118.4"/>
    <n v="118.9"/>
    <n v="116.6"/>
    <n v="111"/>
    <n v="114"/>
    <n v="118.2"/>
    <n v="110.2"/>
    <n v="114.5"/>
    <n v="120.3"/>
  </r>
  <r>
    <x v="1"/>
    <x v="2"/>
    <x v="0"/>
    <x v="61"/>
    <x v="60"/>
    <n v="126.6"/>
    <n v="125.2"/>
    <n v="104.3"/>
    <n v="121.3"/>
    <n v="134.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</r>
  <r>
    <x v="2"/>
    <x v="2"/>
    <x v="0"/>
    <x v="62"/>
    <x v="46"/>
    <n v="123.8"/>
    <n v="125"/>
    <n v="108.5"/>
    <n v="126.2"/>
    <n v="133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</r>
  <r>
    <x v="0"/>
    <x v="2"/>
    <x v="1"/>
    <x v="62"/>
    <x v="49"/>
    <n v="122.1"/>
    <n v="125.8"/>
    <n v="111.5"/>
    <n v="129.4"/>
    <n v="128.19999999999999"/>
    <n v="118.8"/>
    <n v="100"/>
    <n v="118.6"/>
    <n v="118.8"/>
    <n v="126.8"/>
    <n v="122.8"/>
    <n v="124.2"/>
    <n v="125.4"/>
    <n v="122.7"/>
    <n v="125"/>
    <s v="NA"/>
    <n v="120"/>
    <n v="119.6"/>
    <n v="117.7"/>
    <n v="110.9"/>
    <n v="114.8"/>
    <n v="118.7"/>
    <n v="110.8"/>
    <n v="115"/>
    <n v="120.6"/>
  </r>
  <r>
    <x v="1"/>
    <x v="2"/>
    <x v="1"/>
    <x v="63"/>
    <x v="61"/>
    <n v="119.5"/>
    <n v="125.6"/>
    <n v="104.9"/>
    <n v="121.6"/>
    <n v="131.80000000000001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</r>
  <r>
    <x v="2"/>
    <x v="2"/>
    <x v="1"/>
    <x v="64"/>
    <x v="62"/>
    <n v="121.1"/>
    <n v="125.7"/>
    <n v="109.1"/>
    <n v="125.8"/>
    <n v="129.4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</r>
  <r>
    <x v="0"/>
    <x v="2"/>
    <x v="2"/>
    <x v="60"/>
    <x v="58"/>
    <n v="118.9"/>
    <n v="126"/>
    <n v="111.8"/>
    <n v="130.9"/>
    <n v="128"/>
    <n v="119.9"/>
    <n v="98.9"/>
    <n v="119.4"/>
    <n v="118.9"/>
    <n v="127.7"/>
    <n v="123.1"/>
    <n v="124.7"/>
    <n v="126"/>
    <n v="122.9"/>
    <n v="125.5"/>
    <s v="NA"/>
    <n v="120.6"/>
    <n v="120.2"/>
    <n v="118.2"/>
    <n v="111.6"/>
    <n v="115.5"/>
    <n v="119.4"/>
    <n v="110.8"/>
    <n v="115.5"/>
    <n v="121.1"/>
  </r>
  <r>
    <x v="1"/>
    <x v="2"/>
    <x v="2"/>
    <x v="61"/>
    <x v="63"/>
    <n v="113.5"/>
    <n v="125.9"/>
    <n v="104.8"/>
    <n v="123.8"/>
    <n v="131.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</r>
  <r>
    <x v="2"/>
    <x v="2"/>
    <x v="2"/>
    <x v="65"/>
    <x v="51"/>
    <n v="116.8"/>
    <n v="126"/>
    <n v="109.2"/>
    <n v="127.6"/>
    <n v="129.19999999999999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</r>
  <r>
    <x v="0"/>
    <x v="2"/>
    <x v="3"/>
    <x v="60"/>
    <x v="60"/>
    <n v="117.2"/>
    <n v="126.8"/>
    <n v="111.9"/>
    <n v="134.19999999999999"/>
    <n v="127.5"/>
    <n v="121.5"/>
    <n v="97.8"/>
    <n v="119.8"/>
    <n v="119.4"/>
    <n v="128.69999999999999"/>
    <n v="123.6"/>
    <n v="125.7"/>
    <n v="126.4"/>
    <n v="123.3"/>
    <n v="126"/>
    <s v="NA"/>
    <n v="121.2"/>
    <n v="120.9"/>
    <n v="118.6"/>
    <n v="111.9"/>
    <n v="116.2"/>
    <n v="119.9"/>
    <n v="111.6"/>
    <n v="116"/>
    <n v="121.5"/>
  </r>
  <r>
    <x v="1"/>
    <x v="2"/>
    <x v="3"/>
    <x v="49"/>
    <x v="64"/>
    <n v="110"/>
    <n v="126.3"/>
    <n v="104.5"/>
    <n v="130.6"/>
    <n v="130.80000000000001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</r>
  <r>
    <x v="2"/>
    <x v="2"/>
    <x v="3"/>
    <x v="65"/>
    <x v="45"/>
    <n v="114.4"/>
    <n v="126.6"/>
    <n v="109.2"/>
    <n v="132.5"/>
    <n v="128.6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</r>
  <r>
    <x v="0"/>
    <x v="2"/>
    <x v="4"/>
    <x v="65"/>
    <x v="65"/>
    <n v="117.3"/>
    <n v="127.7"/>
    <n v="112.5"/>
    <n v="134.1"/>
    <n v="128.5"/>
    <n v="124.3"/>
    <n v="97.6"/>
    <n v="120.7"/>
    <n v="120.2"/>
    <n v="129.80000000000001"/>
    <n v="124.4"/>
    <n v="126.7"/>
    <n v="127.3"/>
    <n v="124.1"/>
    <n v="126.8"/>
    <s v="NA"/>
    <n v="121.9"/>
    <n v="121.5"/>
    <n v="119.4"/>
    <n v="113.3"/>
    <n v="116.7"/>
    <n v="120.5"/>
    <n v="112.3"/>
    <n v="116.9"/>
    <n v="122.4"/>
  </r>
  <r>
    <x v="1"/>
    <x v="2"/>
    <x v="4"/>
    <x v="49"/>
    <x v="66"/>
    <n v="111.3"/>
    <n v="126.6"/>
    <n v="105.2"/>
    <n v="130.80000000000001"/>
    <n v="135.6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</r>
  <r>
    <x v="2"/>
    <x v="2"/>
    <x v="4"/>
    <x v="66"/>
    <x v="67"/>
    <n v="115"/>
    <n v="127.3"/>
    <n v="109.8"/>
    <n v="132.6"/>
    <n v="130.9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</r>
  <r>
    <x v="0"/>
    <x v="2"/>
    <x v="5"/>
    <x v="67"/>
    <x v="68"/>
    <n v="122.1"/>
    <n v="128.69999999999999"/>
    <n v="114.1"/>
    <n v="133.19999999999999"/>
    <n v="135.19999999999999"/>
    <n v="131.9"/>
    <n v="96.3"/>
    <n v="123"/>
    <n v="121.1"/>
    <n v="131.19999999999999"/>
    <n v="126.6"/>
    <n v="128.19999999999999"/>
    <n v="128.4"/>
    <n v="125.1"/>
    <n v="128"/>
    <s v="NA"/>
    <n v="122.6"/>
    <n v="122.8"/>
    <n v="120.4"/>
    <n v="114.2"/>
    <n v="117.9"/>
    <n v="122"/>
    <n v="113"/>
    <n v="117.9"/>
    <n v="124.1"/>
  </r>
  <r>
    <x v="1"/>
    <x v="2"/>
    <x v="5"/>
    <x v="66"/>
    <x v="69"/>
    <n v="120.9"/>
    <n v="127.3"/>
    <n v="106"/>
    <n v="132.30000000000001"/>
    <n v="146.69999999999999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</r>
  <r>
    <x v="2"/>
    <x v="2"/>
    <x v="5"/>
    <x v="68"/>
    <x v="70"/>
    <n v="121.6"/>
    <n v="128.19999999999999"/>
    <n v="111.1"/>
    <n v="132.80000000000001"/>
    <n v="139.1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</r>
  <r>
    <x v="0"/>
    <x v="2"/>
    <x v="6"/>
    <x v="61"/>
    <x v="71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9.4"/>
    <n v="128.80000000000001"/>
    <n v="125.5"/>
    <n v="128.30000000000001"/>
    <s v="NA"/>
    <n v="123"/>
    <n v="123"/>
    <n v="120.8"/>
    <n v="114.1"/>
    <n v="118"/>
    <n v="122.9"/>
    <n v="112.7"/>
    <n v="118.1"/>
    <n v="124.7"/>
  </r>
  <r>
    <x v="1"/>
    <x v="2"/>
    <x v="6"/>
    <x v="58"/>
    <x v="72"/>
    <n v="119.5"/>
    <n v="127.7"/>
    <n v="106.3"/>
    <n v="132.80000000000001"/>
    <n v="153.5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</r>
  <r>
    <x v="2"/>
    <x v="2"/>
    <x v="6"/>
    <x v="64"/>
    <x v="73"/>
    <n v="121"/>
    <n v="128.30000000000001"/>
    <n v="110.9"/>
    <n v="133.1"/>
    <n v="145.1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</r>
  <r>
    <x v="0"/>
    <x v="2"/>
    <x v="7"/>
    <x v="69"/>
    <x v="74"/>
    <n v="121.3"/>
    <n v="128.80000000000001"/>
    <n v="114"/>
    <n v="134.19999999999999"/>
    <n v="153.6"/>
    <n v="137.9"/>
    <n v="93.1"/>
    <n v="123.9"/>
    <n v="121.5"/>
    <n v="132.5"/>
    <n v="129.80000000000001"/>
    <n v="130.1"/>
    <n v="129.5"/>
    <n v="126.3"/>
    <n v="129"/>
    <s v="NA"/>
    <n v="123.8"/>
    <n v="123.7"/>
    <n v="121.1"/>
    <n v="113.6"/>
    <n v="118.5"/>
    <n v="123.6"/>
    <n v="112.5"/>
    <n v="118.2"/>
    <n v="126.1"/>
  </r>
  <r>
    <x v="1"/>
    <x v="2"/>
    <x v="7"/>
    <x v="46"/>
    <x v="75"/>
    <n v="118.1"/>
    <n v="128"/>
    <n v="106.8"/>
    <n v="130.1"/>
    <n v="165.5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</r>
  <r>
    <x v="2"/>
    <x v="2"/>
    <x v="7"/>
    <x v="54"/>
    <x v="76"/>
    <n v="120.1"/>
    <n v="128.5"/>
    <n v="111.4"/>
    <n v="132.30000000000001"/>
    <n v="157.6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</r>
  <r>
    <x v="0"/>
    <x v="2"/>
    <x v="8"/>
    <x v="70"/>
    <x v="77"/>
    <n v="120.7"/>
    <n v="129.19999999999999"/>
    <n v="114.7"/>
    <n v="132.30000000000001"/>
    <n v="158.9"/>
    <n v="142.1"/>
    <n v="92.5"/>
    <n v="125.4"/>
    <n v="121.9"/>
    <n v="132.69999999999999"/>
    <n v="131"/>
    <n v="131"/>
    <n v="130.4"/>
    <n v="126.8"/>
    <n v="129.9"/>
    <s v="NA"/>
    <n v="123.7"/>
    <n v="124.5"/>
    <n v="121.4"/>
    <n v="113.8"/>
    <n v="119.6"/>
    <n v="124.5"/>
    <n v="113.7"/>
    <n v="118.8"/>
    <n v="127"/>
  </r>
  <r>
    <x v="1"/>
    <x v="2"/>
    <x v="8"/>
    <x v="62"/>
    <x v="78"/>
    <n v="115.6"/>
    <n v="128.30000000000001"/>
    <n v="107"/>
    <n v="124"/>
    <n v="168.5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</r>
  <r>
    <x v="2"/>
    <x v="2"/>
    <x v="8"/>
    <x v="57"/>
    <x v="68"/>
    <n v="118.7"/>
    <n v="128.9"/>
    <n v="111.9"/>
    <n v="128.4"/>
    <n v="162.19999999999999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</r>
  <r>
    <x v="0"/>
    <x v="2"/>
    <x v="9"/>
    <x v="71"/>
    <x v="68"/>
    <n v="120.8"/>
    <n v="129.4"/>
    <n v="115.8"/>
    <n v="133.19999999999999"/>
    <n v="157.69999999999999"/>
    <n v="154.19999999999999"/>
    <n v="93.7"/>
    <n v="126.6"/>
    <n v="122.3"/>
    <n v="133.1"/>
    <n v="131.80000000000001"/>
    <n v="131.5"/>
    <n v="131.1"/>
    <n v="127.3"/>
    <n v="130.6"/>
    <s v="NA"/>
    <n v="124.4"/>
    <n v="125.1"/>
    <n v="122"/>
    <n v="113.8"/>
    <n v="120.1"/>
    <n v="125.1"/>
    <n v="114.2"/>
    <n v="119.2"/>
    <n v="127.7"/>
  </r>
  <r>
    <x v="1"/>
    <x v="2"/>
    <x v="9"/>
    <x v="66"/>
    <x v="79"/>
    <n v="115.9"/>
    <n v="128.5"/>
    <n v="109"/>
    <n v="124.1"/>
    <n v="165.8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</r>
  <r>
    <x v="2"/>
    <x v="2"/>
    <x v="9"/>
    <x v="72"/>
    <x v="80"/>
    <n v="118.9"/>
    <n v="129.1"/>
    <n v="113.3"/>
    <n v="129"/>
    <n v="160.4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</r>
  <r>
    <x v="0"/>
    <x v="2"/>
    <x v="10"/>
    <x v="73"/>
    <x v="81"/>
    <n v="121.7"/>
    <n v="129.5"/>
    <n v="117.8"/>
    <n v="132.1"/>
    <n v="155.19999999999999"/>
    <n v="160.80000000000001"/>
    <n v="94.5"/>
    <n v="128.30000000000001"/>
    <n v="123.1"/>
    <n v="134.19999999999999"/>
    <n v="132.4"/>
    <n v="132.19999999999999"/>
    <n v="132.1"/>
    <n v="128.19999999999999"/>
    <n v="131.5"/>
    <s v="NA"/>
    <n v="125.6"/>
    <n v="125.6"/>
    <n v="122.6"/>
    <n v="114"/>
    <n v="120.9"/>
    <n v="125.8"/>
    <n v="114.2"/>
    <n v="119.6"/>
    <n v="128.30000000000001"/>
  </r>
  <r>
    <x v="1"/>
    <x v="2"/>
    <x v="10"/>
    <x v="61"/>
    <x v="80"/>
    <n v="121.5"/>
    <n v="128.6"/>
    <n v="110"/>
    <n v="123.7"/>
    <n v="164.6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</r>
  <r>
    <x v="2"/>
    <x v="2"/>
    <x v="10"/>
    <x v="74"/>
    <x v="82"/>
    <n v="121.6"/>
    <n v="129.19999999999999"/>
    <n v="114.9"/>
    <n v="128.19999999999999"/>
    <n v="158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</r>
  <r>
    <x v="0"/>
    <x v="2"/>
    <x v="11"/>
    <x v="75"/>
    <x v="74"/>
    <n v="123.3"/>
    <n v="129.80000000000001"/>
    <n v="118.3"/>
    <n v="131.6"/>
    <n v="145.5"/>
    <n v="162.1"/>
    <n v="95.4"/>
    <n v="128.9"/>
    <n v="123.3"/>
    <n v="135.1"/>
    <n v="131.4"/>
    <n v="133.1"/>
    <n v="132.5"/>
    <n v="128.5"/>
    <n v="131.9"/>
    <s v="NA"/>
    <n v="125.7"/>
    <n v="126"/>
    <n v="123.1"/>
    <n v="114"/>
    <n v="121.6"/>
    <n v="125.6"/>
    <n v="114.1"/>
    <n v="119.8"/>
    <n v="127.9"/>
  </r>
  <r>
    <x v="1"/>
    <x v="2"/>
    <x v="11"/>
    <x v="63"/>
    <x v="75"/>
    <n v="127.1"/>
    <n v="128.6"/>
    <n v="110"/>
    <n v="120.8"/>
    <n v="149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</r>
  <r>
    <x v="2"/>
    <x v="2"/>
    <x v="11"/>
    <x v="76"/>
    <x v="76"/>
    <n v="124.8"/>
    <n v="129.4"/>
    <n v="115.3"/>
    <n v="126.6"/>
    <n v="146.69999999999999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</r>
  <r>
    <x v="0"/>
    <x v="3"/>
    <x v="0"/>
    <x v="77"/>
    <x v="83"/>
    <n v="126.5"/>
    <n v="130.30000000000001"/>
    <n v="118.9"/>
    <n v="131.6"/>
    <n v="140.1"/>
    <n v="163.80000000000001"/>
    <n v="97.7"/>
    <n v="129.6"/>
    <n v="124.3"/>
    <n v="135.9"/>
    <n v="131.4"/>
    <n v="133.6"/>
    <n v="133.19999999999999"/>
    <n v="128.9"/>
    <n v="132.6"/>
    <s v="NA"/>
    <n v="126.2"/>
    <n v="126.6"/>
    <n v="123.7"/>
    <n v="113.6"/>
    <n v="121.4"/>
    <n v="126.2"/>
    <n v="114.9"/>
    <n v="120.1"/>
    <n v="128.1"/>
  </r>
  <r>
    <x v="1"/>
    <x v="3"/>
    <x v="0"/>
    <x v="69"/>
    <x v="84"/>
    <n v="132"/>
    <n v="129.19999999999999"/>
    <n v="109.7"/>
    <n v="119"/>
    <n v="144.1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</r>
  <r>
    <x v="2"/>
    <x v="3"/>
    <x v="0"/>
    <x v="73"/>
    <x v="85"/>
    <n v="128.6"/>
    <n v="129.9"/>
    <n v="115.5"/>
    <n v="125.7"/>
    <n v="141.5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</r>
  <r>
    <x v="0"/>
    <x v="3"/>
    <x v="1"/>
    <x v="78"/>
    <x v="86"/>
    <n v="127.7"/>
    <n v="130.69999999999999"/>
    <n v="118.5"/>
    <n v="130.4"/>
    <n v="130.9"/>
    <n v="162.80000000000001"/>
    <n v="98.7"/>
    <n v="130.6"/>
    <n v="124.8"/>
    <n v="136.4"/>
    <n v="130.30000000000001"/>
    <n v="134.4"/>
    <n v="133.9"/>
    <n v="129.80000000000001"/>
    <n v="133.4"/>
    <s v="NA"/>
    <n v="127.5"/>
    <n v="127.1"/>
    <n v="124.3"/>
    <n v="113.9"/>
    <n v="122.3"/>
    <n v="127.1"/>
    <n v="116.8"/>
    <n v="120.9"/>
    <n v="127.9"/>
  </r>
  <r>
    <x v="1"/>
    <x v="3"/>
    <x v="1"/>
    <x v="52"/>
    <x v="87"/>
    <n v="130.30000000000001"/>
    <n v="129.6"/>
    <n v="108.4"/>
    <n v="118.6"/>
    <n v="129.19999999999999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</r>
  <r>
    <x v="2"/>
    <x v="3"/>
    <x v="1"/>
    <x v="79"/>
    <x v="88"/>
    <n v="128.69999999999999"/>
    <n v="130.30000000000001"/>
    <n v="114.8"/>
    <n v="124.9"/>
    <n v="130.30000000000001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</r>
  <r>
    <x v="0"/>
    <x v="3"/>
    <x v="2"/>
    <x v="80"/>
    <x v="69"/>
    <n v="125.1"/>
    <n v="130.5"/>
    <n v="118.3"/>
    <n v="131.69999999999999"/>
    <n v="130.69999999999999"/>
    <n v="161.19999999999999"/>
    <n v="100.4"/>
    <n v="130.80000000000001"/>
    <n v="124.9"/>
    <n v="137"/>
    <n v="130.4"/>
    <n v="135"/>
    <n v="134.4"/>
    <n v="130.19999999999999"/>
    <n v="133.80000000000001"/>
    <s v="NA"/>
    <n v="127"/>
    <n v="127.7"/>
    <n v="124.8"/>
    <n v="113.6"/>
    <n v="122.5"/>
    <n v="127.5"/>
    <n v="117.4"/>
    <n v="121.1"/>
    <n v="128"/>
  </r>
  <r>
    <x v="1"/>
    <x v="3"/>
    <x v="2"/>
    <x v="52"/>
    <x v="89"/>
    <n v="123.7"/>
    <n v="129.69999999999999"/>
    <n v="107.9"/>
    <n v="119.9"/>
    <n v="128.1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</r>
  <r>
    <x v="2"/>
    <x v="3"/>
    <x v="2"/>
    <x v="81"/>
    <x v="87"/>
    <n v="124.6"/>
    <n v="130.19999999999999"/>
    <n v="114.5"/>
    <n v="126.2"/>
    <n v="129.80000000000001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</r>
  <r>
    <x v="0"/>
    <x v="3"/>
    <x v="3"/>
    <x v="82"/>
    <x v="90"/>
    <n v="123.4"/>
    <n v="131.30000000000001"/>
    <n v="118.2"/>
    <n v="138.1"/>
    <n v="134.1"/>
    <n v="162.69999999999999"/>
    <n v="105"/>
    <n v="131.4"/>
    <n v="125.4"/>
    <n v="137.4"/>
    <n v="131.80000000000001"/>
    <n v="135.5"/>
    <n v="135"/>
    <n v="130.6"/>
    <n v="134.4"/>
    <s v="NA"/>
    <n v="127"/>
    <n v="128"/>
    <n v="125.2"/>
    <n v="114.4"/>
    <n v="123.2"/>
    <n v="127.9"/>
    <n v="118.4"/>
    <n v="121.7"/>
    <n v="129"/>
  </r>
  <r>
    <x v="1"/>
    <x v="3"/>
    <x v="3"/>
    <x v="83"/>
    <x v="91"/>
    <n v="119.9"/>
    <n v="130.19999999999999"/>
    <n v="108.9"/>
    <n v="131.1"/>
    <n v="136.80000000000001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</r>
  <r>
    <x v="2"/>
    <x v="3"/>
    <x v="3"/>
    <x v="84"/>
    <x v="92"/>
    <n v="122"/>
    <n v="130.9"/>
    <n v="114.8"/>
    <n v="134.80000000000001"/>
    <n v="135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</r>
  <r>
    <x v="0"/>
    <x v="3"/>
    <x v="4"/>
    <x v="85"/>
    <x v="93"/>
    <n v="124.4"/>
    <n v="132.4"/>
    <n v="118.2"/>
    <n v="138.1"/>
    <n v="141.80000000000001"/>
    <n v="166"/>
    <n v="107.5"/>
    <n v="132.19999999999999"/>
    <n v="126.1"/>
    <n v="138.30000000000001"/>
    <n v="133.6"/>
    <n v="136"/>
    <n v="135.4"/>
    <n v="131.1"/>
    <n v="134.80000000000001"/>
    <s v="NA"/>
    <n v="127.4"/>
    <n v="128.5"/>
    <n v="125.8"/>
    <n v="115.1"/>
    <n v="123.6"/>
    <n v="129.1"/>
    <n v="119.7"/>
    <n v="122.5"/>
    <n v="130.30000000000001"/>
  </r>
  <r>
    <x v="1"/>
    <x v="3"/>
    <x v="4"/>
    <x v="72"/>
    <x v="94"/>
    <n v="127"/>
    <n v="130.4"/>
    <n v="109.6"/>
    <n v="133.5"/>
    <n v="151.4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</r>
  <r>
    <x v="2"/>
    <x v="3"/>
    <x v="4"/>
    <x v="77"/>
    <x v="95"/>
    <n v="125.4"/>
    <n v="131.69999999999999"/>
    <n v="115"/>
    <n v="136"/>
    <n v="145.1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</r>
  <r>
    <x v="0"/>
    <x v="3"/>
    <x v="5"/>
    <x v="86"/>
    <x v="96"/>
    <n v="126.6"/>
    <n v="133.6"/>
    <n v="118.6"/>
    <n v="137.4"/>
    <n v="152.5"/>
    <n v="169.2"/>
    <n v="108.8"/>
    <n v="133.1"/>
    <n v="126.4"/>
    <n v="139.19999999999999"/>
    <n v="136"/>
    <n v="137.19999999999999"/>
    <n v="136.30000000000001"/>
    <n v="131.6"/>
    <n v="135.6"/>
    <s v="NA"/>
    <n v="128"/>
    <n v="129.30000000000001"/>
    <n v="126.2"/>
    <n v="116.3"/>
    <n v="124.1"/>
    <n v="130.19999999999999"/>
    <n v="119.9"/>
    <n v="123.3"/>
    <n v="131.9"/>
  </r>
  <r>
    <x v="1"/>
    <x v="3"/>
    <x v="5"/>
    <x v="87"/>
    <x v="97"/>
    <n v="130.9"/>
    <n v="131"/>
    <n v="110.2"/>
    <n v="135.5"/>
    <n v="173.7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</r>
  <r>
    <x v="2"/>
    <x v="3"/>
    <x v="5"/>
    <x v="88"/>
    <x v="98"/>
    <n v="128.30000000000001"/>
    <n v="132.6"/>
    <n v="115.5"/>
    <n v="136.5"/>
    <n v="159.69999999999999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</r>
  <r>
    <x v="0"/>
    <x v="3"/>
    <x v="6"/>
    <x v="89"/>
    <x v="99"/>
    <n v="129.6"/>
    <n v="134.5"/>
    <n v="119.5"/>
    <n v="138.5"/>
    <n v="158.19999999999999"/>
    <n v="171.8"/>
    <n v="110.3"/>
    <n v="134.30000000000001"/>
    <n v="127.3"/>
    <n v="139.9"/>
    <n v="137.6"/>
    <n v="138"/>
    <n v="137.19999999999999"/>
    <n v="132.19999999999999"/>
    <n v="136.5"/>
    <s v="NA"/>
    <n v="128.19999999999999"/>
    <n v="130"/>
    <n v="126.7"/>
    <n v="116.4"/>
    <n v="125.2"/>
    <n v="130.80000000000001"/>
    <n v="120.9"/>
    <n v="123.8"/>
    <n v="133"/>
  </r>
  <r>
    <x v="1"/>
    <x v="3"/>
    <x v="6"/>
    <x v="77"/>
    <x v="100"/>
    <n v="136.6"/>
    <n v="131.80000000000001"/>
    <n v="111"/>
    <n v="137"/>
    <n v="179.5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</r>
  <r>
    <x v="2"/>
    <x v="3"/>
    <x v="6"/>
    <x v="90"/>
    <x v="101"/>
    <n v="132.30000000000001"/>
    <n v="133.5"/>
    <n v="116.4"/>
    <n v="137.80000000000001"/>
    <n v="165.4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</r>
  <r>
    <x v="0"/>
    <x v="3"/>
    <x v="7"/>
    <x v="91"/>
    <x v="102"/>
    <n v="130.30000000000001"/>
    <n v="135.30000000000001"/>
    <n v="119.9"/>
    <n v="140.19999999999999"/>
    <n v="156.9"/>
    <n v="172.2"/>
    <n v="112.1"/>
    <n v="134.9"/>
    <n v="128.1"/>
    <n v="140.69999999999999"/>
    <n v="138"/>
    <n v="138.9"/>
    <n v="137.80000000000001"/>
    <n v="133"/>
    <n v="137.1"/>
    <s v="NA"/>
    <n v="129.1"/>
    <n v="130.6"/>
    <n v="127"/>
    <n v="116"/>
    <n v="125.5"/>
    <n v="131.9"/>
    <n v="122"/>
    <n v="124.2"/>
    <n v="133.5"/>
  </r>
  <r>
    <x v="1"/>
    <x v="3"/>
    <x v="7"/>
    <x v="85"/>
    <x v="103"/>
    <n v="133.69999999999999"/>
    <n v="132.19999999999999"/>
    <n v="111.8"/>
    <n v="135.80000000000001"/>
    <n v="163.5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</r>
  <r>
    <x v="2"/>
    <x v="3"/>
    <x v="7"/>
    <x v="89"/>
    <x v="91"/>
    <n v="131.6"/>
    <n v="134.1"/>
    <n v="116.9"/>
    <n v="138.1"/>
    <n v="159.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</r>
  <r>
    <x v="0"/>
    <x v="3"/>
    <x v="8"/>
    <x v="92"/>
    <x v="104"/>
    <n v="130.5"/>
    <n v="135.5"/>
    <n v="120.2"/>
    <n v="139.19999999999999"/>
    <n v="149.5"/>
    <n v="170.4"/>
    <n v="113.1"/>
    <n v="135.80000000000001"/>
    <n v="128.80000000000001"/>
    <n v="141.5"/>
    <n v="137.19999999999999"/>
    <n v="139.9"/>
    <n v="138.5"/>
    <n v="133.5"/>
    <n v="137.80000000000001"/>
    <s v="NA"/>
    <n v="129.69999999999999"/>
    <n v="131.1"/>
    <n v="127.8"/>
    <n v="117"/>
    <n v="125.7"/>
    <n v="132.19999999999999"/>
    <n v="122.8"/>
    <n v="124.9"/>
    <n v="133.4"/>
  </r>
  <r>
    <x v="1"/>
    <x v="3"/>
    <x v="8"/>
    <x v="93"/>
    <x v="105"/>
    <n v="130.6"/>
    <n v="132.6"/>
    <n v="111.9"/>
    <n v="132.5"/>
    <n v="152.9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</r>
  <r>
    <x v="2"/>
    <x v="3"/>
    <x v="8"/>
    <x v="94"/>
    <x v="106"/>
    <n v="130.5"/>
    <n v="134.4"/>
    <n v="117.2"/>
    <n v="136.1"/>
    <n v="150.6999999999999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</r>
  <r>
    <x v="0"/>
    <x v="3"/>
    <x v="9"/>
    <x v="95"/>
    <x v="107"/>
    <n v="130.1"/>
    <n v="136"/>
    <n v="120.8"/>
    <n v="138.4"/>
    <n v="149.19999999999999"/>
    <n v="170.2"/>
    <n v="113.4"/>
    <n v="136.30000000000001"/>
    <n v="128.69999999999999"/>
    <n v="142.4"/>
    <n v="137.4"/>
    <n v="140.9"/>
    <n v="139.6"/>
    <n v="134.30000000000001"/>
    <n v="138.80000000000001"/>
    <s v="NA"/>
    <n v="129.80000000000001"/>
    <n v="131.80000000000001"/>
    <n v="128.69999999999999"/>
    <n v="117.8"/>
    <n v="126.5"/>
    <n v="133"/>
    <n v="123"/>
    <n v="125.7"/>
    <n v="133.80000000000001"/>
  </r>
  <r>
    <x v="1"/>
    <x v="3"/>
    <x v="9"/>
    <x v="96"/>
    <x v="108"/>
    <n v="130.30000000000001"/>
    <n v="132.69999999999999"/>
    <n v="112.5"/>
    <n v="130.4"/>
    <n v="155.1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</r>
  <r>
    <x v="2"/>
    <x v="3"/>
    <x v="9"/>
    <x v="97"/>
    <x v="10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</r>
  <r>
    <x v="0"/>
    <x v="3"/>
    <x v="10"/>
    <x v="98"/>
    <x v="110"/>
    <n v="130.6"/>
    <n v="136.19999999999999"/>
    <n v="121.1"/>
    <n v="136.9"/>
    <n v="141.80000000000001"/>
    <n v="170"/>
    <n v="113.4"/>
    <n v="136.80000000000001"/>
    <n v="128.69999999999999"/>
    <n v="143.1"/>
    <n v="136.6"/>
    <n v="141.19999999999999"/>
    <n v="139.9"/>
    <n v="134.5"/>
    <n v="139.19999999999999"/>
    <s v="NA"/>
    <n v="130.30000000000001"/>
    <n v="132.1"/>
    <n v="129.1"/>
    <n v="118.2"/>
    <n v="126.9"/>
    <n v="133.69999999999999"/>
    <n v="123.5"/>
    <n v="126.1"/>
    <n v="133.6"/>
  </r>
  <r>
    <x v="1"/>
    <x v="3"/>
    <x v="10"/>
    <x v="99"/>
    <x v="111"/>
    <n v="134.1"/>
    <n v="132.9"/>
    <n v="112.6"/>
    <n v="130.80000000000001"/>
    <n v="142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</r>
  <r>
    <x v="2"/>
    <x v="3"/>
    <x v="10"/>
    <x v="100"/>
    <x v="112"/>
    <n v="132"/>
    <n v="135"/>
    <n v="118"/>
    <n v="134.1"/>
    <n v="141.9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</r>
  <r>
    <x v="0"/>
    <x v="3"/>
    <x v="11"/>
    <x v="101"/>
    <x v="113"/>
    <n v="131.6"/>
    <n v="136.30000000000001"/>
    <n v="121.6"/>
    <n v="135.6"/>
    <n v="127.5"/>
    <n v="167.9"/>
    <n v="113.8"/>
    <n v="137.5"/>
    <n v="129.1"/>
    <n v="143.6"/>
    <n v="134.69999999999999"/>
    <n v="142.4"/>
    <n v="140.4"/>
    <n v="135.19999999999999"/>
    <n v="139.69999999999999"/>
    <s v="NA"/>
    <n v="132"/>
    <n v="132.9"/>
    <n v="129.69999999999999"/>
    <n v="118.6"/>
    <n v="127.3"/>
    <n v="134.19999999999999"/>
    <n v="121.9"/>
    <n v="126.3"/>
    <n v="132.80000000000001"/>
  </r>
  <r>
    <x v="1"/>
    <x v="3"/>
    <x v="11"/>
    <x v="102"/>
    <x v="104"/>
    <n v="134.9"/>
    <n v="133.1"/>
    <n v="113.5"/>
    <n v="129.30000000000001"/>
    <n v="121.1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</r>
  <r>
    <x v="2"/>
    <x v="3"/>
    <x v="11"/>
    <x v="103"/>
    <x v="107"/>
    <n v="132.9"/>
    <n v="135.1"/>
    <n v="118.6"/>
    <n v="132.69999999999999"/>
    <n v="125.3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</r>
  <r>
    <x v="0"/>
    <x v="4"/>
    <x v="0"/>
    <x v="104"/>
    <x v="112"/>
    <n v="131.9"/>
    <n v="136.69999999999999"/>
    <n v="122"/>
    <n v="136"/>
    <n v="119.8"/>
    <n v="161.69999999999999"/>
    <n v="114.8"/>
    <n v="136.9"/>
    <n v="129"/>
    <n v="143.9"/>
    <n v="133.69999999999999"/>
    <n v="143.1"/>
    <n v="140.69999999999999"/>
    <n v="135.80000000000001"/>
    <n v="140"/>
    <s v="NA"/>
    <n v="132.1"/>
    <n v="133.19999999999999"/>
    <n v="129.9"/>
    <n v="119.1"/>
    <n v="127"/>
    <n v="134.6"/>
    <n v="122.3"/>
    <n v="126.6"/>
    <n v="132.4"/>
  </r>
  <r>
    <x v="1"/>
    <x v="4"/>
    <x v="0"/>
    <x v="105"/>
    <x v="114"/>
    <n v="132.6"/>
    <n v="133.1"/>
    <n v="114"/>
    <n v="129.6"/>
    <n v="118.7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</r>
  <r>
    <x v="2"/>
    <x v="4"/>
    <x v="0"/>
    <x v="106"/>
    <x v="104"/>
    <n v="132.19999999999999"/>
    <n v="135.4"/>
    <n v="119.1"/>
    <n v="133"/>
    <n v="119.4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</r>
  <r>
    <x v="0"/>
    <x v="4"/>
    <x v="1"/>
    <x v="107"/>
    <x v="115"/>
    <n v="129.30000000000001"/>
    <n v="137.19999999999999"/>
    <n v="122.1"/>
    <n v="138.69999999999999"/>
    <n v="119.1"/>
    <n v="156.9"/>
    <n v="116.2"/>
    <n v="136"/>
    <n v="129.4"/>
    <n v="144.4"/>
    <n v="133.6"/>
    <n v="143.69999999999999"/>
    <n v="140.9"/>
    <n v="135.80000000000001"/>
    <n v="140.19999999999999"/>
    <s v="NA"/>
    <n v="133.19999999999999"/>
    <n v="133.6"/>
    <n v="130.1"/>
    <n v="119.5"/>
    <n v="127.7"/>
    <n v="134.9"/>
    <n v="123.2"/>
    <n v="127"/>
    <n v="132.6"/>
  </r>
  <r>
    <x v="1"/>
    <x v="4"/>
    <x v="1"/>
    <x v="106"/>
    <x v="116"/>
    <n v="129.30000000000001"/>
    <n v="133.5"/>
    <n v="114.3"/>
    <n v="131.4"/>
    <n v="120.2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</r>
  <r>
    <x v="2"/>
    <x v="4"/>
    <x v="1"/>
    <x v="104"/>
    <x v="102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</r>
  <r>
    <x v="0"/>
    <x v="4"/>
    <x v="2"/>
    <x v="108"/>
    <x v="102"/>
    <n v="128.80000000000001"/>
    <n v="137.19999999999999"/>
    <n v="121.6"/>
    <n v="139.69999999999999"/>
    <n v="119.7"/>
    <n v="148"/>
    <n v="116.9"/>
    <n v="135.6"/>
    <n v="129.80000000000001"/>
    <n v="145.4"/>
    <n v="133.4"/>
    <n v="144.19999999999999"/>
    <n v="141.6"/>
    <n v="136.19999999999999"/>
    <n v="140.80000000000001"/>
    <s v="NA"/>
    <n v="134.19999999999999"/>
    <n v="134.1"/>
    <n v="130.6"/>
    <n v="119.8"/>
    <n v="128.30000000000001"/>
    <n v="135.19999999999999"/>
    <n v="123.3"/>
    <n v="127.4"/>
    <n v="132.80000000000001"/>
  </r>
  <r>
    <x v="1"/>
    <x v="4"/>
    <x v="2"/>
    <x v="109"/>
    <x v="117"/>
    <n v="128.4"/>
    <n v="134.9"/>
    <n v="114"/>
    <n v="136.80000000000001"/>
    <n v="122.2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</r>
  <r>
    <x v="2"/>
    <x v="4"/>
    <x v="2"/>
    <x v="107"/>
    <x v="118"/>
    <n v="128.6"/>
    <n v="136.30000000000001"/>
    <n v="118.8"/>
    <n v="138.30000000000001"/>
    <n v="120.5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</r>
  <r>
    <x v="0"/>
    <x v="4"/>
    <x v="3"/>
    <x v="110"/>
    <x v="119"/>
    <n v="127.1"/>
    <n v="137.69999999999999"/>
    <n v="121.3"/>
    <n v="141.80000000000001"/>
    <n v="121.5"/>
    <n v="144.5"/>
    <n v="117.4"/>
    <n v="134.1"/>
    <n v="130"/>
    <n v="145.5"/>
    <n v="133.5"/>
    <n v="144.4"/>
    <n v="142.4"/>
    <n v="136.80000000000001"/>
    <n v="141.6"/>
    <s v="NA"/>
    <n v="135"/>
    <n v="134.30000000000001"/>
    <n v="131"/>
    <n v="119.2"/>
    <n v="128.30000000000001"/>
    <n v="135.69999999999999"/>
    <n v="123.7"/>
    <n v="127.5"/>
    <n v="132.9"/>
  </r>
  <r>
    <x v="1"/>
    <x v="4"/>
    <x v="3"/>
    <x v="109"/>
    <x v="120"/>
    <n v="124.5"/>
    <n v="136.30000000000001"/>
    <n v="113.5"/>
    <n v="137.69999999999999"/>
    <n v="127.1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</r>
  <r>
    <x v="2"/>
    <x v="4"/>
    <x v="3"/>
    <x v="111"/>
    <x v="117"/>
    <n v="126.1"/>
    <n v="137.19999999999999"/>
    <n v="118.4"/>
    <n v="139.9"/>
    <n v="123.4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</r>
  <r>
    <x v="0"/>
    <x v="4"/>
    <x v="4"/>
    <x v="104"/>
    <x v="103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5.5"/>
    <n v="142.5"/>
    <n v="137.30000000000001"/>
    <n v="141.80000000000001"/>
    <s v="NA"/>
    <n v="135"/>
    <n v="134.9"/>
    <n v="131.4"/>
    <n v="119.4"/>
    <n v="129.4"/>
    <n v="136.30000000000001"/>
    <n v="123.7"/>
    <n v="127.9"/>
    <n v="133.30000000000001"/>
  </r>
  <r>
    <x v="1"/>
    <x v="4"/>
    <x v="4"/>
    <x v="101"/>
    <x v="121"/>
    <n v="125.6"/>
    <n v="136.80000000000001"/>
    <n v="113.4"/>
    <n v="135.19999999999999"/>
    <n v="129.19999999999999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</r>
  <r>
    <x v="2"/>
    <x v="4"/>
    <x v="4"/>
    <x v="112"/>
    <x v="122"/>
    <n v="126.3"/>
    <n v="137.69999999999999"/>
    <n v="118.1"/>
    <n v="137.9"/>
    <n v="125.6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</r>
  <r>
    <x v="0"/>
    <x v="4"/>
    <x v="5"/>
    <x v="113"/>
    <x v="123"/>
    <n v="128"/>
    <n v="138.6"/>
    <n v="120.9"/>
    <n v="140.9"/>
    <n v="128.80000000000001"/>
    <n v="140.19999999999999"/>
    <n v="118.9"/>
    <n v="133.5"/>
    <n v="130.4"/>
    <n v="146.5"/>
    <n v="134.9"/>
    <n v="145.80000000000001"/>
    <n v="143.1"/>
    <n v="137.69999999999999"/>
    <n v="142.30000000000001"/>
    <s v="NA"/>
    <n v="134.80000000000001"/>
    <n v="135.19999999999999"/>
    <n v="131.30000000000001"/>
    <n v="119.4"/>
    <n v="129.80000000000001"/>
    <n v="136.9"/>
    <n v="124.1"/>
    <n v="128.1"/>
    <n v="133.9"/>
  </r>
  <r>
    <x v="1"/>
    <x v="4"/>
    <x v="5"/>
    <x v="112"/>
    <x v="124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</r>
  <r>
    <x v="2"/>
    <x v="4"/>
    <x v="5"/>
    <x v="107"/>
    <x v="12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</r>
  <r>
    <x v="0"/>
    <x v="4"/>
    <x v="6"/>
    <x v="114"/>
    <x v="100"/>
    <n v="129.80000000000001"/>
    <n v="139"/>
    <n v="120.9"/>
    <n v="143.9"/>
    <n v="151.5"/>
    <n v="138.1"/>
    <n v="120"/>
    <n v="133.9"/>
    <n v="131.4"/>
    <n v="147.69999999999999"/>
    <n v="138.5"/>
    <n v="147.4"/>
    <n v="144.30000000000001"/>
    <n v="138.1"/>
    <n v="143.5"/>
    <s v="NA"/>
    <n v="135.30000000000001"/>
    <n v="136.1"/>
    <n v="132.1"/>
    <n v="119.1"/>
    <n v="130.6"/>
    <n v="138.6"/>
    <n v="124.4"/>
    <n v="128.6"/>
    <n v="136.19999999999999"/>
  </r>
  <r>
    <x v="1"/>
    <x v="4"/>
    <x v="6"/>
    <x v="106"/>
    <x v="126"/>
    <n v="129.4"/>
    <n v="137.69999999999999"/>
    <n v="113.4"/>
    <n v="139.4"/>
    <n v="175.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</r>
  <r>
    <x v="2"/>
    <x v="4"/>
    <x v="6"/>
    <x v="108"/>
    <x v="127"/>
    <n v="129.6"/>
    <n v="138.5"/>
    <n v="118.1"/>
    <n v="141.80000000000001"/>
    <n v="159.5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</r>
  <r>
    <x v="0"/>
    <x v="4"/>
    <x v="7"/>
    <x v="115"/>
    <x v="128"/>
    <n v="130"/>
    <n v="139.4"/>
    <n v="120.5"/>
    <n v="148"/>
    <n v="162.9"/>
    <n v="137.4"/>
    <n v="120.8"/>
    <n v="134.69999999999999"/>
    <n v="131.6"/>
    <n v="148.69999999999999"/>
    <n v="140.6"/>
    <n v="149"/>
    <n v="145.30000000000001"/>
    <n v="139.19999999999999"/>
    <n v="144.5"/>
    <s v="NA"/>
    <n v="136.4"/>
    <n v="137.30000000000001"/>
    <n v="133"/>
    <n v="120.3"/>
    <n v="131.5"/>
    <n v="140.19999999999999"/>
    <n v="125.4"/>
    <n v="129.69999999999999"/>
    <n v="137.80000000000001"/>
  </r>
  <r>
    <x v="1"/>
    <x v="4"/>
    <x v="7"/>
    <x v="110"/>
    <x v="97"/>
    <n v="128.30000000000001"/>
    <n v="138.30000000000001"/>
    <n v="114.1"/>
    <n v="142.69999999999999"/>
    <n v="179.8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</r>
  <r>
    <x v="2"/>
    <x v="4"/>
    <x v="7"/>
    <x v="116"/>
    <x v="129"/>
    <n v="129.30000000000001"/>
    <n v="139"/>
    <n v="118.1"/>
    <n v="145.5"/>
    <n v="168.6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</r>
  <r>
    <x v="0"/>
    <x v="4"/>
    <x v="8"/>
    <x v="117"/>
    <x v="130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9.80000000000001"/>
    <n v="146.1"/>
    <n v="139.69999999999999"/>
    <n v="145.19999999999999"/>
    <s v="NA"/>
    <n v="137.4"/>
    <n v="137.9"/>
    <n v="133.4"/>
    <n v="121.2"/>
    <n v="132.30000000000001"/>
    <n v="139.6"/>
    <n v="126.7"/>
    <n v="130.30000000000001"/>
    <n v="137.6"/>
  </r>
  <r>
    <x v="1"/>
    <x v="4"/>
    <x v="8"/>
    <x v="108"/>
    <x v="131"/>
    <n v="129.69999999999999"/>
    <n v="138.69999999999999"/>
    <n v="114.5"/>
    <n v="137.5"/>
    <n v="160.69999999999999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</r>
  <r>
    <x v="2"/>
    <x v="4"/>
    <x v="8"/>
    <x v="118"/>
    <x v="132"/>
    <n v="130.19999999999999"/>
    <n v="139.6"/>
    <n v="118.4"/>
    <n v="143"/>
    <n v="156.6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</r>
  <r>
    <x v="0"/>
    <x v="4"/>
    <x v="9"/>
    <x v="119"/>
    <x v="133"/>
    <n v="131"/>
    <n v="141.5"/>
    <n v="121.4"/>
    <n v="146.69999999999999"/>
    <n v="157.1"/>
    <n v="136.4"/>
    <n v="121.4"/>
    <n v="135.6"/>
    <n v="131.30000000000001"/>
    <n v="150.30000000000001"/>
    <n v="140.4"/>
    <n v="150.5"/>
    <n v="147.19999999999999"/>
    <n v="140.6"/>
    <n v="146.19999999999999"/>
    <s v="NA"/>
    <n v="138.1"/>
    <n v="138.4"/>
    <n v="134.19999999999999"/>
    <n v="121"/>
    <n v="133"/>
    <n v="140.1"/>
    <n v="127.4"/>
    <n v="130.69999999999999"/>
    <n v="138.30000000000001"/>
  </r>
  <r>
    <x v="1"/>
    <x v="4"/>
    <x v="9"/>
    <x v="120"/>
    <x v="134"/>
    <n v="131.4"/>
    <n v="139.1"/>
    <n v="114.9"/>
    <n v="135.6"/>
    <n v="173.2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</r>
  <r>
    <x v="2"/>
    <x v="4"/>
    <x v="9"/>
    <x v="121"/>
    <x v="135"/>
    <n v="131.19999999999999"/>
    <n v="140.6"/>
    <n v="119"/>
    <n v="141.5"/>
    <n v="162.6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</r>
  <r>
    <x v="0"/>
    <x v="4"/>
    <x v="10"/>
    <x v="122"/>
    <x v="136"/>
    <n v="140.5"/>
    <n v="141.5"/>
    <n v="121.6"/>
    <n v="147.30000000000001"/>
    <n v="168"/>
    <n v="135.80000000000001"/>
    <n v="122.5"/>
    <n v="136"/>
    <n v="131.9"/>
    <n v="151.4"/>
    <n v="142.4"/>
    <n v="152.1"/>
    <n v="148.19999999999999"/>
    <n v="141.5"/>
    <n v="147.30000000000001"/>
    <s v="NA"/>
    <n v="141.1"/>
    <n v="139.4"/>
    <n v="135.80000000000001"/>
    <n v="121.6"/>
    <n v="133.69999999999999"/>
    <n v="141.5"/>
    <n v="128.1"/>
    <n v="131.69999999999999"/>
    <n v="140"/>
  </r>
  <r>
    <x v="1"/>
    <x v="4"/>
    <x v="10"/>
    <x v="116"/>
    <x v="94"/>
    <n v="146.69999999999999"/>
    <n v="139.5"/>
    <n v="115.2"/>
    <n v="136.4"/>
    <n v="185.2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</r>
  <r>
    <x v="2"/>
    <x v="4"/>
    <x v="10"/>
    <x v="123"/>
    <x v="132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</r>
  <r>
    <x v="0"/>
    <x v="4"/>
    <x v="11"/>
    <x v="124"/>
    <x v="123"/>
    <n v="144.80000000000001"/>
    <n v="141.9"/>
    <n v="123.1"/>
    <n v="147.19999999999999"/>
    <n v="161"/>
    <n v="133.80000000000001"/>
    <n v="121.9"/>
    <n v="135.80000000000001"/>
    <n v="131.1"/>
    <n v="151.4"/>
    <n v="141.5"/>
    <n v="153.19999999999999"/>
    <n v="148"/>
    <n v="141.9"/>
    <n v="147.19999999999999"/>
    <s v="NA"/>
    <n v="142.6"/>
    <n v="139.5"/>
    <n v="136.1"/>
    <n v="122"/>
    <n v="133.4"/>
    <n v="141.1"/>
    <n v="127.8"/>
    <n v="131.9"/>
    <n v="139.80000000000001"/>
  </r>
  <r>
    <x v="1"/>
    <x v="4"/>
    <x v="11"/>
    <x v="125"/>
    <x v="137"/>
    <n v="145.9"/>
    <n v="139.5"/>
    <n v="115.9"/>
    <n v="135"/>
    <n v="163.19999999999999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</r>
  <r>
    <x v="2"/>
    <x v="4"/>
    <x v="11"/>
    <x v="126"/>
    <x v="138"/>
    <n v="145.19999999999999"/>
    <n v="141"/>
    <n v="120.5"/>
    <n v="141.5"/>
    <n v="161.69999999999999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</r>
  <r>
    <x v="0"/>
    <x v="5"/>
    <x v="0"/>
    <x v="127"/>
    <x v="139"/>
    <n v="143.80000000000001"/>
    <n v="142"/>
    <n v="123.2"/>
    <n v="147.9"/>
    <n v="152.1"/>
    <n v="131.80000000000001"/>
    <n v="119.5"/>
    <n v="136"/>
    <n v="131.19999999999999"/>
    <n v="151.80000000000001"/>
    <n v="140.4"/>
    <n v="153.6"/>
    <n v="148.30000000000001"/>
    <n v="142.30000000000001"/>
    <n v="147.5"/>
    <s v="NA"/>
    <n v="142.30000000000001"/>
    <n v="139.80000000000001"/>
    <n v="136"/>
    <n v="122.7"/>
    <n v="134.30000000000001"/>
    <n v="141.6"/>
    <n v="128.6"/>
    <n v="132.30000000000001"/>
    <n v="139.30000000000001"/>
  </r>
  <r>
    <x v="1"/>
    <x v="5"/>
    <x v="0"/>
    <x v="128"/>
    <x v="123"/>
    <n v="143.6"/>
    <n v="139.6"/>
    <n v="116.4"/>
    <n v="133.80000000000001"/>
    <n v="150.5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</r>
  <r>
    <x v="2"/>
    <x v="5"/>
    <x v="0"/>
    <x v="129"/>
    <x v="100"/>
    <n v="143.69999999999999"/>
    <n v="141.1"/>
    <n v="120.7"/>
    <n v="141.30000000000001"/>
    <n v="151.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</r>
  <r>
    <x v="0"/>
    <x v="5"/>
    <x v="1"/>
    <x v="124"/>
    <x v="123"/>
    <n v="140.6"/>
    <n v="141.5"/>
    <n v="122.9"/>
    <n v="149.4"/>
    <n v="142.4"/>
    <n v="130.19999999999999"/>
    <n v="117.9"/>
    <n v="135.6"/>
    <n v="130.5"/>
    <n v="151.69999999999999"/>
    <n v="138.69999999999999"/>
    <n v="153.30000000000001"/>
    <n v="148.69999999999999"/>
    <n v="142.4"/>
    <n v="147.80000000000001"/>
    <s v="NA"/>
    <n v="142.4"/>
    <n v="139.9"/>
    <n v="136.19999999999999"/>
    <n v="123.3"/>
    <n v="134.30000000000001"/>
    <n v="141.5"/>
    <n v="128.80000000000001"/>
    <n v="132.5"/>
    <n v="138.5"/>
  </r>
  <r>
    <x v="1"/>
    <x v="5"/>
    <x v="1"/>
    <x v="115"/>
    <x v="131"/>
    <n v="139.9"/>
    <n v="139.9"/>
    <n v="116.2"/>
    <n v="135.5"/>
    <n v="136.9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</r>
  <r>
    <x v="2"/>
    <x v="5"/>
    <x v="1"/>
    <x v="119"/>
    <x v="140"/>
    <n v="140.30000000000001"/>
    <n v="140.9"/>
    <n v="120.4"/>
    <n v="142.9"/>
    <n v="140.5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</r>
  <r>
    <x v="0"/>
    <x v="5"/>
    <x v="2"/>
    <x v="130"/>
    <x v="141"/>
    <n v="140"/>
    <n v="142"/>
    <n v="123.2"/>
    <n v="152.9"/>
    <n v="138"/>
    <n v="129.30000000000001"/>
    <n v="117.1"/>
    <n v="136.30000000000001"/>
    <n v="131.19999999999999"/>
    <n v="152.80000000000001"/>
    <n v="138.6"/>
    <n v="155.1"/>
    <n v="149.19999999999999"/>
    <n v="143"/>
    <n v="148.30000000000001"/>
    <s v="NA"/>
    <n v="142.6"/>
    <n v="139.9"/>
    <n v="136.69999999999999"/>
    <n v="124.6"/>
    <n v="135.1"/>
    <n v="142.69999999999999"/>
    <n v="129.30000000000001"/>
    <n v="133.30000000000001"/>
    <n v="138.69999999999999"/>
  </r>
  <r>
    <x v="1"/>
    <x v="5"/>
    <x v="2"/>
    <x v="131"/>
    <x v="128"/>
    <n v="135.5"/>
    <n v="139.9"/>
    <n v="116.5"/>
    <n v="138.5"/>
    <n v="128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</r>
  <r>
    <x v="2"/>
    <x v="5"/>
    <x v="2"/>
    <x v="132"/>
    <x v="142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</r>
  <r>
    <x v="0"/>
    <x v="5"/>
    <x v="3"/>
    <x v="133"/>
    <x v="143"/>
    <n v="135.9"/>
    <n v="142.4"/>
    <n v="123.5"/>
    <n v="156.4"/>
    <n v="135.1"/>
    <n v="128.4"/>
    <n v="115.2"/>
    <n v="137.19999999999999"/>
    <n v="131.9"/>
    <n v="153.80000000000001"/>
    <n v="138.6"/>
    <n v="156.1"/>
    <n v="150.1"/>
    <n v="143.30000000000001"/>
    <n v="149.1"/>
    <s v="NA"/>
    <n v="143.80000000000001"/>
    <n v="140.9"/>
    <n v="137.6"/>
    <n v="125.3"/>
    <n v="136"/>
    <n v="143.69999999999999"/>
    <n v="130.4"/>
    <n v="134.19999999999999"/>
    <n v="139.1"/>
  </r>
  <r>
    <x v="1"/>
    <x v="5"/>
    <x v="3"/>
    <x v="131"/>
    <x v="144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2"/>
    <x v="5"/>
    <x v="3"/>
    <x v="124"/>
    <x v="139"/>
    <n v="133.9"/>
    <n v="141.6"/>
    <n v="121"/>
    <n v="153.5"/>
    <n v="132.6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</r>
  <r>
    <x v="0"/>
    <x v="5"/>
    <x v="4"/>
    <x v="134"/>
    <x v="127"/>
    <n v="135.5"/>
    <n v="142.9"/>
    <n v="123.6"/>
    <n v="157.5"/>
    <n v="137.80000000000001"/>
    <n v="127.2"/>
    <n v="111.8"/>
    <n v="137.4"/>
    <n v="132.19999999999999"/>
    <n v="154.30000000000001"/>
    <n v="139.1"/>
    <n v="157"/>
    <n v="150.80000000000001"/>
    <n v="144.1"/>
    <n v="149.80000000000001"/>
    <s v="NA"/>
    <n v="144.30000000000001"/>
    <n v="141.80000000000001"/>
    <n v="138.4"/>
    <n v="126.4"/>
    <n v="136.80000000000001"/>
    <n v="144.4"/>
    <n v="131.19999999999999"/>
    <n v="135.1"/>
    <n v="139.80000000000001"/>
  </r>
  <r>
    <x v="1"/>
    <x v="5"/>
    <x v="4"/>
    <x v="131"/>
    <x v="145"/>
    <n v="130.5"/>
    <n v="140.69999999999999"/>
    <n v="116.4"/>
    <n v="151.30000000000001"/>
    <n v="131.4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</r>
  <r>
    <x v="2"/>
    <x v="5"/>
    <x v="4"/>
    <x v="127"/>
    <x v="146"/>
    <n v="133.6"/>
    <n v="142.1"/>
    <n v="121"/>
    <n v="154.6"/>
    <n v="135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</r>
  <r>
    <x v="0"/>
    <x v="5"/>
    <x v="5"/>
    <x v="135"/>
    <x v="147"/>
    <n v="136.69999999999999"/>
    <n v="143.19999999999999"/>
    <n v="124"/>
    <n v="154.1"/>
    <n v="143.5"/>
    <n v="126"/>
    <n v="112.4"/>
    <n v="137.6"/>
    <n v="132.80000000000001"/>
    <n v="154.30000000000001"/>
    <n v="140"/>
    <n v="157.30000000000001"/>
    <n v="151.30000000000001"/>
    <n v="144.69999999999999"/>
    <n v="150.30000000000001"/>
    <s v="NA"/>
    <n v="145.1"/>
    <n v="142.19999999999999"/>
    <n v="138.4"/>
    <n v="127.4"/>
    <n v="137.80000000000001"/>
    <n v="145.1"/>
    <n v="131.4"/>
    <n v="135.6"/>
    <n v="140.5"/>
  </r>
  <r>
    <x v="1"/>
    <x v="5"/>
    <x v="5"/>
    <x v="121"/>
    <x v="148"/>
    <n v="133.9"/>
    <n v="140.80000000000001"/>
    <n v="116.6"/>
    <n v="152.19999999999999"/>
    <n v="144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</r>
  <r>
    <x v="2"/>
    <x v="5"/>
    <x v="5"/>
    <x v="136"/>
    <x v="124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</r>
  <r>
    <x v="0"/>
    <x v="5"/>
    <x v="6"/>
    <x v="137"/>
    <x v="149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6.1"/>
    <n v="151.5"/>
    <n v="145.1"/>
    <n v="150.6"/>
    <s v="NA"/>
    <n v="146.80000000000001"/>
    <n v="143.1"/>
    <n v="139"/>
    <n v="127.5"/>
    <n v="138.4"/>
    <n v="145.80000000000001"/>
    <n v="131.4"/>
    <n v="136"/>
    <n v="141.80000000000001"/>
  </r>
  <r>
    <x v="1"/>
    <x v="5"/>
    <x v="6"/>
    <x v="138"/>
    <x v="150"/>
    <n v="139.1"/>
    <n v="141"/>
    <n v="116.7"/>
    <n v="149.69999999999999"/>
    <n v="159.19999999999999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</r>
  <r>
    <x v="2"/>
    <x v="5"/>
    <x v="6"/>
    <x v="139"/>
    <x v="151"/>
    <n v="139.19999999999999"/>
    <n v="142.5"/>
    <n v="121.4"/>
    <n v="151.6"/>
    <n v="155.9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</r>
  <r>
    <x v="0"/>
    <x v="5"/>
    <x v="7"/>
    <x v="140"/>
    <x v="152"/>
    <n v="139.1"/>
    <n v="143.5"/>
    <n v="125"/>
    <n v="154.4"/>
    <n v="156.30000000000001"/>
    <n v="126.8"/>
    <n v="115.4"/>
    <n v="138.6"/>
    <n v="133.80000000000001"/>
    <n v="155.19999999999999"/>
    <n v="142.69999999999999"/>
    <n v="156.4"/>
    <n v="152.1"/>
    <n v="145.80000000000001"/>
    <n v="151.30000000000001"/>
    <s v="NA"/>
    <n v="147.69999999999999"/>
    <n v="143.80000000000001"/>
    <n v="139.4"/>
    <n v="128.30000000000001"/>
    <n v="138.6"/>
    <n v="146.9"/>
    <n v="131.30000000000001"/>
    <n v="136.6"/>
    <n v="142.5"/>
  </r>
  <r>
    <x v="1"/>
    <x v="5"/>
    <x v="7"/>
    <x v="141"/>
    <x v="153"/>
    <n v="136.6"/>
    <n v="141.19999999999999"/>
    <n v="117.4"/>
    <n v="146.30000000000001"/>
    <n v="157.30000000000001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</r>
  <r>
    <x v="2"/>
    <x v="5"/>
    <x v="7"/>
    <x v="142"/>
    <x v="154"/>
    <n v="138.1"/>
    <n v="142.6"/>
    <n v="122.2"/>
    <n v="150.6"/>
    <n v="156.6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</r>
  <r>
    <x v="0"/>
    <x v="5"/>
    <x v="8"/>
    <x v="143"/>
    <x v="155"/>
    <n v="136.6"/>
    <n v="143.69999999999999"/>
    <n v="124.6"/>
    <n v="150.1"/>
    <n v="149.4"/>
    <n v="125.4"/>
    <n v="114.4"/>
    <n v="138.69999999999999"/>
    <n v="133.1"/>
    <n v="155.9"/>
    <n v="141.30000000000001"/>
    <n v="157.69999999999999"/>
    <n v="152.1"/>
    <n v="146.1"/>
    <n v="151.30000000000001"/>
    <s v="NA"/>
    <n v="149"/>
    <n v="144"/>
    <n v="140"/>
    <n v="129.9"/>
    <n v="140"/>
    <n v="147.6"/>
    <n v="132"/>
    <n v="137.4"/>
    <n v="142.1"/>
  </r>
  <r>
    <x v="1"/>
    <x v="5"/>
    <x v="8"/>
    <x v="144"/>
    <x v="128"/>
    <n v="132.80000000000001"/>
    <n v="141.5"/>
    <n v="117.8"/>
    <n v="140"/>
    <n v="151.30000000000001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2"/>
    <x v="5"/>
    <x v="8"/>
    <x v="145"/>
    <x v="156"/>
    <n v="135.1"/>
    <n v="142.9"/>
    <n v="122.1"/>
    <n v="145.4"/>
    <n v="150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0"/>
    <x v="5"/>
    <x v="9"/>
    <x v="146"/>
    <x v="157"/>
    <n v="134.6"/>
    <n v="141.9"/>
    <n v="123.5"/>
    <n v="144.5"/>
    <n v="147.6"/>
    <n v="121.4"/>
    <n v="112.3"/>
    <n v="139.5"/>
    <n v="134.6"/>
    <n v="155.19999999999999"/>
    <n v="140.19999999999999"/>
    <n v="159.6"/>
    <n v="150.69999999999999"/>
    <n v="144.5"/>
    <n v="149.80000000000001"/>
    <s v="NA"/>
    <n v="149.69999999999999"/>
    <n v="147.5"/>
    <n v="144.80000000000001"/>
    <n v="130.80000000000001"/>
    <n v="140.1"/>
    <n v="148"/>
    <n v="134.4"/>
    <n v="139.80000000000001"/>
    <n v="142.19999999999999"/>
  </r>
  <r>
    <x v="1"/>
    <x v="5"/>
    <x v="9"/>
    <x v="135"/>
    <x v="158"/>
    <n v="133.5"/>
    <n v="141.5"/>
    <n v="118"/>
    <n v="139.5"/>
    <n v="153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</r>
  <r>
    <x v="2"/>
    <x v="5"/>
    <x v="9"/>
    <x v="134"/>
    <x v="159"/>
    <n v="137.30000000000001"/>
    <n v="141.9"/>
    <n v="121.1"/>
    <n v="142.5"/>
    <n v="146.69999999999999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0"/>
    <x v="5"/>
    <x v="10"/>
    <x v="133"/>
    <x v="160"/>
    <n v="136.69999999999999"/>
    <n v="141.9"/>
    <n v="122.8"/>
    <n v="143.9"/>
    <n v="147.5"/>
    <n v="121"/>
    <n v="111.6"/>
    <n v="140.6"/>
    <n v="137.5"/>
    <n v="156.1"/>
    <n v="140"/>
    <n v="161.9"/>
    <n v="151.69999999999999"/>
    <n v="145.5"/>
    <n v="150.80000000000001"/>
    <s v="NA"/>
    <n v="150.30000000000001"/>
    <n v="148"/>
    <n v="145.4"/>
    <n v="130.30000000000001"/>
    <n v="143.1"/>
    <n v="150.19999999999999"/>
    <n v="133.1"/>
    <n v="140.1"/>
    <n v="142.4"/>
  </r>
  <r>
    <x v="1"/>
    <x v="5"/>
    <x v="10"/>
    <x v="147"/>
    <x v="161"/>
    <n v="137.80000000000001"/>
    <n v="141.6"/>
    <n v="118.1"/>
    <n v="141.5"/>
    <n v="145.19999999999999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2"/>
    <x v="5"/>
    <x v="10"/>
    <x v="134"/>
    <x v="162"/>
    <n v="137.1"/>
    <n v="141.80000000000001"/>
    <n v="121.1"/>
    <n v="142.80000000000001"/>
    <n v="146.69999999999999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</r>
  <r>
    <x v="0"/>
    <x v="5"/>
    <x v="11"/>
    <x v="133"/>
    <x v="163"/>
    <n v="137.4"/>
    <n v="142.4"/>
    <n v="124.2"/>
    <n v="140.19999999999999"/>
    <n v="136.6"/>
    <n v="120.9"/>
    <n v="109.9"/>
    <n v="140.19999999999999"/>
    <n v="137.80000000000001"/>
    <n v="156"/>
    <n v="138.5"/>
    <n v="162.4"/>
    <n v="151.6"/>
    <n v="145.9"/>
    <n v="150.80000000000001"/>
    <s v="NA"/>
    <n v="149"/>
    <n v="149.5"/>
    <n v="149.6"/>
    <n v="128.9"/>
    <n v="143.30000000000001"/>
    <n v="155.1"/>
    <n v="133.19999999999999"/>
    <n v="141.6"/>
    <n v="141.9"/>
  </r>
  <r>
    <x v="1"/>
    <x v="5"/>
    <x v="11"/>
    <x v="148"/>
    <x v="164"/>
    <n v="141.1"/>
    <n v="141.6"/>
    <n v="118.1"/>
    <n v="138.5"/>
    <n v="132.4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2"/>
    <x v="5"/>
    <x v="11"/>
    <x v="139"/>
    <x v="165"/>
    <n v="138.80000000000001"/>
    <n v="142.1"/>
    <n v="122"/>
    <n v="139.4"/>
    <n v="135.19999999999999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0"/>
    <x v="6"/>
    <x v="0"/>
    <x v="127"/>
    <x v="166"/>
    <n v="138.19999999999999"/>
    <n v="142.4"/>
    <n v="123.9"/>
    <n v="135.5"/>
    <n v="131.69999999999999"/>
    <n v="121.3"/>
    <n v="108.4"/>
    <n v="138.9"/>
    <n v="137"/>
    <n v="155.80000000000001"/>
    <n v="137.4"/>
    <n v="162.69999999999999"/>
    <n v="150.6"/>
    <n v="145.1"/>
    <n v="149.9"/>
    <s v="NA"/>
    <n v="146.19999999999999"/>
    <n v="150.1"/>
    <n v="149.6"/>
    <n v="128.6"/>
    <n v="142.9"/>
    <n v="155.19999999999999"/>
    <n v="133.5"/>
    <n v="141.69999999999999"/>
    <n v="141"/>
  </r>
  <r>
    <x v="1"/>
    <x v="6"/>
    <x v="0"/>
    <x v="142"/>
    <x v="167"/>
    <n v="143.5"/>
    <n v="141.69999999999999"/>
    <n v="118.1"/>
    <n v="135.19999999999999"/>
    <n v="130.5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2"/>
    <x v="6"/>
    <x v="0"/>
    <x v="133"/>
    <x v="168"/>
    <n v="140.19999999999999"/>
    <n v="142.1"/>
    <n v="121.8"/>
    <n v="135.4"/>
    <n v="131.3000000000000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</r>
  <r>
    <x v="0"/>
    <x v="6"/>
    <x v="1"/>
    <x v="130"/>
    <x v="169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62.80000000000001"/>
    <n v="150.5"/>
    <n v="146.1"/>
    <n v="149.9"/>
    <s v="NA"/>
    <n v="145.30000000000001"/>
    <n v="150.1"/>
    <n v="149.9"/>
    <n v="129.19999999999999"/>
    <n v="143.4"/>
    <n v="155.5"/>
    <n v="134.9"/>
    <n v="142.19999999999999"/>
    <n v="141"/>
  </r>
  <r>
    <x v="1"/>
    <x v="6"/>
    <x v="1"/>
    <x v="143"/>
    <x v="170"/>
    <n v="145.30000000000001"/>
    <n v="141.69999999999999"/>
    <n v="118.4"/>
    <n v="137"/>
    <n v="131.6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</r>
  <r>
    <x v="2"/>
    <x v="6"/>
    <x v="1"/>
    <x v="135"/>
    <x v="171"/>
    <n v="141.5"/>
    <n v="142.19999999999999"/>
    <n v="122"/>
    <n v="136.4"/>
    <n v="129.69999999999999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</r>
  <r>
    <x v="0"/>
    <x v="6"/>
    <x v="2"/>
    <x v="136"/>
    <x v="172"/>
    <n v="138.69999999999999"/>
    <n v="142.5"/>
    <n v="124.1"/>
    <n v="136.1"/>
    <n v="128.19999999999999"/>
    <n v="122.3"/>
    <n v="108.3"/>
    <n v="138.9"/>
    <n v="137.4"/>
    <n v="156.4"/>
    <n v="137.30000000000001"/>
    <n v="162.9"/>
    <n v="150.80000000000001"/>
    <n v="146.1"/>
    <n v="150.1"/>
    <s v="NA"/>
    <n v="146.4"/>
    <n v="150"/>
    <n v="150.4"/>
    <n v="129.9"/>
    <n v="143.80000000000001"/>
    <n v="155.5"/>
    <n v="134"/>
    <n v="142.4"/>
    <n v="141.19999999999999"/>
  </r>
  <r>
    <x v="1"/>
    <x v="6"/>
    <x v="2"/>
    <x v="149"/>
    <x v="173"/>
    <n v="142.9"/>
    <n v="141.9"/>
    <n v="118.4"/>
    <n v="139.4"/>
    <n v="141.1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</r>
  <r>
    <x v="2"/>
    <x v="6"/>
    <x v="2"/>
    <x v="150"/>
    <x v="169"/>
    <n v="140.30000000000001"/>
    <n v="142.30000000000001"/>
    <n v="122"/>
    <n v="137.6"/>
    <n v="132.6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0"/>
    <x v="6"/>
    <x v="4"/>
    <x v="134"/>
    <x v="174"/>
    <n v="134.5"/>
    <n v="142.6"/>
    <n v="124"/>
    <n v="143.69999999999999"/>
    <n v="133.4"/>
    <n v="125.1"/>
    <n v="109.3"/>
    <n v="139.30000000000001"/>
    <n v="137.69999999999999"/>
    <n v="156.4"/>
    <n v="139.19999999999999"/>
    <n v="163.30000000000001"/>
    <n v="151.30000000000001"/>
    <n v="146.6"/>
    <n v="150.69999999999999"/>
    <s v="NA"/>
    <n v="146.9"/>
    <n v="149.5"/>
    <n v="151.30000000000001"/>
    <n v="130.19999999999999"/>
    <n v="145.9"/>
    <n v="156.69999999999999"/>
    <n v="133.9"/>
    <n v="142.9"/>
    <n v="142.4"/>
  </r>
  <r>
    <x v="1"/>
    <x v="6"/>
    <x v="4"/>
    <x v="151"/>
    <x v="175"/>
    <n v="138.30000000000001"/>
    <n v="142.4"/>
    <n v="118.6"/>
    <n v="149.69999999999999"/>
    <n v="161.6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</r>
  <r>
    <x v="2"/>
    <x v="6"/>
    <x v="4"/>
    <x v="142"/>
    <x v="176"/>
    <n v="136"/>
    <n v="142.5"/>
    <n v="122"/>
    <n v="146.5"/>
    <n v="143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</r>
  <r>
    <x v="0"/>
    <x v="6"/>
    <x v="5"/>
    <x v="150"/>
    <x v="177"/>
    <n v="136.19999999999999"/>
    <n v="143.19999999999999"/>
    <n v="124.3"/>
    <n v="143.30000000000001"/>
    <n v="140.6"/>
    <n v="128.69999999999999"/>
    <n v="110.6"/>
    <n v="140.4"/>
    <n v="138"/>
    <n v="156.6"/>
    <n v="141"/>
    <n v="164.2"/>
    <n v="151.4"/>
    <n v="146.5"/>
    <n v="150.69999999999999"/>
    <s v="NA"/>
    <n v="147.80000000000001"/>
    <n v="149.6"/>
    <n v="151.69999999999999"/>
    <n v="130.19999999999999"/>
    <n v="146.4"/>
    <n v="157.69999999999999"/>
    <n v="134.80000000000001"/>
    <n v="143.30000000000001"/>
    <n v="143.6"/>
  </r>
  <r>
    <x v="1"/>
    <x v="6"/>
    <x v="5"/>
    <x v="152"/>
    <x v="178"/>
    <n v="140.4"/>
    <n v="143.4"/>
    <n v="118.6"/>
    <n v="150.9"/>
    <n v="169.8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</r>
  <r>
    <x v="2"/>
    <x v="6"/>
    <x v="5"/>
    <x v="153"/>
    <x v="179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</r>
  <r>
    <x v="0"/>
    <x v="6"/>
    <x v="6"/>
    <x v="137"/>
    <x v="180"/>
    <n v="138.4"/>
    <n v="143.9"/>
    <n v="124.4"/>
    <n v="146.4"/>
    <n v="150.1"/>
    <n v="130.6"/>
    <n v="110.8"/>
    <n v="141.69999999999999"/>
    <n v="138.5"/>
    <n v="156.69999999999999"/>
    <n v="143"/>
    <n v="164.5"/>
    <n v="151.6"/>
    <n v="146.6"/>
    <n v="150.9"/>
    <s v="NA"/>
    <n v="146.80000000000001"/>
    <n v="150"/>
    <n v="152.19999999999999"/>
    <n v="131.19999999999999"/>
    <n v="147.5"/>
    <n v="159.1"/>
    <n v="136.1"/>
    <n v="144.19999999999999"/>
    <n v="144.9"/>
  </r>
  <r>
    <x v="1"/>
    <x v="6"/>
    <x v="6"/>
    <x v="154"/>
    <x v="181"/>
    <n v="142.5"/>
    <n v="144.1"/>
    <n v="119.3"/>
    <n v="154.69999999999999"/>
    <n v="180.1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</r>
  <r>
    <x v="2"/>
    <x v="6"/>
    <x v="6"/>
    <x v="146"/>
    <x v="182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</r>
  <r>
    <x v="0"/>
    <x v="6"/>
    <x v="7"/>
    <x v="140"/>
    <x v="183"/>
    <n v="137.1"/>
    <n v="144.6"/>
    <n v="124.7"/>
    <n v="145.5"/>
    <n v="156.19999999999999"/>
    <n v="131.5"/>
    <n v="111.7"/>
    <n v="142.69999999999999"/>
    <n v="138.5"/>
    <n v="156.9"/>
    <n v="144"/>
    <n v="165.1"/>
    <n v="151.80000000000001"/>
    <n v="146.6"/>
    <n v="151.1"/>
    <s v="NA"/>
    <n v="146.4"/>
    <n v="150.19999999999999"/>
    <n v="152.69999999999999"/>
    <n v="131.4"/>
    <n v="148"/>
    <n v="159.69999999999999"/>
    <n v="138.80000000000001"/>
    <n v="144.9"/>
    <n v="145.69999999999999"/>
  </r>
  <r>
    <x v="1"/>
    <x v="6"/>
    <x v="7"/>
    <x v="155"/>
    <x v="184"/>
    <n v="140.80000000000001"/>
    <n v="144.9"/>
    <n v="119.9"/>
    <n v="153.9"/>
    <n v="189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</r>
  <r>
    <x v="2"/>
    <x v="6"/>
    <x v="7"/>
    <x v="156"/>
    <x v="185"/>
    <n v="138.5"/>
    <n v="144.69999999999999"/>
    <n v="122.9"/>
    <n v="149.4"/>
    <n v="167.4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</r>
  <r>
    <x v="0"/>
    <x v="6"/>
    <x v="8"/>
    <x v="156"/>
    <x v="183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65.7"/>
    <n v="151.69999999999999"/>
    <n v="146.6"/>
    <n v="151"/>
    <s v="NA"/>
    <n v="146.9"/>
    <n v="150.30000000000001"/>
    <n v="153.4"/>
    <n v="131.6"/>
    <n v="148.30000000000001"/>
    <n v="160.19999999999999"/>
    <n v="140.19999999999999"/>
    <n v="145.4"/>
    <n v="146.69999999999999"/>
  </r>
  <r>
    <x v="1"/>
    <x v="6"/>
    <x v="8"/>
    <x v="157"/>
    <x v="186"/>
    <n v="141.6"/>
    <n v="144.9"/>
    <n v="120.8"/>
    <n v="149.80000000000001"/>
    <n v="192.4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</r>
  <r>
    <x v="2"/>
    <x v="6"/>
    <x v="8"/>
    <x v="158"/>
    <x v="187"/>
    <n v="139.6"/>
    <n v="145.4"/>
    <n v="123.5"/>
    <n v="146.6"/>
    <n v="173.2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0"/>
    <x v="6"/>
    <x v="9"/>
    <x v="159"/>
    <x v="188"/>
    <n v="141.19999999999999"/>
    <n v="146.5"/>
    <n v="125.6"/>
    <n v="145.69999999999999"/>
    <n v="178.8"/>
    <n v="133.1"/>
    <n v="113.6"/>
    <n v="145.5"/>
    <n v="138.6"/>
    <n v="157.4"/>
    <n v="148.30000000000001"/>
    <n v="166.3"/>
    <n v="151.69999999999999"/>
    <n v="146.69999999999999"/>
    <n v="151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1"/>
    <x v="6"/>
    <x v="9"/>
    <x v="160"/>
    <x v="189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</r>
  <r>
    <x v="2"/>
    <x v="6"/>
    <x v="9"/>
    <x v="161"/>
    <x v="190"/>
    <n v="142.6"/>
    <n v="146.19999999999999"/>
    <n v="123.9"/>
    <n v="148"/>
    <n v="188.4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</r>
  <r>
    <x v="0"/>
    <x v="6"/>
    <x v="10"/>
    <x v="161"/>
    <x v="191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67.2"/>
    <n v="152.30000000000001"/>
    <n v="147"/>
    <n v="151.5"/>
    <s v="NA"/>
    <n v="148.4"/>
    <n v="150.9"/>
    <n v="154.30000000000001"/>
    <n v="132.1"/>
    <n v="149.1"/>
    <n v="160.80000000000001"/>
    <n v="140.6"/>
    <n v="146.1"/>
    <n v="149.9"/>
  </r>
  <r>
    <x v="1"/>
    <x v="6"/>
    <x v="10"/>
    <x v="162"/>
    <x v="192"/>
    <n v="148.4"/>
    <n v="145.9"/>
    <n v="121.5"/>
    <n v="148.80000000000001"/>
    <n v="215.7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2"/>
    <x v="6"/>
    <x v="10"/>
    <x v="163"/>
    <x v="193"/>
    <n v="145.6"/>
    <n v="146.69999999999999"/>
    <n v="124.3"/>
    <n v="147.4"/>
    <n v="199.6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</r>
  <r>
    <x v="0"/>
    <x v="6"/>
    <x v="11"/>
    <x v="164"/>
    <x v="194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67.8"/>
    <n v="152.6"/>
    <n v="147.30000000000001"/>
    <n v="151.9"/>
    <s v="NA"/>
    <n v="149.9"/>
    <n v="151.19999999999999"/>
    <n v="154.80000000000001"/>
    <n v="135"/>
    <n v="149.5"/>
    <n v="161.1"/>
    <n v="140.6"/>
    <n v="147.1"/>
    <n v="152.30000000000001"/>
  </r>
  <r>
    <x v="1"/>
    <x v="6"/>
    <x v="11"/>
    <x v="165"/>
    <x v="19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2"/>
    <x v="6"/>
    <x v="11"/>
    <x v="160"/>
    <x v="196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0"/>
    <x v="7"/>
    <x v="0"/>
    <x v="166"/>
    <x v="197"/>
    <n v="153.5"/>
    <n v="150.5"/>
    <n v="132"/>
    <n v="142.19999999999999"/>
    <n v="191.5"/>
    <n v="141.1"/>
    <n v="113.8"/>
    <n v="151.6"/>
    <n v="139.69999999999999"/>
    <n v="158.69999999999999"/>
    <n v="153"/>
    <n v="168.6"/>
    <n v="152.80000000000001"/>
    <n v="147.4"/>
    <n v="152.1"/>
    <s v="NA"/>
    <n v="150.4"/>
    <n v="151.69999999999999"/>
    <n v="155.69999999999999"/>
    <n v="136.30000000000001"/>
    <n v="150.1"/>
    <n v="161.69999999999999"/>
    <n v="142.5"/>
    <n v="148.1"/>
    <n v="151.9"/>
  </r>
  <r>
    <x v="1"/>
    <x v="7"/>
    <x v="0"/>
    <x v="167"/>
    <x v="198"/>
    <n v="157"/>
    <n v="149.30000000000001"/>
    <n v="126.3"/>
    <n v="144.4"/>
    <n v="207.8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</r>
  <r>
    <x v="2"/>
    <x v="7"/>
    <x v="0"/>
    <x v="168"/>
    <x v="199"/>
    <n v="154.9"/>
    <n v="150.1"/>
    <n v="129.9"/>
    <n v="143.19999999999999"/>
    <n v="197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0"/>
    <x v="7"/>
    <x v="1"/>
    <x v="169"/>
    <x v="200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69.4"/>
    <n v="153"/>
    <n v="147.5"/>
    <n v="152.30000000000001"/>
    <s v="NA"/>
    <n v="152.30000000000001"/>
    <n v="151.80000000000001"/>
    <n v="156.19999999999999"/>
    <n v="136"/>
    <n v="150.4"/>
    <n v="161.9"/>
    <n v="143.4"/>
    <n v="148.4"/>
    <n v="150.4"/>
  </r>
  <r>
    <x v="1"/>
    <x v="7"/>
    <x v="1"/>
    <x v="170"/>
    <x v="198"/>
    <n v="153.1"/>
    <n v="150.69999999999999"/>
    <n v="127.4"/>
    <n v="143.1"/>
    <n v="181.7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</r>
  <r>
    <x v="2"/>
    <x v="7"/>
    <x v="1"/>
    <x v="171"/>
    <x v="200"/>
    <n v="151.80000000000001"/>
    <n v="150.80000000000001"/>
    <n v="131.4"/>
    <n v="141.80000000000001"/>
    <n v="170.7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0"/>
    <x v="7"/>
    <x v="2"/>
    <x v="172"/>
    <x v="201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70.5"/>
    <n v="153.4"/>
    <n v="147.6"/>
    <n v="152.5"/>
    <s v="NA"/>
    <n v="153.4"/>
    <n v="151.5"/>
    <n v="156.69999999999999"/>
    <n v="135.80000000000001"/>
    <n v="151.19999999999999"/>
    <n v="161.19999999999999"/>
    <n v="145.1"/>
    <n v="148.6"/>
    <n v="149.80000000000001"/>
  </r>
  <r>
    <x v="1"/>
    <x v="7"/>
    <x v="2"/>
    <x v="173"/>
    <x v="200"/>
    <n v="148.9"/>
    <n v="151.1"/>
    <n v="127.5"/>
    <n v="143.30000000000001"/>
    <n v="167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</r>
  <r>
    <x v="2"/>
    <x v="7"/>
    <x v="2"/>
    <x v="174"/>
    <x v="202"/>
    <n v="148.1"/>
    <n v="151.5"/>
    <n v="131.19999999999999"/>
    <n v="142.5"/>
    <n v="157.3000000000000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</r>
  <r>
    <x v="0"/>
    <x v="7"/>
    <x v="3"/>
    <x v="175"/>
    <x v="203"/>
    <n v="146.9"/>
    <n v="155.6"/>
    <n v="137.1"/>
    <n v="147.30000000000001"/>
    <n v="162.69999999999999"/>
    <n v="150.19999999999999"/>
    <n v="119.8"/>
    <n v="158.69999999999999"/>
    <n v="139.19999999999999"/>
    <s v="NA"/>
    <n v="150.1"/>
    <s v="NA"/>
    <s v="NA"/>
    <s v="NA"/>
    <s v="NA"/>
    <s v="NA"/>
    <n v="148.4"/>
    <s v="NA"/>
    <n v="154.30000000000001"/>
    <s v="NA"/>
    <s v="NA"/>
    <s v="NA"/>
    <s v="NA"/>
    <s v="NA"/>
    <s v="NA"/>
  </r>
  <r>
    <x v="1"/>
    <x v="7"/>
    <x v="3"/>
    <x v="176"/>
    <x v="203"/>
    <n v="151.9"/>
    <n v="155.5"/>
    <n v="131.6"/>
    <n v="152.9"/>
    <n v="180"/>
    <n v="150.80000000000001"/>
    <n v="121.2"/>
    <n v="154"/>
    <n v="133.5"/>
    <s v="NA"/>
    <n v="153.5"/>
    <s v="NA"/>
    <s v="NA"/>
    <s v="NA"/>
    <s v="NA"/>
    <n v="155.6"/>
    <n v="137.1"/>
    <s v="NA"/>
    <n v="144.80000000000001"/>
    <s v="NA"/>
    <s v="NA"/>
    <s v="NA"/>
    <s v="NA"/>
    <s v="NA"/>
    <s v="NA"/>
  </r>
  <r>
    <x v="2"/>
    <x v="7"/>
    <x v="3"/>
    <x v="177"/>
    <x v="203"/>
    <n v="148.80000000000001"/>
    <n v="155.6"/>
    <n v="135.1"/>
    <n v="149.9"/>
    <n v="168.6"/>
    <n v="150.4"/>
    <n v="120.3"/>
    <n v="157.1"/>
    <n v="136.80000000000001"/>
    <s v="NA"/>
    <n v="151.4"/>
    <s v="NA"/>
    <s v="NA"/>
    <s v="NA"/>
    <s v="NA"/>
    <n v="155.6"/>
    <n v="144.1"/>
    <s v="NA"/>
    <n v="150.69999999999999"/>
    <s v="NA"/>
    <s v="NA"/>
    <s v="NA"/>
    <s v="NA"/>
    <s v="NA"/>
    <s v="NA"/>
  </r>
  <r>
    <x v="0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1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2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0"/>
    <x v="7"/>
    <x v="5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5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5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6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6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6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7"/>
    <x v="182"/>
    <x v="207"/>
    <n v="148.4"/>
    <n v="153.30000000000001"/>
    <n v="139.80000000000001"/>
    <n v="146.9"/>
    <n v="171"/>
    <n v="149.9"/>
    <n v="114.2"/>
    <n v="160"/>
    <n v="143.5"/>
    <n v="161.5"/>
    <n v="155.30000000000001"/>
    <n v="180.9"/>
    <n v="155.1"/>
    <n v="149.30000000000001"/>
    <n v="154.30000000000001"/>
    <s v="NA"/>
    <n v="145.80000000000001"/>
    <n v="151.9"/>
    <n v="158.80000000000001"/>
    <n v="143.6"/>
    <n v="152.19999999999999"/>
    <n v="162.69999999999999"/>
    <n v="153.6"/>
    <n v="153"/>
    <n v="154.69999999999999"/>
  </r>
  <r>
    <x v="1"/>
    <x v="7"/>
    <x v="7"/>
    <x v="183"/>
    <x v="208"/>
    <n v="154.5"/>
    <n v="153.4"/>
    <n v="133.4"/>
    <n v="154.5"/>
    <n v="191.9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2"/>
    <x v="7"/>
    <x v="7"/>
    <x v="184"/>
    <x v="209"/>
    <n v="150.80000000000001"/>
    <n v="153.30000000000001"/>
    <n v="137.4"/>
    <n v="150.4"/>
    <n v="178.1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</r>
  <r>
    <x v="0"/>
    <x v="7"/>
    <x v="8"/>
    <x v="185"/>
    <x v="210"/>
    <n v="149.5"/>
    <n v="153.4"/>
    <n v="140.4"/>
    <n v="147"/>
    <n v="178.8"/>
    <n v="149.30000000000001"/>
    <n v="115.1"/>
    <n v="160"/>
    <n v="145.4"/>
    <n v="161.6"/>
    <n v="156.1"/>
    <n v="182.9"/>
    <n v="155.4"/>
    <n v="149.9"/>
    <n v="154.6"/>
    <s v="NA"/>
    <n v="146.4"/>
    <n v="151.6"/>
    <n v="159.1"/>
    <n v="144.6"/>
    <n v="152.80000000000001"/>
    <n v="161.1"/>
    <n v="157.4"/>
    <n v="153.69999999999999"/>
    <n v="155.4"/>
  </r>
  <r>
    <x v="1"/>
    <x v="7"/>
    <x v="8"/>
    <x v="186"/>
    <x v="211"/>
    <n v="157.30000000000001"/>
    <n v="153.9"/>
    <n v="134.4"/>
    <n v="155.4"/>
    <n v="202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</r>
  <r>
    <x v="2"/>
    <x v="7"/>
    <x v="8"/>
    <x v="187"/>
    <x v="212"/>
    <n v="152.5"/>
    <n v="153.6"/>
    <n v="138.19999999999999"/>
    <n v="150.9"/>
    <n v="186.7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</r>
  <r>
    <x v="0"/>
    <x v="7"/>
    <x v="9"/>
    <x v="188"/>
    <x v="213"/>
    <n v="159.19999999999999"/>
    <n v="153.6"/>
    <n v="142.6"/>
    <n v="147.19999999999999"/>
    <n v="200.6"/>
    <n v="150.30000000000001"/>
    <n v="115.3"/>
    <n v="160.9"/>
    <n v="147.4"/>
    <n v="161.9"/>
    <n v="159.6"/>
    <n v="182.7"/>
    <n v="155.69999999999999"/>
    <n v="150.6"/>
    <n v="155"/>
    <s v="NA"/>
    <n v="146.80000000000001"/>
    <n v="152"/>
    <n v="159.5"/>
    <n v="146.4"/>
    <n v="152.4"/>
    <n v="162.5"/>
    <n v="156.19999999999999"/>
    <n v="154.30000000000001"/>
    <n v="157.5"/>
  </r>
  <r>
    <x v="1"/>
    <x v="7"/>
    <x v="9"/>
    <x v="189"/>
    <x v="214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</r>
  <r>
    <x v="2"/>
    <x v="7"/>
    <x v="9"/>
    <x v="190"/>
    <x v="215"/>
    <n v="161.4"/>
    <n v="153.6"/>
    <n v="140.1"/>
    <n v="151.19999999999999"/>
    <n v="209.2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</r>
  <r>
    <x v="0"/>
    <x v="7"/>
    <x v="10"/>
    <x v="191"/>
    <x v="216"/>
    <n v="171.6"/>
    <n v="153.80000000000001"/>
    <n v="145.4"/>
    <n v="146.5"/>
    <n v="222.2"/>
    <n v="155.9"/>
    <n v="114.9"/>
    <n v="162"/>
    <n v="150"/>
    <n v="162.69999999999999"/>
    <n v="163.4"/>
    <n v="183.4"/>
    <n v="156.30000000000001"/>
    <n v="151"/>
    <n v="155.5"/>
    <s v="NA"/>
    <n v="147.5"/>
    <n v="152.80000000000001"/>
    <n v="160.4"/>
    <n v="146.1"/>
    <n v="153.6"/>
    <n v="161.6"/>
    <n v="156.19999999999999"/>
    <n v="154.5"/>
    <n v="159.80000000000001"/>
  </r>
  <r>
    <x v="1"/>
    <x v="7"/>
    <x v="10"/>
    <x v="192"/>
    <x v="217"/>
    <n v="176.9"/>
    <n v="153.9"/>
    <n v="138"/>
    <n v="150.5"/>
    <n v="245.3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</r>
  <r>
    <x v="2"/>
    <x v="7"/>
    <x v="10"/>
    <x v="193"/>
    <x v="218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</r>
  <r>
    <x v="0"/>
    <x v="7"/>
    <x v="11"/>
    <x v="194"/>
    <x v="219"/>
    <n v="173.4"/>
    <n v="154"/>
    <n v="150"/>
    <n v="145.9"/>
    <n v="225.2"/>
    <n v="159.5"/>
    <n v="114.4"/>
    <n v="163.5"/>
    <n v="153.4"/>
    <n v="163.6"/>
    <n v="164.5"/>
    <n v="183.6"/>
    <n v="157"/>
    <n v="151.6"/>
    <n v="156.30000000000001"/>
    <s v="NA"/>
    <n v="148.69999999999999"/>
    <n v="153.4"/>
    <n v="161.6"/>
    <n v="146.4"/>
    <n v="153.9"/>
    <n v="162.9"/>
    <n v="156.6"/>
    <n v="155.19999999999999"/>
    <n v="160.69999999999999"/>
  </r>
  <r>
    <x v="1"/>
    <x v="7"/>
    <x v="11"/>
    <x v="195"/>
    <x v="220"/>
    <n v="178.3"/>
    <n v="154.19999999999999"/>
    <n v="140.69999999999999"/>
    <n v="149.69999999999999"/>
    <n v="240.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</r>
  <r>
    <x v="2"/>
    <x v="7"/>
    <x v="11"/>
    <x v="188"/>
    <x v="218"/>
    <n v="175.3"/>
    <n v="154.1"/>
    <n v="146.6"/>
    <n v="147.69999999999999"/>
    <n v="230.5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</r>
  <r>
    <x v="0"/>
    <x v="8"/>
    <x v="0"/>
    <x v="196"/>
    <x v="221"/>
    <n v="173.4"/>
    <n v="154"/>
    <n v="154.80000000000001"/>
    <n v="147"/>
    <n v="187.8"/>
    <n v="159.5"/>
    <n v="113.8"/>
    <n v="164.5"/>
    <n v="156.1"/>
    <n v="164.3"/>
    <n v="159.6"/>
    <n v="184.6"/>
    <n v="157.5"/>
    <n v="152.4"/>
    <n v="156.80000000000001"/>
    <s v="NA"/>
    <n v="150.9"/>
    <n v="153.9"/>
    <n v="162.5"/>
    <n v="147.5"/>
    <n v="155.1"/>
    <n v="163.5"/>
    <n v="156.19999999999999"/>
    <n v="155.9"/>
    <n v="158.5"/>
  </r>
  <r>
    <x v="1"/>
    <x v="8"/>
    <x v="0"/>
    <x v="197"/>
    <x v="222"/>
    <n v="178.4"/>
    <n v="154.4"/>
    <n v="144.1"/>
    <n v="152.6"/>
    <n v="206.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</r>
  <r>
    <x v="2"/>
    <x v="8"/>
    <x v="0"/>
    <x v="165"/>
    <x v="223"/>
    <n v="175.3"/>
    <n v="154.1"/>
    <n v="150.9"/>
    <n v="149.6"/>
    <n v="194.2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0"/>
    <x v="8"/>
    <x v="1"/>
    <x v="164"/>
    <x v="224"/>
    <n v="168"/>
    <n v="154.4"/>
    <n v="163"/>
    <n v="147.80000000000001"/>
    <n v="149.69999999999999"/>
    <n v="158.30000000000001"/>
    <n v="111.8"/>
    <n v="165"/>
    <n v="160"/>
    <n v="165.8"/>
    <n v="154.69999999999999"/>
    <n v="186.5"/>
    <n v="159.1"/>
    <n v="153.9"/>
    <n v="158.4"/>
    <s v="NA"/>
    <n v="154.4"/>
    <n v="154.80000000000001"/>
    <n v="164.3"/>
    <n v="150.19999999999999"/>
    <n v="157"/>
    <n v="163.6"/>
    <n v="155.19999999999999"/>
    <n v="157.19999999999999"/>
    <n v="156.69999999999999"/>
  </r>
  <r>
    <x v="1"/>
    <x v="8"/>
    <x v="1"/>
    <x v="182"/>
    <x v="225"/>
    <n v="169.9"/>
    <n v="155.1"/>
    <n v="151.4"/>
    <n v="154"/>
    <n v="180.2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2"/>
    <x v="8"/>
    <x v="1"/>
    <x v="168"/>
    <x v="226"/>
    <n v="168.7"/>
    <n v="154.69999999999999"/>
    <n v="158.69999999999999"/>
    <n v="150.69999999999999"/>
    <n v="160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</r>
  <r>
    <x v="0"/>
    <x v="8"/>
    <x v="2"/>
    <x v="163"/>
    <x v="227"/>
    <n v="163.19999999999999"/>
    <n v="154.5"/>
    <n v="168.2"/>
    <n v="150.5"/>
    <n v="141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</r>
  <r>
    <x v="1"/>
    <x v="8"/>
    <x v="2"/>
    <x v="190"/>
    <x v="228"/>
    <n v="164.7"/>
    <n v="155.6"/>
    <n v="156.4"/>
    <n v="157.30000000000001"/>
    <n v="166.1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</r>
  <r>
    <x v="2"/>
    <x v="8"/>
    <x v="2"/>
    <x v="162"/>
    <x v="229"/>
    <n v="163.80000000000001"/>
    <n v="154.9"/>
    <n v="163.9"/>
    <n v="153.69999999999999"/>
    <n v="149.5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0"/>
    <x v="8"/>
    <x v="3"/>
    <x v="157"/>
    <x v="217"/>
    <n v="163.4"/>
    <n v="155"/>
    <n v="175.2"/>
    <n v="160.6"/>
    <n v="135.1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</r>
  <r>
    <x v="1"/>
    <x v="8"/>
    <x v="3"/>
    <x v="182"/>
    <x v="230"/>
    <n v="166.4"/>
    <n v="156"/>
    <n v="161.4"/>
    <n v="168.8"/>
    <n v="161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</r>
  <r>
    <x v="2"/>
    <x v="8"/>
    <x v="3"/>
    <x v="168"/>
    <x v="231"/>
    <n v="164.6"/>
    <n v="155.4"/>
    <n v="170.1"/>
    <n v="164.4"/>
    <n v="144.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0"/>
    <x v="8"/>
    <x v="4"/>
    <x v="174"/>
    <x v="232"/>
    <n v="168.6"/>
    <n v="155.80000000000001"/>
    <n v="184.4"/>
    <n v="162.30000000000001"/>
    <n v="138.4"/>
    <n v="165.1"/>
    <n v="114.3"/>
    <n v="169.7"/>
    <n v="164.6"/>
    <n v="169.8"/>
    <n v="158.69999999999999"/>
    <n v="189.6"/>
    <n v="165.3"/>
    <n v="160.6"/>
    <n v="164.5"/>
    <s v="NA"/>
    <n v="161.69999999999999"/>
    <n v="158.80000000000001"/>
    <n v="169.1"/>
    <n v="153.19999999999999"/>
    <n v="160"/>
    <n v="167.6"/>
    <n v="159.30000000000001"/>
    <n v="161.1"/>
    <n v="161.1"/>
  </r>
  <r>
    <x v="1"/>
    <x v="8"/>
    <x v="4"/>
    <x v="198"/>
    <x v="233"/>
    <n v="173"/>
    <n v="156.5"/>
    <n v="168.8"/>
    <n v="172.5"/>
    <n v="166.5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</r>
  <r>
    <x v="2"/>
    <x v="8"/>
    <x v="4"/>
    <x v="199"/>
    <x v="234"/>
    <n v="170.3"/>
    <n v="156.1"/>
    <n v="178.7"/>
    <n v="167.1"/>
    <n v="147.9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</r>
  <r>
    <x v="0"/>
    <x v="8"/>
    <x v="5"/>
    <x v="167"/>
    <x v="235"/>
    <n v="179.3"/>
    <n v="156.1"/>
    <n v="190.4"/>
    <n v="158.6"/>
    <n v="144.69999999999999"/>
    <n v="165.5"/>
    <n v="114.6"/>
    <n v="170"/>
    <n v="165.5"/>
    <n v="171.7"/>
    <n v="160.5"/>
    <n v="189.1"/>
    <n v="165.3"/>
    <n v="159.9"/>
    <n v="164.6"/>
    <s v="NA"/>
    <n v="162.1"/>
    <n v="159.19999999999999"/>
    <n v="169.7"/>
    <n v="154.19999999999999"/>
    <n v="160.4"/>
    <n v="166.8"/>
    <n v="159.4"/>
    <n v="161.5"/>
    <n v="162.1"/>
  </r>
  <r>
    <x v="1"/>
    <x v="8"/>
    <x v="5"/>
    <x v="200"/>
    <x v="236"/>
    <n v="182.8"/>
    <n v="156.5"/>
    <n v="172.2"/>
    <n v="171.5"/>
    <n v="176.2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</r>
  <r>
    <x v="2"/>
    <x v="8"/>
    <x v="5"/>
    <x v="201"/>
    <x v="237"/>
    <n v="180.7"/>
    <n v="156.19999999999999"/>
    <n v="183.7"/>
    <n v="164.6"/>
    <n v="155.4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0"/>
    <x v="8"/>
    <x v="6"/>
    <x v="174"/>
    <x v="238"/>
    <n v="180.4"/>
    <n v="157.1"/>
    <n v="188.7"/>
    <n v="157.69999999999999"/>
    <n v="152.80000000000001"/>
    <n v="163.6"/>
    <n v="113.9"/>
    <n v="169.7"/>
    <n v="166.2"/>
    <n v="171"/>
    <n v="161.69999999999999"/>
    <n v="189.7"/>
    <n v="166"/>
    <n v="161.1"/>
    <n v="165.3"/>
    <s v="NA"/>
    <n v="162.5"/>
    <n v="160.30000000000001"/>
    <n v="170.4"/>
    <n v="157.1"/>
    <n v="160.69999999999999"/>
    <n v="167.2"/>
    <n v="160.4"/>
    <n v="162.80000000000001"/>
    <n v="163.19999999999999"/>
  </r>
  <r>
    <x v="1"/>
    <x v="8"/>
    <x v="6"/>
    <x v="202"/>
    <x v="239"/>
    <n v="185"/>
    <n v="158.19999999999999"/>
    <n v="170.6"/>
    <n v="170.9"/>
    <n v="186.4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2"/>
    <x v="8"/>
    <x v="6"/>
    <x v="203"/>
    <x v="240"/>
    <n v="182.2"/>
    <n v="157.5"/>
    <n v="182.1"/>
    <n v="163.9"/>
    <n v="164.2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</r>
  <r>
    <x v="0"/>
    <x v="8"/>
    <x v="7"/>
    <x v="165"/>
    <x v="241"/>
    <n v="176.5"/>
    <n v="157.5"/>
    <n v="190.9"/>
    <n v="155.69999999999999"/>
    <n v="153.9"/>
    <n v="162.80000000000001"/>
    <n v="115.2"/>
    <n v="169.8"/>
    <n v="167.6"/>
    <n v="171.9"/>
    <n v="161.80000000000001"/>
    <n v="190.2"/>
    <n v="167"/>
    <n v="162.6"/>
    <n v="166.3"/>
    <s v="NA"/>
    <n v="163.1"/>
    <n v="160.9"/>
    <n v="171.1"/>
    <n v="157.69999999999999"/>
    <n v="161.1"/>
    <n v="167.5"/>
    <n v="160.30000000000001"/>
    <n v="163.30000000000001"/>
    <n v="163.6"/>
  </r>
  <r>
    <x v="1"/>
    <x v="8"/>
    <x v="7"/>
    <x v="204"/>
    <x v="242"/>
    <n v="174.1"/>
    <n v="159.19999999999999"/>
    <n v="175"/>
    <n v="161.30000000000001"/>
    <n v="183.3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2"/>
    <x v="8"/>
    <x v="7"/>
    <x v="205"/>
    <x v="243"/>
    <n v="172.8"/>
    <n v="158.4"/>
    <n v="188"/>
    <n v="156.80000000000001"/>
    <n v="162.19999999999999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</r>
  <r>
    <x v="0"/>
    <x v="8"/>
    <x v="8"/>
    <x v="191"/>
    <x v="244"/>
    <n v="172"/>
    <n v="158"/>
    <n v="195.5"/>
    <n v="152.69999999999999"/>
    <n v="151.4"/>
    <n v="163.9"/>
    <n v="119.3"/>
    <n v="170.1"/>
    <n v="168.3"/>
    <n v="172.8"/>
    <n v="162.1"/>
    <n v="190.5"/>
    <n v="167.7"/>
    <n v="163.6"/>
    <n v="167.1"/>
    <s v="NA"/>
    <n v="163.69999999999999"/>
    <n v="161.30000000000001"/>
    <n v="171.9"/>
    <n v="157.80000000000001"/>
    <n v="162.69999999999999"/>
    <n v="168.5"/>
    <n v="160.19999999999999"/>
    <n v="163.80000000000001"/>
    <n v="164"/>
  </r>
  <r>
    <x v="1"/>
    <x v="8"/>
    <x v="8"/>
    <x v="204"/>
    <x v="242"/>
    <n v="174.1"/>
    <n v="159.1"/>
    <n v="175"/>
    <n v="161.19999999999999"/>
    <n v="183.5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2"/>
    <x v="8"/>
    <x v="8"/>
    <x v="205"/>
    <x v="243"/>
    <n v="172.8"/>
    <n v="158.4"/>
    <n v="188"/>
    <n v="156.69999999999999"/>
    <n v="162.30000000000001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</r>
  <r>
    <x v="0"/>
    <x v="8"/>
    <x v="9"/>
    <x v="206"/>
    <x v="230"/>
    <n v="170.1"/>
    <n v="158.4"/>
    <n v="198.8"/>
    <n v="152.6"/>
    <n v="170.4"/>
    <n v="165.2"/>
    <n v="121.6"/>
    <n v="170.6"/>
    <n v="168.8"/>
    <n v="173.6"/>
    <n v="165.5"/>
    <n v="191.2"/>
    <n v="168.9"/>
    <n v="164.8"/>
    <n v="168.3"/>
    <s v="NA"/>
    <n v="165.5"/>
    <n v="162"/>
    <n v="172.5"/>
    <n v="159.5"/>
    <n v="163.19999999999999"/>
    <n v="169"/>
    <n v="161.1"/>
    <n v="164.7"/>
    <n v="166.3"/>
  </r>
  <r>
    <x v="1"/>
    <x v="8"/>
    <x v="9"/>
    <x v="207"/>
    <x v="245"/>
    <n v="173"/>
    <n v="159.19999999999999"/>
    <n v="176.6"/>
    <n v="159.30000000000001"/>
    <n v="214.4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2"/>
    <x v="8"/>
    <x v="9"/>
    <x v="208"/>
    <x v="246"/>
    <n v="171.2"/>
    <n v="158.69999999999999"/>
    <n v="190.6"/>
    <n v="155.69999999999999"/>
    <n v="185.3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</r>
  <r>
    <x v="0"/>
    <x v="8"/>
    <x v="10"/>
    <x v="185"/>
    <x v="247"/>
    <n v="171.5"/>
    <n v="159.1"/>
    <n v="198.4"/>
    <n v="153.19999999999999"/>
    <n v="183.9"/>
    <n v="165.4"/>
    <n v="122.1"/>
    <n v="170.8"/>
    <n v="169.1"/>
    <n v="174.3"/>
    <n v="167.5"/>
    <n v="191.4"/>
    <n v="170.4"/>
    <n v="166"/>
    <n v="169.8"/>
    <s v="NA"/>
    <n v="165.3"/>
    <n v="162.9"/>
    <n v="173.4"/>
    <n v="158.9"/>
    <n v="163.80000000000001"/>
    <n v="169.3"/>
    <n v="162.4"/>
    <n v="165.2"/>
    <n v="167.6"/>
  </r>
  <r>
    <x v="1"/>
    <x v="8"/>
    <x v="10"/>
    <x v="209"/>
    <x v="248"/>
    <n v="175.4"/>
    <n v="159.6"/>
    <n v="175.8"/>
    <n v="160.30000000000001"/>
    <n v="229.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2"/>
    <x v="8"/>
    <x v="10"/>
    <x v="179"/>
    <x v="249"/>
    <n v="173"/>
    <n v="159.30000000000001"/>
    <n v="190.1"/>
    <n v="156.5"/>
    <n v="199.2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</r>
  <r>
    <x v="0"/>
    <x v="8"/>
    <x v="11"/>
    <x v="208"/>
    <x v="205"/>
    <n v="176.5"/>
    <n v="159.80000000000001"/>
    <n v="195.8"/>
    <n v="152"/>
    <n v="172.3"/>
    <n v="164.5"/>
    <n v="120.6"/>
    <n v="171.7"/>
    <n v="169.7"/>
    <n v="175.1"/>
    <n v="165.8"/>
    <n v="190.8"/>
    <n v="171.8"/>
    <n v="167.3"/>
    <n v="171.2"/>
    <s v="NA"/>
    <n v="165.6"/>
    <n v="163.9"/>
    <n v="174"/>
    <n v="160.1"/>
    <n v="164.5"/>
    <n v="169.7"/>
    <n v="162.80000000000001"/>
    <n v="166"/>
    <n v="167"/>
  </r>
  <r>
    <x v="1"/>
    <x v="8"/>
    <x v="11"/>
    <x v="183"/>
    <x v="250"/>
    <n v="180"/>
    <n v="160"/>
    <n v="173.5"/>
    <n v="158.30000000000001"/>
    <n v="219.5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</r>
  <r>
    <x v="2"/>
    <x v="8"/>
    <x v="11"/>
    <x v="177"/>
    <x v="251"/>
    <n v="177.9"/>
    <n v="159.9"/>
    <n v="187.6"/>
    <n v="154.9"/>
    <n v="188.3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</r>
  <r>
    <x v="0"/>
    <x v="9"/>
    <x v="0"/>
    <x v="210"/>
    <x v="252"/>
    <n v="178"/>
    <n v="160.5"/>
    <n v="192.6"/>
    <n v="151.19999999999999"/>
    <n v="159.19999999999999"/>
    <n v="164"/>
    <n v="119.3"/>
    <n v="173.3"/>
    <n v="169.8"/>
    <n v="175.8"/>
    <n v="164.1"/>
    <n v="190.7"/>
    <n v="173.2"/>
    <n v="169.3"/>
    <n v="172.7"/>
    <s v="NA"/>
    <n v="165.8"/>
    <n v="164.9"/>
    <n v="174.7"/>
    <n v="160.80000000000001"/>
    <n v="164.9"/>
    <n v="169.9"/>
    <n v="163.19999999999999"/>
    <n v="166.6"/>
    <n v="166.4"/>
  </r>
  <r>
    <x v="1"/>
    <x v="9"/>
    <x v="0"/>
    <x v="211"/>
    <x v="244"/>
    <n v="180.1"/>
    <n v="160.4"/>
    <n v="171"/>
    <n v="156.5"/>
    <n v="203.6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</r>
  <r>
    <x v="2"/>
    <x v="9"/>
    <x v="0"/>
    <x v="212"/>
    <x v="253"/>
    <n v="178.8"/>
    <n v="160.5"/>
    <n v="184.7"/>
    <n v="153.69999999999999"/>
    <n v="174.3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</r>
  <r>
    <x v="0"/>
    <x v="9"/>
    <x v="1"/>
    <x v="198"/>
    <x v="254"/>
    <n v="175.5"/>
    <n v="160.69999999999999"/>
    <n v="192.6"/>
    <n v="151.4"/>
    <n v="155.19999999999999"/>
    <n v="163.9"/>
    <n v="118.1"/>
    <n v="175.4"/>
    <n v="170.5"/>
    <n v="176.3"/>
    <n v="163.9"/>
    <n v="191.5"/>
    <n v="174.1"/>
    <n v="171"/>
    <n v="173.7"/>
    <s v="NA"/>
    <n v="167.4"/>
    <n v="165.7"/>
    <n v="175.3"/>
    <n v="161.19999999999999"/>
    <n v="165.5"/>
    <n v="170.3"/>
    <n v="164.5"/>
    <n v="167.3"/>
    <n v="166.7"/>
  </r>
  <r>
    <x v="1"/>
    <x v="9"/>
    <x v="1"/>
    <x v="213"/>
    <x v="255"/>
    <n v="176.4"/>
    <n v="160.6"/>
    <n v="171.5"/>
    <n v="156.4"/>
    <n v="198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</r>
  <r>
    <x v="2"/>
    <x v="9"/>
    <x v="1"/>
    <x v="214"/>
    <x v="256"/>
    <n v="175.8"/>
    <n v="160.69999999999999"/>
    <n v="184.9"/>
    <n v="153.69999999999999"/>
    <n v="169.7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</r>
  <r>
    <x v="0"/>
    <x v="9"/>
    <x v="2"/>
    <x v="215"/>
    <x v="257"/>
    <n v="167.9"/>
    <n v="162"/>
    <n v="203.1"/>
    <n v="155.9"/>
    <n v="155.80000000000001"/>
    <n v="164.2"/>
    <n v="118.1"/>
    <n v="178.7"/>
    <n v="171.2"/>
    <n v="177.4"/>
    <n v="166.6"/>
    <n v="192.3"/>
    <n v="175.4"/>
    <n v="173.2"/>
    <n v="175.1"/>
    <s v="NA"/>
    <n v="168.9"/>
    <n v="166.5"/>
    <n v="176"/>
    <n v="162"/>
    <n v="166.6"/>
    <n v="170.6"/>
    <n v="167.4"/>
    <n v="168.3"/>
    <n v="168.7"/>
  </r>
  <r>
    <x v="1"/>
    <x v="9"/>
    <x v="2"/>
    <x v="216"/>
    <x v="258"/>
    <n v="167.7"/>
    <n v="162.6"/>
    <n v="180"/>
    <n v="159.6"/>
    <n v="188.4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</r>
  <r>
    <x v="2"/>
    <x v="9"/>
    <x v="2"/>
    <x v="217"/>
    <x v="259"/>
    <n v="167.8"/>
    <n v="162.19999999999999"/>
    <n v="194.6"/>
    <n v="157.6"/>
    <n v="166.9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</r>
  <r>
    <x v="0"/>
    <x v="9"/>
    <x v="3"/>
    <x v="176"/>
    <x v="260"/>
    <n v="164.5"/>
    <n v="163.80000000000001"/>
    <n v="207.4"/>
    <n v="169.7"/>
    <n v="153.6"/>
    <n v="165.1"/>
    <n v="118.2"/>
    <n v="182.9"/>
    <n v="172.4"/>
    <n v="178.9"/>
    <n v="168.6"/>
    <n v="192.8"/>
    <n v="177.5"/>
    <n v="175.1"/>
    <n v="177.1"/>
    <s v="NA"/>
    <n v="173.3"/>
    <n v="167.7"/>
    <n v="177"/>
    <n v="166.2"/>
    <n v="167.2"/>
    <n v="170.9"/>
    <n v="169"/>
    <n v="170.2"/>
    <n v="170.8"/>
  </r>
  <r>
    <x v="1"/>
    <x v="9"/>
    <x v="3"/>
    <x v="218"/>
    <x v="258"/>
    <n v="164.6"/>
    <n v="164.2"/>
    <n v="186"/>
    <n v="175.9"/>
    <n v="190.7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</r>
  <r>
    <x v="2"/>
    <x v="9"/>
    <x v="3"/>
    <x v="219"/>
    <x v="261"/>
    <n v="164.5"/>
    <n v="163.9"/>
    <n v="199.5"/>
    <n v="172.6"/>
    <n v="166.2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</r>
  <r>
    <x v="0"/>
    <x v="9"/>
    <x v="4"/>
    <x v="219"/>
    <x v="262"/>
    <n v="161.4"/>
    <n v="164.6"/>
    <n v="209.9"/>
    <n v="168"/>
    <n v="160.4"/>
    <n v="165"/>
    <n v="118.9"/>
    <n v="186.6"/>
    <n v="173.2"/>
    <n v="180.4"/>
    <n v="170.8"/>
    <n v="192.9"/>
    <n v="179.3"/>
    <n v="177.2"/>
    <n v="179"/>
    <s v="NA"/>
    <n v="175.3"/>
    <n v="168.9"/>
    <n v="177.7"/>
    <n v="167.1"/>
    <n v="167.6"/>
    <n v="171.8"/>
    <n v="168.5"/>
    <n v="170.9"/>
    <n v="172.5"/>
  </r>
  <r>
    <x v="1"/>
    <x v="9"/>
    <x v="4"/>
    <x v="220"/>
    <x v="263"/>
    <n v="164.1"/>
    <n v="165.4"/>
    <n v="189.5"/>
    <n v="174.5"/>
    <n v="203.2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</r>
  <r>
    <x v="2"/>
    <x v="9"/>
    <x v="4"/>
    <x v="221"/>
    <x v="264"/>
    <n v="162.4"/>
    <n v="164.9"/>
    <n v="202.4"/>
    <n v="171"/>
    <n v="174.9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</r>
  <r>
    <x v="0"/>
    <x v="9"/>
    <x v="5"/>
    <x v="222"/>
    <x v="265"/>
    <n v="169.6"/>
    <n v="165.4"/>
    <n v="208.1"/>
    <n v="165.8"/>
    <n v="167.3"/>
    <n v="164.6"/>
    <n v="119.1"/>
    <n v="188.9"/>
    <n v="174.2"/>
    <n v="181.9"/>
    <n v="172.4"/>
    <n v="192.9"/>
    <n v="180.7"/>
    <n v="178.7"/>
    <n v="180.4"/>
    <s v="NA"/>
    <n v="176.7"/>
    <n v="170.3"/>
    <n v="178.2"/>
    <n v="165.5"/>
    <n v="168"/>
    <n v="172.6"/>
    <n v="169.5"/>
    <n v="171"/>
    <n v="173.6"/>
  </r>
  <r>
    <x v="1"/>
    <x v="9"/>
    <x v="5"/>
    <x v="223"/>
    <x v="266"/>
    <n v="172.8"/>
    <n v="166.4"/>
    <n v="188.6"/>
    <n v="174.1"/>
    <n v="211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</r>
  <r>
    <x v="2"/>
    <x v="9"/>
    <x v="5"/>
    <x v="224"/>
    <x v="267"/>
    <n v="170.8"/>
    <n v="165.8"/>
    <n v="200.9"/>
    <n v="169.7"/>
    <n v="182.3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</r>
  <r>
    <x v="0"/>
    <x v="9"/>
    <x v="6"/>
    <x v="225"/>
    <x v="268"/>
    <n v="174.3"/>
    <n v="166.3"/>
    <n v="202.2"/>
    <n v="169.6"/>
    <n v="168.6"/>
    <n v="164.4"/>
    <n v="119.2"/>
    <n v="191.8"/>
    <n v="174.5"/>
    <n v="183.1"/>
    <n v="172.5"/>
    <n v="193.2"/>
    <n v="182"/>
    <n v="180.3"/>
    <n v="181.7"/>
    <s v="NA"/>
    <n v="179.6"/>
    <n v="171.3"/>
    <n v="178.8"/>
    <n v="166.3"/>
    <n v="168.6"/>
    <n v="174.7"/>
    <n v="169.7"/>
    <n v="171.8"/>
    <n v="174.3"/>
  </r>
  <r>
    <x v="1"/>
    <x v="9"/>
    <x v="6"/>
    <x v="226"/>
    <x v="269"/>
    <n v="176.6"/>
    <n v="167.1"/>
    <n v="184.8"/>
    <n v="179.5"/>
    <n v="208.5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</r>
  <r>
    <x v="2"/>
    <x v="9"/>
    <x v="6"/>
    <x v="227"/>
    <x v="270"/>
    <n v="175.2"/>
    <n v="166.6"/>
    <n v="195.8"/>
    <n v="174.2"/>
    <n v="182.1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</r>
  <r>
    <x v="0"/>
    <x v="9"/>
    <x v="7"/>
    <x v="228"/>
    <x v="271"/>
    <n v="168.3"/>
    <n v="167.9"/>
    <n v="198.1"/>
    <n v="169.2"/>
    <n v="173.1"/>
    <n v="167.1"/>
    <n v="120.2"/>
    <n v="195.6"/>
    <n v="174.8"/>
    <n v="184"/>
    <n v="173.9"/>
    <n v="193.7"/>
    <n v="183.2"/>
    <n v="181.7"/>
    <n v="183"/>
    <s v="NA"/>
    <n v="179.1"/>
    <n v="172.3"/>
    <n v="179.4"/>
    <n v="166.6"/>
    <n v="169.3"/>
    <n v="175.7"/>
    <n v="171.1"/>
    <n v="172.6"/>
    <n v="175.3"/>
  </r>
  <r>
    <x v="1"/>
    <x v="9"/>
    <x v="7"/>
    <x v="229"/>
    <x v="239"/>
    <n v="170.6"/>
    <n v="168.4"/>
    <n v="182.5"/>
    <n v="177.1"/>
    <n v="213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</r>
  <r>
    <x v="2"/>
    <x v="9"/>
    <x v="7"/>
    <x v="230"/>
    <x v="272"/>
    <n v="169.2"/>
    <n v="168.1"/>
    <n v="192.4"/>
    <n v="172.9"/>
    <n v="186.7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</r>
  <r>
    <x v="0"/>
    <x v="9"/>
    <x v="8"/>
    <x v="231"/>
    <x v="273"/>
    <n v="169"/>
    <n v="169.5"/>
    <n v="194.1"/>
    <n v="164.1"/>
    <n v="176.9"/>
    <n v="169"/>
    <n v="120.8"/>
    <n v="199.1"/>
    <n v="175.4"/>
    <n v="184.8"/>
    <n v="175.5"/>
    <n v="194.5"/>
    <n v="184.7"/>
    <n v="183.3"/>
    <n v="184.5"/>
    <s v="NA"/>
    <n v="179.7"/>
    <n v="173.6"/>
    <n v="180.2"/>
    <n v="166.9"/>
    <n v="170"/>
    <n v="176.2"/>
    <n v="170.8"/>
    <n v="173.1"/>
    <n v="176.4"/>
  </r>
  <r>
    <x v="1"/>
    <x v="9"/>
    <x v="8"/>
    <x v="232"/>
    <x v="274"/>
    <n v="170.9"/>
    <n v="170.1"/>
    <n v="179.3"/>
    <n v="167.5"/>
    <n v="220.8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</r>
  <r>
    <x v="2"/>
    <x v="9"/>
    <x v="8"/>
    <x v="233"/>
    <x v="275"/>
    <n v="169.7"/>
    <n v="169.7"/>
    <n v="188.7"/>
    <n v="165.7"/>
    <n v="191.8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</r>
  <r>
    <x v="0"/>
    <x v="9"/>
    <x v="9"/>
    <x v="234"/>
    <x v="276"/>
    <n v="170.3"/>
    <n v="170.9"/>
    <n v="191.6"/>
    <n v="162.19999999999999"/>
    <n v="184.8"/>
    <n v="169.7"/>
    <n v="121.1"/>
    <n v="201.6"/>
    <n v="175.8"/>
    <n v="185.6"/>
    <n v="177.4"/>
    <n v="194.9"/>
    <n v="186.1"/>
    <n v="184.4"/>
    <n v="185.9"/>
    <s v="NA"/>
    <n v="180.8"/>
    <n v="174.4"/>
    <n v="181.2"/>
    <n v="167.4"/>
    <n v="170.6"/>
    <n v="176.5"/>
    <n v="172"/>
    <n v="173.9"/>
    <n v="177.9"/>
  </r>
  <r>
    <x v="1"/>
    <x v="9"/>
    <x v="9"/>
    <x v="235"/>
    <x v="277"/>
    <n v="171.9"/>
    <n v="171"/>
    <n v="177.7"/>
    <n v="165.7"/>
    <n v="228.6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</r>
  <r>
    <x v="2"/>
    <x v="9"/>
    <x v="9"/>
    <x v="236"/>
    <x v="239"/>
    <n v="170.9"/>
    <n v="170.9"/>
    <n v="186.5"/>
    <n v="163.80000000000001"/>
    <n v="199.7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</r>
  <r>
    <x v="0"/>
    <x v="9"/>
    <x v="10"/>
    <x v="237"/>
    <x v="278"/>
    <n v="180.2"/>
    <n v="172.3"/>
    <n v="194"/>
    <n v="159.1"/>
    <n v="171.6"/>
    <n v="170.2"/>
    <n v="121.5"/>
    <n v="204.8"/>
    <n v="176.4"/>
    <n v="186.9"/>
    <n v="176.6"/>
    <n v="195.5"/>
    <n v="187.2"/>
    <n v="185.2"/>
    <n v="186.9"/>
    <s v="NA"/>
    <n v="181.9"/>
    <n v="175.5"/>
    <n v="182.3"/>
    <n v="167.5"/>
    <n v="170.8"/>
    <n v="176.9"/>
    <n v="173.4"/>
    <n v="174.6"/>
    <n v="177.8"/>
  </r>
  <r>
    <x v="1"/>
    <x v="9"/>
    <x v="10"/>
    <x v="238"/>
    <x v="279"/>
    <n v="183.2"/>
    <n v="172.3"/>
    <n v="180"/>
    <n v="162.6"/>
    <n v="205.5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</r>
  <r>
    <x v="2"/>
    <x v="9"/>
    <x v="10"/>
    <x v="239"/>
    <x v="280"/>
    <n v="181.4"/>
    <n v="172.3"/>
    <n v="188.9"/>
    <n v="160.69999999999999"/>
    <n v="183.1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</r>
  <r>
    <x v="0"/>
    <x v="9"/>
    <x v="11"/>
    <x v="240"/>
    <x v="281"/>
    <n v="189.1"/>
    <n v="173.4"/>
    <n v="193.9"/>
    <n v="156.69999999999999"/>
    <n v="150.19999999999999"/>
    <n v="170.5"/>
    <n v="121.2"/>
    <n v="207.5"/>
    <n v="176.8"/>
    <n v="187.7"/>
    <n v="174.4"/>
    <n v="195.9"/>
    <n v="188.1"/>
    <n v="185.9"/>
    <n v="187.8"/>
    <s v="NA"/>
    <n v="182.8"/>
    <n v="176.4"/>
    <n v="183.5"/>
    <n v="167.8"/>
    <n v="171.2"/>
    <n v="177.3"/>
    <n v="175.7"/>
    <n v="175.5"/>
    <n v="177.1"/>
  </r>
  <r>
    <x v="1"/>
    <x v="9"/>
    <x v="11"/>
    <x v="241"/>
    <x v="282"/>
    <n v="191.9"/>
    <n v="173.9"/>
    <n v="179.1"/>
    <n v="159.5"/>
    <n v="178.7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</r>
  <r>
    <x v="2"/>
    <x v="9"/>
    <x v="11"/>
    <x v="242"/>
    <x v="283"/>
    <n v="190.2"/>
    <n v="173.6"/>
    <n v="188.5"/>
    <n v="158"/>
    <n v="159.9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</r>
  <r>
    <x v="0"/>
    <x v="10"/>
    <x v="0"/>
    <x v="243"/>
    <x v="284"/>
    <n v="192.9"/>
    <n v="174.3"/>
    <n v="192.6"/>
    <n v="156.30000000000001"/>
    <n v="142.9"/>
    <n v="170.7"/>
    <n v="120.3"/>
    <n v="210.5"/>
    <n v="176.9"/>
    <n v="188.5"/>
    <n v="175"/>
    <n v="196.9"/>
    <n v="189"/>
    <n v="186.3"/>
    <n v="188.6"/>
    <s v="NA"/>
    <n v="183.2"/>
    <n v="177.2"/>
    <n v="184.7"/>
    <n v="168.2"/>
    <n v="171.8"/>
    <n v="177.8"/>
    <n v="178.4"/>
    <n v="176.5"/>
    <n v="177.8"/>
  </r>
  <r>
    <x v="1"/>
    <x v="10"/>
    <x v="0"/>
    <x v="244"/>
    <x v="285"/>
    <n v="197"/>
    <n v="175.2"/>
    <n v="178"/>
    <n v="160.5"/>
    <n v="175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x v="2"/>
    <x v="10"/>
    <x v="0"/>
    <x v="245"/>
    <x v="259"/>
    <n v="194.5"/>
    <n v="174.6"/>
    <n v="187.2"/>
    <n v="158.30000000000001"/>
    <n v="153.9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x v="0"/>
    <x v="10"/>
    <x v="1"/>
    <x v="246"/>
    <x v="255"/>
    <n v="173.9"/>
    <n v="177"/>
    <n v="183.4"/>
    <n v="167.2"/>
    <n v="140.9"/>
    <n v="170.4"/>
    <n v="119.1"/>
    <n v="212.1"/>
    <n v="177.6"/>
    <n v="189.9"/>
    <n v="174.8"/>
    <n v="198.3"/>
    <n v="190"/>
    <n v="187"/>
    <n v="189.6"/>
    <s v="NA"/>
    <n v="181.6"/>
    <n v="178.6"/>
    <n v="186.6"/>
    <n v="169"/>
    <n v="172.8"/>
    <n v="178.5"/>
    <n v="180.7"/>
    <n v="177.9"/>
    <n v="178"/>
  </r>
  <r>
    <x v="1"/>
    <x v="10"/>
    <x v="1"/>
    <x v="247"/>
    <x v="286"/>
    <n v="177.2"/>
    <n v="177.9"/>
    <n v="172.2"/>
    <n v="172.1"/>
    <n v="175.8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x v="2"/>
    <x v="10"/>
    <x v="1"/>
    <x v="248"/>
    <x v="287"/>
    <n v="175.2"/>
    <n v="177.3"/>
    <n v="179.3"/>
    <n v="169.5"/>
    <n v="152.69999999999999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x v="0"/>
    <x v="10"/>
    <x v="2"/>
    <x v="249"/>
    <x v="255"/>
    <n v="173.9"/>
    <n v="177"/>
    <n v="183.3"/>
    <n v="167.2"/>
    <n v="140.9"/>
    <n v="170.5"/>
    <n v="119.1"/>
    <n v="212.1"/>
    <n v="177.6"/>
    <n v="189.9"/>
    <n v="174.8"/>
    <n v="198.4"/>
    <n v="190"/>
    <n v="187"/>
    <n v="189.6"/>
    <s v="NA"/>
    <n v="181.4"/>
    <n v="178.6"/>
    <n v="186.6"/>
    <n v="169"/>
    <n v="172.8"/>
    <n v="178.5"/>
    <n v="180.7"/>
    <n v="177.9"/>
    <n v="178"/>
  </r>
  <r>
    <x v="1"/>
    <x v="10"/>
    <x v="2"/>
    <x v="247"/>
    <x v="286"/>
    <n v="177.2"/>
    <n v="177.9"/>
    <n v="172.2"/>
    <n v="172.1"/>
    <n v="175.9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x v="2"/>
    <x v="10"/>
    <x v="2"/>
    <x v="248"/>
    <x v="287"/>
    <n v="175.2"/>
    <n v="177.3"/>
    <n v="179.2"/>
    <n v="169.5"/>
    <n v="152.80000000000001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x v="0"/>
    <x v="10"/>
    <x v="3"/>
    <x v="244"/>
    <x v="281"/>
    <n v="167.9"/>
    <n v="178.2"/>
    <n v="178.5"/>
    <n v="173.7"/>
    <n v="142.80000000000001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</r>
  <r>
    <x v="1"/>
    <x v="10"/>
    <x v="3"/>
    <x v="250"/>
    <x v="274"/>
    <n v="172.4"/>
    <n v="178.8"/>
    <n v="168.7"/>
    <n v="179.2"/>
    <n v="179.9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x v="2"/>
    <x v="10"/>
    <x v="3"/>
    <x v="245"/>
    <x v="288"/>
    <n v="169.6"/>
    <n v="178.4"/>
    <n v="174.9"/>
    <n v="176.3"/>
    <n v="155.4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x v="0"/>
    <x v="10"/>
    <x v="4"/>
    <x v="251"/>
    <x v="289"/>
    <n v="171"/>
    <n v="179.6"/>
    <n v="173.3"/>
    <n v="169"/>
    <n v="148.69999999999999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</r>
  <r>
    <x v="1"/>
    <x v="10"/>
    <x v="4"/>
    <x v="247"/>
    <x v="267"/>
    <n v="176.7"/>
    <n v="179.4"/>
    <n v="164.4"/>
    <n v="175.8"/>
    <n v="185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x v="2"/>
    <x v="10"/>
    <x v="4"/>
    <x v="252"/>
    <x v="290"/>
    <n v="173.2"/>
    <n v="179.5"/>
    <n v="170"/>
    <n v="172.2"/>
    <n v="161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C90CE-5DBA-4236-A7BD-36E34626343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K2:AW16" firstHeaderRow="1" firstDataRow="2" firstDataCol="1"/>
  <pivotFields count="30"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Month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289D7-4D69-45A4-B0D9-80918CF440F6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F2:AG14" firstHeaderRow="1" firstDataRow="1" firstDataCol="1"/>
  <pivotFields count="30"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Year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5AE2A-915E-4CD6-A716-407B8083BC33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F30:AH47" firstHeaderRow="1" firstDataRow="1" firstDataCol="0"/>
  <pivotFields count="30">
    <pivotField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>
      <items count="292">
        <item x="0"/>
        <item x="2"/>
        <item x="3"/>
        <item x="6"/>
        <item x="1"/>
        <item x="9"/>
        <item x="8"/>
        <item x="12"/>
        <item x="5"/>
        <item x="11"/>
        <item x="14"/>
        <item x="7"/>
        <item x="15"/>
        <item x="4"/>
        <item x="10"/>
        <item x="13"/>
        <item x="17"/>
        <item x="20"/>
        <item x="23"/>
        <item x="28"/>
        <item x="27"/>
        <item x="19"/>
        <item x="29"/>
        <item x="25"/>
        <item x="30"/>
        <item x="22"/>
        <item x="33"/>
        <item x="26"/>
        <item x="32"/>
        <item x="36"/>
        <item x="24"/>
        <item x="18"/>
        <item x="35"/>
        <item x="38"/>
        <item x="16"/>
        <item x="39"/>
        <item x="21"/>
        <item x="34"/>
        <item x="41"/>
        <item x="37"/>
        <item x="31"/>
        <item x="50"/>
        <item x="44"/>
        <item x="55"/>
        <item x="47"/>
        <item x="43"/>
        <item x="59"/>
        <item x="52"/>
        <item x="57"/>
        <item x="54"/>
        <item x="46"/>
        <item x="40"/>
        <item x="49"/>
        <item x="58"/>
        <item x="62"/>
        <item x="51"/>
        <item x="60"/>
        <item x="56"/>
        <item x="42"/>
        <item x="53"/>
        <item x="45"/>
        <item x="61"/>
        <item x="63"/>
        <item x="65"/>
        <item x="48"/>
        <item x="67"/>
        <item x="64"/>
        <item x="79"/>
        <item x="78"/>
        <item x="66"/>
        <item x="80"/>
        <item x="82"/>
        <item x="68"/>
        <item x="81"/>
        <item x="77"/>
        <item x="74"/>
        <item x="76"/>
        <item x="71"/>
        <item x="75"/>
        <item x="70"/>
        <item x="73"/>
        <item x="83"/>
        <item x="86"/>
        <item x="85"/>
        <item x="88"/>
        <item x="72"/>
        <item x="69"/>
        <item x="87"/>
        <item x="90"/>
        <item x="84"/>
        <item x="89"/>
        <item x="92"/>
        <item x="113"/>
        <item x="110"/>
        <item x="93"/>
        <item x="107"/>
        <item x="105"/>
        <item x="112"/>
        <item x="109"/>
        <item x="106"/>
        <item x="104"/>
        <item x="115"/>
        <item x="108"/>
        <item x="111"/>
        <item x="96"/>
        <item x="119"/>
        <item x="102"/>
        <item x="114"/>
        <item x="118"/>
        <item x="95"/>
        <item x="91"/>
        <item x="117"/>
        <item x="99"/>
        <item x="116"/>
        <item x="103"/>
        <item x="98"/>
        <item x="120"/>
        <item x="101"/>
        <item x="122"/>
        <item x="133"/>
        <item x="130"/>
        <item x="94"/>
        <item x="135"/>
        <item x="132"/>
        <item x="136"/>
        <item x="137"/>
        <item x="134"/>
        <item x="131"/>
        <item x="128"/>
        <item x="138"/>
        <item x="129"/>
        <item x="140"/>
        <item x="142"/>
        <item x="123"/>
        <item x="141"/>
        <item x="97"/>
        <item x="121"/>
        <item x="100"/>
        <item x="144"/>
        <item x="139"/>
        <item x="143"/>
        <item x="158"/>
        <item x="125"/>
        <item x="127"/>
        <item x="156"/>
        <item x="161"/>
        <item x="153"/>
        <item x="146"/>
        <item x="155"/>
        <item x="157"/>
        <item x="164"/>
        <item x="154"/>
        <item x="147"/>
        <item x="145"/>
        <item x="126"/>
        <item x="150"/>
        <item x="124"/>
        <item x="152"/>
        <item x="151"/>
        <item x="162"/>
        <item x="149"/>
        <item x="167"/>
        <item x="159"/>
        <item x="148"/>
        <item x="170"/>
        <item x="165"/>
        <item x="160"/>
        <item x="173"/>
        <item x="168"/>
        <item x="163"/>
        <item x="171"/>
        <item x="166"/>
        <item x="169"/>
        <item x="172"/>
        <item x="175"/>
        <item x="184"/>
        <item x="176"/>
        <item x="186"/>
        <item x="174"/>
        <item x="178"/>
        <item x="189"/>
        <item x="181"/>
        <item x="185"/>
        <item x="187"/>
        <item x="190"/>
        <item x="188"/>
        <item x="183"/>
        <item x="179"/>
        <item x="192"/>
        <item x="182"/>
        <item x="193"/>
        <item x="177"/>
        <item x="191"/>
        <item x="180"/>
        <item x="195"/>
        <item x="196"/>
        <item x="194"/>
        <item x="201"/>
        <item x="202"/>
        <item x="197"/>
        <item x="199"/>
        <item x="200"/>
        <item x="198"/>
        <item x="210"/>
        <item x="224"/>
        <item x="213"/>
        <item x="226"/>
        <item x="212"/>
        <item x="207"/>
        <item x="221"/>
        <item x="219"/>
        <item x="216"/>
        <item x="215"/>
        <item x="227"/>
        <item x="223"/>
        <item x="204"/>
        <item x="209"/>
        <item x="218"/>
        <item x="225"/>
        <item x="229"/>
        <item x="206"/>
        <item x="211"/>
        <item x="214"/>
        <item x="222"/>
        <item x="217"/>
        <item x="220"/>
        <item x="252"/>
        <item x="205"/>
        <item x="228"/>
        <item x="208"/>
        <item x="231"/>
        <item x="254"/>
        <item x="232"/>
        <item x="253"/>
        <item x="251"/>
        <item x="247"/>
        <item x="235"/>
        <item x="234"/>
        <item x="256"/>
        <item x="249"/>
        <item x="237"/>
        <item x="244"/>
        <item x="250"/>
        <item x="241"/>
        <item x="230"/>
        <item x="243"/>
        <item x="271"/>
        <item x="233"/>
        <item x="238"/>
        <item x="246"/>
        <item x="248"/>
        <item x="255"/>
        <item x="236"/>
        <item x="272"/>
        <item x="273"/>
        <item x="240"/>
        <item x="281"/>
        <item x="278"/>
        <item x="242"/>
        <item x="287"/>
        <item x="257"/>
        <item x="284"/>
        <item x="245"/>
        <item x="276"/>
        <item x="283"/>
        <item x="275"/>
        <item x="288"/>
        <item x="280"/>
        <item x="260"/>
        <item x="259"/>
        <item x="268"/>
        <item x="239"/>
        <item x="289"/>
        <item x="261"/>
        <item x="286"/>
        <item x="282"/>
        <item x="270"/>
        <item x="279"/>
        <item x="274"/>
        <item x="290"/>
        <item x="262"/>
        <item x="277"/>
        <item x="285"/>
        <item x="258"/>
        <item x="264"/>
        <item x="269"/>
        <item x="265"/>
        <item x="267"/>
        <item x="263"/>
        <item x="266"/>
        <item x="2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DE739-4B42-4F8E-98F1-35407A849C5B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F21:AG25" firstHeaderRow="1" firstDataRow="1" firstDataCol="1"/>
  <pivotFields count="30">
    <pivotField axis="axisRow" dataField="1"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ect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4452-DBDC-4E36-A464-F56FE21C5D8D}">
  <dimension ref="A1:Y83"/>
  <sheetViews>
    <sheetView showGridLines="0" zoomScale="67" zoomScaleNormal="62" workbookViewId="0">
      <selection activeCell="G28" sqref="G28"/>
    </sheetView>
  </sheetViews>
  <sheetFormatPr defaultRowHeight="14.5" x14ac:dyDescent="0.35"/>
  <cols>
    <col min="1" max="1" width="10.90625" bestFit="1" customWidth="1"/>
    <col min="12" max="12" width="8.7265625" customWidth="1"/>
    <col min="13" max="13" width="0.54296875" customWidth="1"/>
    <col min="14" max="14" width="10.90625" bestFit="1" customWidth="1"/>
  </cols>
  <sheetData>
    <row r="1" spans="1:25" x14ac:dyDescent="0.35">
      <c r="A1" s="86" t="s">
        <v>172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25" x14ac:dyDescent="0.3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5" x14ac:dyDescent="0.3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1:25" x14ac:dyDescent="0.35">
      <c r="A4" s="81" t="s">
        <v>137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N4" s="81" t="s">
        <v>173</v>
      </c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 spans="1:25" x14ac:dyDescent="0.35">
      <c r="J6" s="27"/>
      <c r="K6" s="26"/>
      <c r="L6" s="26"/>
    </row>
    <row r="7" spans="1:25" x14ac:dyDescent="0.35">
      <c r="J7" s="26"/>
      <c r="K7" s="26"/>
      <c r="L7" s="26"/>
    </row>
    <row r="8" spans="1:25" x14ac:dyDescent="0.35">
      <c r="J8" s="26"/>
      <c r="K8" s="26"/>
      <c r="L8" s="26"/>
    </row>
    <row r="9" spans="1:25" x14ac:dyDescent="0.35">
      <c r="J9" s="26"/>
      <c r="K9" s="26"/>
      <c r="L9" s="26"/>
    </row>
    <row r="10" spans="1:25" x14ac:dyDescent="0.35">
      <c r="J10" s="26"/>
      <c r="K10" s="26"/>
      <c r="L10" s="26"/>
    </row>
    <row r="11" spans="1:25" x14ac:dyDescent="0.35">
      <c r="J11" s="26"/>
      <c r="K11" s="26"/>
      <c r="L11" s="26"/>
    </row>
    <row r="12" spans="1:25" x14ac:dyDescent="0.35">
      <c r="J12" s="26"/>
      <c r="K12" s="26"/>
      <c r="L12" s="26"/>
    </row>
    <row r="13" spans="1:25" x14ac:dyDescent="0.35">
      <c r="J13" s="26"/>
      <c r="K13" s="26"/>
      <c r="L13" s="26"/>
    </row>
    <row r="14" spans="1:25" x14ac:dyDescent="0.35">
      <c r="J14" s="26"/>
      <c r="K14" s="26"/>
      <c r="L14" s="26"/>
    </row>
    <row r="15" spans="1:25" x14ac:dyDescent="0.35">
      <c r="J15" s="26"/>
      <c r="K15" s="26"/>
      <c r="L15" s="26"/>
    </row>
    <row r="16" spans="1:25" x14ac:dyDescent="0.35">
      <c r="J16" s="26"/>
      <c r="K16" s="26"/>
      <c r="L16" s="26"/>
    </row>
    <row r="17" spans="1:25" x14ac:dyDescent="0.35">
      <c r="J17" s="26"/>
      <c r="K17" s="26"/>
      <c r="L17" s="26"/>
    </row>
    <row r="18" spans="1:25" x14ac:dyDescent="0.35">
      <c r="J18" s="26"/>
      <c r="K18" s="26"/>
      <c r="L18" s="26"/>
    </row>
    <row r="19" spans="1:25" x14ac:dyDescent="0.35">
      <c r="J19" s="26"/>
      <c r="K19" s="26"/>
      <c r="L19" s="26"/>
    </row>
    <row r="20" spans="1:25" x14ac:dyDescent="0.35">
      <c r="J20" s="26"/>
      <c r="K20" s="26"/>
      <c r="L20" s="26"/>
    </row>
    <row r="21" spans="1:25" x14ac:dyDescent="0.35">
      <c r="A21" s="85" t="s">
        <v>132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N21" s="82" t="s">
        <v>132</v>
      </c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5" x14ac:dyDescent="0.35">
      <c r="A22" s="83" t="s">
        <v>133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N22" s="83" t="s">
        <v>280</v>
      </c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</row>
    <row r="23" spans="1:25" x14ac:dyDescent="0.35">
      <c r="A23" s="38" t="s">
        <v>202</v>
      </c>
      <c r="B23" s="31" t="s">
        <v>134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N23" s="88" t="s">
        <v>221</v>
      </c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</row>
    <row r="24" spans="1:25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</row>
    <row r="25" spans="1:25" x14ac:dyDescent="0.3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</row>
    <row r="26" spans="1:25" x14ac:dyDescent="0.3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</row>
    <row r="27" spans="1:25" x14ac:dyDescent="0.3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</row>
    <row r="29" spans="1:25" x14ac:dyDescent="0.35">
      <c r="A29" s="81" t="s">
        <v>174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N29" s="81" t="s">
        <v>136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x14ac:dyDescent="0.35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49" spans="1:25" x14ac:dyDescent="0.35">
      <c r="A49" s="82" t="s">
        <v>132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N49" s="82" t="s">
        <v>132</v>
      </c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</row>
    <row r="50" spans="1:25" x14ac:dyDescent="0.35">
      <c r="A50" s="83" t="s">
        <v>281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N50" s="83" t="s">
        <v>139</v>
      </c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</row>
    <row r="51" spans="1:25" x14ac:dyDescent="0.35">
      <c r="A51" s="30" t="s">
        <v>135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N51" s="83" t="s">
        <v>220</v>
      </c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</row>
    <row r="52" spans="1:25" x14ac:dyDescent="0.35">
      <c r="A52" s="84" t="s">
        <v>138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N52" s="84" t="s">
        <v>140</v>
      </c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x14ac:dyDescent="0.3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</row>
    <row r="54" spans="1:25" x14ac:dyDescent="0.3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</row>
    <row r="55" spans="1:25" x14ac:dyDescent="0.3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</row>
    <row r="56" spans="1:25" x14ac:dyDescent="0.3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</row>
    <row r="58" spans="1:25" x14ac:dyDescent="0.35">
      <c r="A58" s="81" t="s">
        <v>142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</row>
    <row r="59" spans="1:25" x14ac:dyDescent="0.35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</row>
    <row r="76" spans="1:12" x14ac:dyDescent="0.35">
      <c r="A76" s="82" t="s">
        <v>132</v>
      </c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</row>
    <row r="77" spans="1:12" x14ac:dyDescent="0.35">
      <c r="A77" s="83" t="s">
        <v>212</v>
      </c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</row>
    <row r="78" spans="1:12" x14ac:dyDescent="0.35">
      <c r="A78" s="83" t="s">
        <v>207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</row>
    <row r="79" spans="1:12" x14ac:dyDescent="0.35">
      <c r="A79" s="84" t="s">
        <v>144</v>
      </c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</row>
    <row r="80" spans="1:12" x14ac:dyDescent="0.35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1:12" x14ac:dyDescent="0.35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1:12" x14ac:dyDescent="0.3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1:12" x14ac:dyDescent="0.35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</sheetData>
  <mergeCells count="27">
    <mergeCell ref="A4:L5"/>
    <mergeCell ref="A21:L21"/>
    <mergeCell ref="A22:L22"/>
    <mergeCell ref="A24:L27"/>
    <mergeCell ref="A1:Y3"/>
    <mergeCell ref="N4:Y5"/>
    <mergeCell ref="N21:Y21"/>
    <mergeCell ref="N22:Y22"/>
    <mergeCell ref="N24:Y27"/>
    <mergeCell ref="N23:Y23"/>
    <mergeCell ref="A49:L49"/>
    <mergeCell ref="A50:L50"/>
    <mergeCell ref="A52:L52"/>
    <mergeCell ref="A53:L56"/>
    <mergeCell ref="N29:Y30"/>
    <mergeCell ref="N49:Y49"/>
    <mergeCell ref="N50:Y50"/>
    <mergeCell ref="N51:Y51"/>
    <mergeCell ref="N52:Y52"/>
    <mergeCell ref="A29:L30"/>
    <mergeCell ref="A80:L83"/>
    <mergeCell ref="N53:Y56"/>
    <mergeCell ref="A58:L59"/>
    <mergeCell ref="A76:L76"/>
    <mergeCell ref="A77:L77"/>
    <mergeCell ref="A78:L78"/>
    <mergeCell ref="A79:L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8E13-D0EE-4A10-A643-77DC8E7EA860}">
  <dimension ref="A1:AD373"/>
  <sheetViews>
    <sheetView topLeftCell="C1" zoomScale="67" workbookViewId="0">
      <selection activeCell="E268" sqref="E268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sheetProtection algorithmName="SHA-512" hashValue="5etD563Mqo0ekNqHY3+golDWYCd7EcqsLzxBvvPPSCuMIZMPMfAVW9wWvOiByc7M2dkVJKtK2JyZjN51WmJZdA==" saltValue="02e1GFhq41Y+Tm86hzIk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0A7-B4BA-46DD-8271-82860EDFB182}">
  <dimension ref="A1:BB374"/>
  <sheetViews>
    <sheetView topLeftCell="AG8" zoomScale="76" workbookViewId="0">
      <selection activeCell="AE4" sqref="AE4"/>
    </sheetView>
  </sheetViews>
  <sheetFormatPr defaultRowHeight="14.5" x14ac:dyDescent="0.35"/>
  <cols>
    <col min="32" max="32" width="12.36328125" bestFit="1" customWidth="1"/>
    <col min="33" max="33" width="12.26953125" bestFit="1" customWidth="1"/>
    <col min="34" max="34" width="8.26953125" bestFit="1" customWidth="1"/>
    <col min="35" max="36" width="8.26953125" customWidth="1"/>
    <col min="37" max="37" width="14.54296875" bestFit="1" customWidth="1"/>
    <col min="38" max="38" width="16.26953125" bestFit="1" customWidth="1"/>
    <col min="39" max="48" width="5.36328125" bestFit="1" customWidth="1"/>
    <col min="49" max="49" width="10.81640625" bestFit="1" customWidth="1"/>
    <col min="51" max="51" width="29.26953125" bestFit="1" customWidth="1"/>
    <col min="52" max="52" width="30.7265625" bestFit="1" customWidth="1"/>
    <col min="53" max="53" width="22.6328125" bestFit="1" customWidth="1"/>
    <col min="54" max="54" width="55.4531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s="89" t="s">
        <v>1</v>
      </c>
      <c r="AG1" s="89"/>
      <c r="AK1" s="90" t="s">
        <v>156</v>
      </c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Y1" s="59" t="s">
        <v>150</v>
      </c>
      <c r="AZ1" s="59" t="s">
        <v>164</v>
      </c>
    </row>
    <row r="2" spans="1:54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F2" s="49" t="s">
        <v>145</v>
      </c>
      <c r="AG2" t="s">
        <v>149</v>
      </c>
      <c r="AK2" s="49" t="s">
        <v>148</v>
      </c>
      <c r="AL2" s="49" t="s">
        <v>147</v>
      </c>
      <c r="AY2" s="5" t="s">
        <v>68</v>
      </c>
      <c r="AZ2" s="5" t="s">
        <v>153</v>
      </c>
    </row>
    <row r="3" spans="1:54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  <c r="AF3" s="50">
        <v>2013</v>
      </c>
      <c r="AG3">
        <v>36</v>
      </c>
      <c r="AK3" s="49" t="s">
        <v>145</v>
      </c>
      <c r="AL3">
        <v>2013</v>
      </c>
      <c r="AM3">
        <v>2014</v>
      </c>
      <c r="AN3">
        <v>2015</v>
      </c>
      <c r="AO3">
        <v>2016</v>
      </c>
      <c r="AP3">
        <v>2017</v>
      </c>
      <c r="AQ3">
        <v>2018</v>
      </c>
      <c r="AR3">
        <v>2019</v>
      </c>
      <c r="AS3">
        <v>2020</v>
      </c>
      <c r="AT3">
        <v>2021</v>
      </c>
      <c r="AU3">
        <v>2022</v>
      </c>
      <c r="AV3">
        <v>2023</v>
      </c>
      <c r="AW3" t="s">
        <v>146</v>
      </c>
      <c r="AY3" s="5" t="s">
        <v>151</v>
      </c>
      <c r="AZ3" s="5" t="s">
        <v>154</v>
      </c>
    </row>
    <row r="4" spans="1:54" ht="29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  <c r="AF4" s="50">
        <v>2014</v>
      </c>
      <c r="AG4">
        <v>36</v>
      </c>
      <c r="AK4" s="50" t="s">
        <v>31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33</v>
      </c>
      <c r="AY4" s="51" t="s">
        <v>152</v>
      </c>
      <c r="AZ4" s="5" t="s">
        <v>154</v>
      </c>
    </row>
    <row r="5" spans="1:54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  <c r="AF5" s="50">
        <v>2015</v>
      </c>
      <c r="AG5">
        <v>36</v>
      </c>
      <c r="AK5" s="50" t="s">
        <v>35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33</v>
      </c>
      <c r="AY5" s="56"/>
    </row>
    <row r="6" spans="1:54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  <c r="AF6" s="50">
        <v>2016</v>
      </c>
      <c r="AG6">
        <v>36</v>
      </c>
      <c r="AK6" s="50" t="s">
        <v>36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33</v>
      </c>
      <c r="AY6" s="39"/>
    </row>
    <row r="7" spans="1:54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  <c r="AF7" s="50">
        <v>2017</v>
      </c>
      <c r="AG7">
        <v>36</v>
      </c>
      <c r="AK7" s="50" t="s">
        <v>37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S7">
        <v>3</v>
      </c>
      <c r="AT7">
        <v>3</v>
      </c>
      <c r="AU7">
        <v>3</v>
      </c>
      <c r="AV7">
        <v>3</v>
      </c>
      <c r="AW7">
        <v>30</v>
      </c>
    </row>
    <row r="8" spans="1:54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  <c r="AF8" s="50">
        <v>2018</v>
      </c>
      <c r="AG8">
        <v>36</v>
      </c>
      <c r="AK8" s="50" t="s">
        <v>38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33</v>
      </c>
    </row>
    <row r="9" spans="1:54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  <c r="AF9" s="50">
        <v>2019</v>
      </c>
      <c r="AG9">
        <v>33</v>
      </c>
      <c r="AK9" s="50" t="s">
        <v>39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W9">
        <v>30</v>
      </c>
      <c r="AY9" s="58" t="s">
        <v>167</v>
      </c>
      <c r="AZ9" s="58" t="s">
        <v>169</v>
      </c>
      <c r="BA9" s="58" t="s">
        <v>170</v>
      </c>
      <c r="BB9" s="58" t="s">
        <v>164</v>
      </c>
    </row>
    <row r="10" spans="1:54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  <c r="AF10" s="50">
        <v>2020</v>
      </c>
      <c r="AG10">
        <v>36</v>
      </c>
      <c r="AK10" s="50" t="s">
        <v>40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W10">
        <v>30</v>
      </c>
      <c r="AY10" s="55" t="s">
        <v>3</v>
      </c>
      <c r="AZ10" s="55">
        <v>3</v>
      </c>
      <c r="BA10" s="55">
        <v>0</v>
      </c>
      <c r="BB10" s="55" t="s">
        <v>165</v>
      </c>
    </row>
    <row r="11" spans="1:54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  <c r="AF11" s="50">
        <v>2021</v>
      </c>
      <c r="AG11">
        <v>36</v>
      </c>
      <c r="AK11" s="50" t="s">
        <v>41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W11">
        <v>30</v>
      </c>
      <c r="AY11" s="55" t="s">
        <v>4</v>
      </c>
      <c r="AZ11" s="55">
        <v>6</v>
      </c>
      <c r="BA11" s="55">
        <v>0</v>
      </c>
      <c r="BB11" s="55" t="s">
        <v>166</v>
      </c>
    </row>
    <row r="12" spans="1:54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  <c r="AF12" s="50">
        <v>2022</v>
      </c>
      <c r="AG12">
        <v>36</v>
      </c>
      <c r="AK12" s="50" t="s">
        <v>42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W12">
        <v>30</v>
      </c>
      <c r="AY12" s="55" t="s">
        <v>5</v>
      </c>
      <c r="AZ12" s="55">
        <v>3</v>
      </c>
      <c r="BA12" s="55">
        <v>0</v>
      </c>
      <c r="BB12" s="55" t="s">
        <v>166</v>
      </c>
    </row>
    <row r="13" spans="1:54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  <c r="AF13" s="50">
        <v>2023</v>
      </c>
      <c r="AG13">
        <v>15</v>
      </c>
      <c r="AK13" s="50" t="s">
        <v>43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W13">
        <v>30</v>
      </c>
      <c r="AY13" s="55" t="s">
        <v>6</v>
      </c>
      <c r="AZ13" s="55">
        <v>3</v>
      </c>
      <c r="BA13" s="55">
        <v>0</v>
      </c>
      <c r="BB13" s="55" t="s">
        <v>166</v>
      </c>
    </row>
    <row r="14" spans="1:54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  <c r="AF14" s="50" t="s">
        <v>146</v>
      </c>
      <c r="AG14">
        <v>372</v>
      </c>
      <c r="AK14" s="50" t="s">
        <v>45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W14">
        <v>30</v>
      </c>
      <c r="AY14" s="55" t="s">
        <v>7</v>
      </c>
      <c r="AZ14" s="55">
        <v>3</v>
      </c>
      <c r="BA14" s="55">
        <v>0</v>
      </c>
      <c r="BB14" s="55" t="s">
        <v>166</v>
      </c>
    </row>
    <row r="15" spans="1:54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  <c r="AK15" s="50" t="s">
        <v>46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W15">
        <v>30</v>
      </c>
      <c r="AY15" s="55" t="s">
        <v>8</v>
      </c>
      <c r="AZ15" s="55">
        <v>3</v>
      </c>
      <c r="BA15" s="55">
        <v>0</v>
      </c>
      <c r="BB15" s="55" t="s">
        <v>166</v>
      </c>
    </row>
    <row r="16" spans="1:54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  <c r="AI16" s="53"/>
      <c r="AJ16" s="53"/>
      <c r="AK16" s="50" t="s">
        <v>146</v>
      </c>
      <c r="AL16">
        <v>36</v>
      </c>
      <c r="AM16">
        <v>36</v>
      </c>
      <c r="AN16">
        <v>36</v>
      </c>
      <c r="AO16">
        <v>36</v>
      </c>
      <c r="AP16">
        <v>36</v>
      </c>
      <c r="AQ16">
        <v>36</v>
      </c>
      <c r="AR16">
        <v>33</v>
      </c>
      <c r="AS16">
        <v>36</v>
      </c>
      <c r="AT16">
        <v>36</v>
      </c>
      <c r="AU16">
        <v>36</v>
      </c>
      <c r="AV16">
        <v>15</v>
      </c>
      <c r="AW16">
        <v>372</v>
      </c>
      <c r="AY16" s="55" t="s">
        <v>9</v>
      </c>
      <c r="AZ16" s="55">
        <v>3</v>
      </c>
      <c r="BA16" s="55">
        <v>0</v>
      </c>
      <c r="BB16" s="55" t="s">
        <v>166</v>
      </c>
    </row>
    <row r="17" spans="1:54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  <c r="AI17" s="53"/>
      <c r="AJ17" s="53"/>
      <c r="AY17" s="55" t="s">
        <v>10</v>
      </c>
      <c r="AZ17" s="55">
        <v>3</v>
      </c>
      <c r="BA17" s="55">
        <v>0</v>
      </c>
      <c r="BB17" s="55" t="s">
        <v>166</v>
      </c>
    </row>
    <row r="18" spans="1:54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  <c r="AK18" s="54" t="s">
        <v>157</v>
      </c>
      <c r="AL18" s="52"/>
      <c r="AM18" s="52"/>
      <c r="AN18" s="52"/>
      <c r="AO18" s="52"/>
      <c r="AY18" s="55" t="s">
        <v>11</v>
      </c>
      <c r="AZ18" s="55">
        <v>3</v>
      </c>
      <c r="BA18" s="55">
        <v>0</v>
      </c>
      <c r="BB18" s="55" t="s">
        <v>166</v>
      </c>
    </row>
    <row r="19" spans="1:54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  <c r="AK19" s="54" t="s">
        <v>158</v>
      </c>
      <c r="AL19" s="52"/>
      <c r="AM19" s="52"/>
      <c r="AN19" s="52"/>
      <c r="AO19" s="52"/>
      <c r="AY19" s="55" t="s">
        <v>12</v>
      </c>
      <c r="AZ19" s="55">
        <v>3</v>
      </c>
      <c r="BA19" s="55">
        <v>0</v>
      </c>
      <c r="BB19" s="55" t="s">
        <v>166</v>
      </c>
    </row>
    <row r="20" spans="1:54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  <c r="AF20" s="91" t="s">
        <v>161</v>
      </c>
      <c r="AG20" s="91"/>
      <c r="AK20" s="54" t="s">
        <v>159</v>
      </c>
      <c r="AL20" s="52"/>
      <c r="AM20" s="52"/>
      <c r="AN20" s="52"/>
      <c r="AO20" s="52"/>
      <c r="AY20" s="55" t="s">
        <v>13</v>
      </c>
      <c r="AZ20" s="55">
        <v>3</v>
      </c>
      <c r="BA20" s="55">
        <v>0</v>
      </c>
      <c r="BB20" s="55" t="s">
        <v>166</v>
      </c>
    </row>
    <row r="21" spans="1:54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  <c r="AF21" s="49" t="s">
        <v>145</v>
      </c>
      <c r="AG21" t="s">
        <v>155</v>
      </c>
      <c r="AK21" s="54" t="s">
        <v>162</v>
      </c>
      <c r="AL21" s="52"/>
      <c r="AM21" s="52"/>
      <c r="AN21" s="52"/>
      <c r="AO21" s="52"/>
      <c r="AY21" s="55" t="s">
        <v>14</v>
      </c>
      <c r="AZ21" s="55">
        <v>6</v>
      </c>
      <c r="BA21" s="55">
        <v>0</v>
      </c>
      <c r="BB21" s="55" t="s">
        <v>166</v>
      </c>
    </row>
    <row r="22" spans="1:54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  <c r="AF22" s="50" t="s">
        <v>30</v>
      </c>
      <c r="AG22">
        <v>124</v>
      </c>
      <c r="AK22" s="54" t="s">
        <v>163</v>
      </c>
      <c r="AL22" s="52"/>
      <c r="AM22" s="52"/>
      <c r="AN22" s="52"/>
      <c r="AO22" s="52"/>
      <c r="AY22" s="55" t="s">
        <v>15</v>
      </c>
      <c r="AZ22" s="55">
        <v>3</v>
      </c>
      <c r="BA22" s="55">
        <v>0</v>
      </c>
      <c r="BB22" s="55" t="s">
        <v>166</v>
      </c>
    </row>
    <row r="23" spans="1:54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  <c r="AF23" s="50" t="s">
        <v>34</v>
      </c>
      <c r="AG23">
        <v>124</v>
      </c>
      <c r="AY23" s="55" t="s">
        <v>16</v>
      </c>
      <c r="AZ23" s="55">
        <v>6</v>
      </c>
      <c r="BA23" s="55">
        <v>0</v>
      </c>
      <c r="BB23" s="55" t="s">
        <v>166</v>
      </c>
    </row>
    <row r="24" spans="1:54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  <c r="AF24" s="50" t="s">
        <v>33</v>
      </c>
      <c r="AG24">
        <v>124</v>
      </c>
      <c r="AY24" s="55" t="s">
        <v>17</v>
      </c>
      <c r="AZ24" s="55">
        <v>6</v>
      </c>
      <c r="BA24" s="55">
        <v>0</v>
      </c>
      <c r="BB24" s="55" t="s">
        <v>166</v>
      </c>
    </row>
    <row r="25" spans="1:54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  <c r="AF25" s="50" t="s">
        <v>146</v>
      </c>
      <c r="AG25">
        <v>372</v>
      </c>
      <c r="AY25" s="55" t="s">
        <v>18</v>
      </c>
      <c r="AZ25" s="55">
        <v>6</v>
      </c>
      <c r="BA25" s="55">
        <v>0</v>
      </c>
      <c r="BB25" s="55" t="s">
        <v>166</v>
      </c>
    </row>
    <row r="26" spans="1:54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  <c r="AY26" s="55" t="s">
        <v>19</v>
      </c>
      <c r="AZ26" s="55">
        <v>6</v>
      </c>
      <c r="BA26" s="55">
        <v>0</v>
      </c>
      <c r="BB26" s="55" t="s">
        <v>166</v>
      </c>
    </row>
    <row r="27" spans="1:54" ht="29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  <c r="AF27" s="54" t="s">
        <v>160</v>
      </c>
      <c r="AY27" s="55" t="s">
        <v>20</v>
      </c>
      <c r="AZ27" s="55">
        <v>126</v>
      </c>
      <c r="BA27" s="55">
        <v>0</v>
      </c>
      <c r="BB27" s="57" t="s">
        <v>168</v>
      </c>
    </row>
    <row r="28" spans="1:54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  <c r="AY28" s="55" t="s">
        <v>21</v>
      </c>
      <c r="AZ28" s="55">
        <v>3</v>
      </c>
      <c r="BA28" s="55">
        <v>0</v>
      </c>
      <c r="BB28" s="55" t="s">
        <v>165</v>
      </c>
    </row>
    <row r="29" spans="1:54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  <c r="AY29" s="55" t="s">
        <v>22</v>
      </c>
      <c r="AZ29" s="55">
        <v>6</v>
      </c>
      <c r="BA29" s="55">
        <v>0</v>
      </c>
      <c r="BB29" s="55" t="s">
        <v>166</v>
      </c>
    </row>
    <row r="30" spans="1:54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  <c r="AF30" s="40"/>
      <c r="AG30" s="41"/>
      <c r="AH30" s="42"/>
      <c r="AY30" s="55" t="s">
        <v>23</v>
      </c>
      <c r="AZ30" s="55">
        <v>3</v>
      </c>
      <c r="BA30" s="55">
        <v>0</v>
      </c>
      <c r="BB30" s="55" t="s">
        <v>166</v>
      </c>
    </row>
    <row r="31" spans="1:54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  <c r="AF31" s="43"/>
      <c r="AG31" s="44"/>
      <c r="AH31" s="45"/>
      <c r="AY31" s="55" t="s">
        <v>24</v>
      </c>
      <c r="AZ31" s="55">
        <v>6</v>
      </c>
      <c r="BA31" s="55">
        <v>0</v>
      </c>
      <c r="BB31" s="55" t="s">
        <v>166</v>
      </c>
    </row>
    <row r="32" spans="1:54" x14ac:dyDescent="0.3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  <c r="AF32" s="43"/>
      <c r="AG32" s="44"/>
      <c r="AH32" s="45"/>
      <c r="AY32" s="55" t="s">
        <v>25</v>
      </c>
      <c r="AZ32" s="55">
        <v>6</v>
      </c>
      <c r="BA32" s="55">
        <v>0</v>
      </c>
      <c r="BB32" s="55" t="s">
        <v>166</v>
      </c>
    </row>
    <row r="33" spans="1:54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  <c r="AF33" s="43"/>
      <c r="AG33" s="44"/>
      <c r="AH33" s="45"/>
      <c r="AY33" s="55" t="s">
        <v>26</v>
      </c>
      <c r="AZ33" s="55">
        <v>6</v>
      </c>
      <c r="BA33" s="55">
        <v>0</v>
      </c>
      <c r="BB33" s="55" t="s">
        <v>166</v>
      </c>
    </row>
    <row r="34" spans="1:54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  <c r="AF34" s="43"/>
      <c r="AG34" s="44"/>
      <c r="AH34" s="45"/>
      <c r="AY34" s="55" t="s">
        <v>27</v>
      </c>
      <c r="AZ34" s="55">
        <v>6</v>
      </c>
      <c r="BA34" s="55">
        <v>0</v>
      </c>
      <c r="BB34" s="55" t="s">
        <v>166</v>
      </c>
    </row>
    <row r="35" spans="1:54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  <c r="AF35" s="43"/>
      <c r="AG35" s="44"/>
      <c r="AH35" s="45"/>
      <c r="AY35" s="55" t="s">
        <v>28</v>
      </c>
      <c r="AZ35" s="55">
        <v>6</v>
      </c>
      <c r="BA35" s="55">
        <v>0</v>
      </c>
      <c r="BB35" s="55" t="s">
        <v>166</v>
      </c>
    </row>
    <row r="36" spans="1:54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  <c r="AF36" s="43"/>
      <c r="AG36" s="44"/>
      <c r="AH36" s="45"/>
      <c r="AY36" s="55" t="s">
        <v>29</v>
      </c>
      <c r="AZ36" s="55">
        <v>6</v>
      </c>
      <c r="BA36" s="55">
        <v>0</v>
      </c>
      <c r="BB36" s="55" t="s">
        <v>166</v>
      </c>
    </row>
    <row r="37" spans="1:54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  <c r="AF37" s="43"/>
      <c r="AG37" s="44"/>
      <c r="AH37" s="45"/>
    </row>
    <row r="38" spans="1:54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  <c r="AF38" s="43"/>
      <c r="AG38" s="44"/>
      <c r="AH38" s="45"/>
    </row>
    <row r="39" spans="1:54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  <c r="AF39" s="43"/>
      <c r="AG39" s="44"/>
      <c r="AH39" s="45"/>
    </row>
    <row r="40" spans="1:54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  <c r="AF40" s="43"/>
      <c r="AG40" s="44"/>
      <c r="AH40" s="45"/>
    </row>
    <row r="41" spans="1:54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  <c r="AF41" s="43"/>
      <c r="AG41" s="44"/>
      <c r="AH41" s="45"/>
    </row>
    <row r="42" spans="1:54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  <c r="AF42" s="43"/>
      <c r="AG42" s="44"/>
      <c r="AH42" s="45"/>
    </row>
    <row r="43" spans="1:54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  <c r="AF43" s="43"/>
      <c r="AG43" s="44"/>
      <c r="AH43" s="45"/>
    </row>
    <row r="44" spans="1:54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  <c r="AF44" s="43"/>
      <c r="AG44" s="44"/>
      <c r="AH44" s="45"/>
    </row>
    <row r="45" spans="1:54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  <c r="AF45" s="43"/>
      <c r="AG45" s="44"/>
      <c r="AH45" s="45"/>
    </row>
    <row r="46" spans="1:54" x14ac:dyDescent="0.3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  <c r="AF46" s="43"/>
      <c r="AG46" s="44"/>
      <c r="AH46" s="45"/>
    </row>
    <row r="47" spans="1:54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  <c r="AF47" s="46"/>
      <c r="AG47" s="47"/>
      <c r="AH47" s="48"/>
    </row>
    <row r="48" spans="1:54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P260">
        <v>150.1</v>
      </c>
      <c r="U260" t="s">
        <v>32</v>
      </c>
      <c r="V260">
        <v>148.4</v>
      </c>
      <c r="X260">
        <v>154.30000000000001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P261">
        <v>153.5</v>
      </c>
      <c r="U261">
        <v>155.6</v>
      </c>
      <c r="V261">
        <v>137.1</v>
      </c>
      <c r="X261">
        <v>144.80000000000001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P262">
        <v>151.4</v>
      </c>
      <c r="U262">
        <v>155.6</v>
      </c>
      <c r="V262">
        <v>144.1</v>
      </c>
      <c r="X262">
        <v>150.69999999999999</v>
      </c>
    </row>
    <row r="263" spans="1:30" x14ac:dyDescent="0.35">
      <c r="A263" t="s">
        <v>30</v>
      </c>
      <c r="B263">
        <v>2020</v>
      </c>
      <c r="C263" t="s">
        <v>38</v>
      </c>
      <c r="U263" t="s">
        <v>32</v>
      </c>
    </row>
    <row r="264" spans="1:30" x14ac:dyDescent="0.35">
      <c r="A264" t="s">
        <v>33</v>
      </c>
      <c r="B264">
        <v>2020</v>
      </c>
      <c r="C264" t="s">
        <v>38</v>
      </c>
      <c r="U264" t="s">
        <v>32</v>
      </c>
    </row>
    <row r="265" spans="1:30" x14ac:dyDescent="0.35">
      <c r="A265" t="s">
        <v>34</v>
      </c>
      <c r="B265">
        <v>2020</v>
      </c>
      <c r="C265" t="s">
        <v>38</v>
      </c>
      <c r="U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s="7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s="73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s="73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s="73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  <row r="374" spans="1:30" x14ac:dyDescent="0.35">
      <c r="C374" s="19" t="s">
        <v>269</v>
      </c>
      <c r="D374" s="74">
        <f t="shared" ref="D374:AD374" si="0">COUNTIF(D2:D373,"") + COUNTIF(D2:D373,"NA") + COUNTIF(D2:D373,"-")</f>
        <v>3</v>
      </c>
      <c r="E374" s="74">
        <f t="shared" si="0"/>
        <v>6</v>
      </c>
      <c r="F374" s="74">
        <f t="shared" si="0"/>
        <v>3</v>
      </c>
      <c r="G374" s="74">
        <f t="shared" si="0"/>
        <v>3</v>
      </c>
      <c r="H374" s="74">
        <f t="shared" si="0"/>
        <v>3</v>
      </c>
      <c r="I374" s="74">
        <f t="shared" si="0"/>
        <v>3</v>
      </c>
      <c r="J374" s="74">
        <f t="shared" si="0"/>
        <v>3</v>
      </c>
      <c r="K374" s="74">
        <f t="shared" si="0"/>
        <v>3</v>
      </c>
      <c r="L374" s="74">
        <f t="shared" si="0"/>
        <v>3</v>
      </c>
      <c r="M374" s="74">
        <f t="shared" si="0"/>
        <v>3</v>
      </c>
      <c r="N374" s="74">
        <f t="shared" si="0"/>
        <v>3</v>
      </c>
      <c r="O374" s="74">
        <f t="shared" si="0"/>
        <v>6</v>
      </c>
      <c r="P374" s="74">
        <f t="shared" si="0"/>
        <v>3</v>
      </c>
      <c r="Q374" s="74">
        <f t="shared" si="0"/>
        <v>6</v>
      </c>
      <c r="R374" s="74">
        <f t="shared" si="0"/>
        <v>6</v>
      </c>
      <c r="S374" s="74">
        <f t="shared" si="0"/>
        <v>6</v>
      </c>
      <c r="T374" s="74">
        <f t="shared" si="0"/>
        <v>6</v>
      </c>
      <c r="U374" s="74">
        <f t="shared" si="0"/>
        <v>126</v>
      </c>
      <c r="V374" s="74">
        <f t="shared" si="0"/>
        <v>3</v>
      </c>
      <c r="W374" s="74">
        <f t="shared" si="0"/>
        <v>6</v>
      </c>
      <c r="X374" s="74">
        <f t="shared" si="0"/>
        <v>3</v>
      </c>
      <c r="Y374" s="74">
        <f t="shared" si="0"/>
        <v>6</v>
      </c>
      <c r="Z374" s="74">
        <f t="shared" si="0"/>
        <v>6</v>
      </c>
      <c r="AA374" s="74">
        <f t="shared" si="0"/>
        <v>6</v>
      </c>
      <c r="AB374" s="74">
        <f t="shared" si="0"/>
        <v>6</v>
      </c>
      <c r="AC374" s="74">
        <f t="shared" si="0"/>
        <v>6</v>
      </c>
      <c r="AD374" s="74">
        <f t="shared" si="0"/>
        <v>6</v>
      </c>
    </row>
  </sheetData>
  <autoFilter ref="A1:AD373" xr:uid="{784EA0A7-B4BA-46DD-8271-82860EDFB182}"/>
  <mergeCells count="3">
    <mergeCell ref="AF1:AG1"/>
    <mergeCell ref="AK1:AW1"/>
    <mergeCell ref="AF20:AG20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6387-0D78-49F2-AFAC-D022AE57F43A}">
  <dimension ref="A1:DY87"/>
  <sheetViews>
    <sheetView zoomScale="93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R68" sqref="DR68"/>
    </sheetView>
  </sheetViews>
  <sheetFormatPr defaultRowHeight="14.5" x14ac:dyDescent="0.35"/>
  <cols>
    <col min="1" max="1" width="11.36328125" bestFit="1" customWidth="1"/>
    <col min="2" max="2" width="26.36328125" bestFit="1" customWidth="1"/>
    <col min="3" max="3" width="30.7265625" bestFit="1" customWidth="1"/>
    <col min="4" max="4" width="14.1796875" bestFit="1" customWidth="1"/>
    <col min="5" max="5" width="15.26953125" bestFit="1" customWidth="1"/>
    <col min="6" max="6" width="13.08984375" bestFit="1" customWidth="1"/>
    <col min="7" max="7" width="11.6328125" bestFit="1" customWidth="1"/>
    <col min="8" max="8" width="11.36328125" bestFit="1" customWidth="1"/>
    <col min="9" max="9" width="11.54296875" bestFit="1" customWidth="1"/>
    <col min="10" max="10" width="10.81640625" bestFit="1" customWidth="1"/>
    <col min="11" max="11" width="13.453125" bestFit="1" customWidth="1"/>
    <col min="12" max="12" width="16.90625" bestFit="1" customWidth="1"/>
    <col min="13" max="13" width="14.453125" bestFit="1" customWidth="1"/>
    <col min="14" max="14" width="17" bestFit="1" customWidth="1"/>
    <col min="15" max="15" width="16.36328125" bestFit="1" customWidth="1"/>
    <col min="16" max="16" width="14.1796875" bestFit="1" customWidth="1"/>
    <col min="17" max="17" width="15.26953125" bestFit="1" customWidth="1"/>
    <col min="18" max="18" width="13.08984375" bestFit="1" customWidth="1"/>
    <col min="19" max="19" width="11.6328125" bestFit="1" customWidth="1"/>
    <col min="20" max="20" width="11.36328125" bestFit="1" customWidth="1"/>
    <col min="21" max="21" width="11.54296875" bestFit="1" customWidth="1"/>
    <col min="22" max="22" width="10.81640625" bestFit="1" customWidth="1"/>
    <col min="23" max="23" width="13.453125" bestFit="1" customWidth="1"/>
    <col min="24" max="24" width="16.90625" bestFit="1" customWidth="1"/>
    <col min="25" max="25" width="14.453125" bestFit="1" customWidth="1"/>
    <col min="26" max="26" width="16.54296875" bestFit="1" customWidth="1"/>
    <col min="27" max="27" width="16.36328125" bestFit="1" customWidth="1"/>
    <col min="28" max="28" width="14.1796875" bestFit="1" customWidth="1"/>
    <col min="29" max="29" width="15.26953125" bestFit="1" customWidth="1"/>
    <col min="30" max="30" width="13.08984375" bestFit="1" customWidth="1"/>
    <col min="31" max="31" width="11.6328125" bestFit="1" customWidth="1"/>
    <col min="32" max="32" width="11.36328125" bestFit="1" customWidth="1"/>
    <col min="33" max="33" width="11.54296875" bestFit="1" customWidth="1"/>
    <col min="34" max="34" width="10.81640625" bestFit="1" customWidth="1"/>
    <col min="35" max="35" width="13.453125" bestFit="1" customWidth="1"/>
    <col min="36" max="36" width="16.90625" bestFit="1" customWidth="1"/>
    <col min="37" max="37" width="14.453125" bestFit="1" customWidth="1"/>
    <col min="38" max="38" width="16.54296875" bestFit="1" customWidth="1"/>
    <col min="39" max="39" width="16.36328125" bestFit="1" customWidth="1"/>
    <col min="40" max="40" width="14.1796875" bestFit="1" customWidth="1"/>
    <col min="41" max="41" width="15.26953125" bestFit="1" customWidth="1"/>
    <col min="42" max="42" width="13.08984375" bestFit="1" customWidth="1"/>
    <col min="43" max="43" width="11.6328125" bestFit="1" customWidth="1"/>
    <col min="44" max="44" width="11.36328125" bestFit="1" customWidth="1"/>
    <col min="45" max="45" width="11.54296875" bestFit="1" customWidth="1"/>
    <col min="46" max="46" width="10.81640625" bestFit="1" customWidth="1"/>
    <col min="47" max="47" width="13.453125" bestFit="1" customWidth="1"/>
    <col min="48" max="48" width="16.90625" bestFit="1" customWidth="1"/>
    <col min="49" max="49" width="14.453125" bestFit="1" customWidth="1"/>
    <col min="50" max="50" width="16.54296875" bestFit="1" customWidth="1"/>
    <col min="51" max="51" width="16.36328125" bestFit="1" customWidth="1"/>
    <col min="52" max="52" width="14.1796875" bestFit="1" customWidth="1"/>
    <col min="53" max="53" width="15.26953125" bestFit="1" customWidth="1"/>
    <col min="54" max="54" width="13.08984375" bestFit="1" customWidth="1"/>
    <col min="55" max="55" width="11.6328125" bestFit="1" customWidth="1"/>
    <col min="56" max="56" width="11.36328125" bestFit="1" customWidth="1"/>
    <col min="57" max="57" width="11.54296875" bestFit="1" customWidth="1"/>
    <col min="58" max="58" width="10.81640625" bestFit="1" customWidth="1"/>
    <col min="59" max="59" width="13.453125" bestFit="1" customWidth="1"/>
    <col min="60" max="60" width="16.90625" bestFit="1" customWidth="1"/>
    <col min="61" max="61" width="14.453125" bestFit="1" customWidth="1"/>
    <col min="62" max="62" width="16.54296875" bestFit="1" customWidth="1"/>
    <col min="63" max="63" width="16.36328125" bestFit="1" customWidth="1"/>
    <col min="64" max="64" width="14.1796875" bestFit="1" customWidth="1"/>
    <col min="65" max="65" width="15.26953125" bestFit="1" customWidth="1"/>
    <col min="66" max="66" width="13.08984375" bestFit="1" customWidth="1"/>
    <col min="67" max="67" width="11.6328125" bestFit="1" customWidth="1"/>
    <col min="68" max="68" width="11.36328125" bestFit="1" customWidth="1"/>
    <col min="69" max="69" width="11.54296875" bestFit="1" customWidth="1"/>
    <col min="70" max="70" width="10.81640625" bestFit="1" customWidth="1"/>
    <col min="71" max="71" width="13.453125" bestFit="1" customWidth="1"/>
    <col min="72" max="72" width="16.90625" bestFit="1" customWidth="1"/>
    <col min="73" max="73" width="14.453125" bestFit="1" customWidth="1"/>
    <col min="74" max="74" width="16.54296875" bestFit="1" customWidth="1"/>
    <col min="75" max="75" width="16.36328125" bestFit="1" customWidth="1"/>
    <col min="76" max="76" width="14.1796875" bestFit="1" customWidth="1"/>
    <col min="77" max="77" width="15.26953125" bestFit="1" customWidth="1"/>
    <col min="78" max="78" width="13.08984375" bestFit="1" customWidth="1"/>
    <col min="79" max="79" width="11.6328125" bestFit="1" customWidth="1"/>
    <col min="80" max="80" width="11.36328125" bestFit="1" customWidth="1"/>
    <col min="81" max="81" width="11.54296875" bestFit="1" customWidth="1"/>
    <col min="82" max="82" width="10.81640625" bestFit="1" customWidth="1"/>
    <col min="83" max="83" width="13.453125" bestFit="1" customWidth="1"/>
    <col min="84" max="84" width="16.90625" bestFit="1" customWidth="1"/>
    <col min="85" max="85" width="14.453125" bestFit="1" customWidth="1"/>
    <col min="86" max="86" width="16.54296875" bestFit="1" customWidth="1"/>
    <col min="87" max="87" width="16.36328125" bestFit="1" customWidth="1"/>
    <col min="88" max="88" width="14.1796875" bestFit="1" customWidth="1"/>
    <col min="89" max="89" width="15.26953125" bestFit="1" customWidth="1"/>
    <col min="90" max="90" width="13.08984375" bestFit="1" customWidth="1"/>
    <col min="91" max="91" width="11.6328125" bestFit="1" customWidth="1"/>
    <col min="92" max="92" width="11.36328125" bestFit="1" customWidth="1"/>
    <col min="93" max="93" width="11.54296875" bestFit="1" customWidth="1"/>
    <col min="94" max="94" width="10.81640625" bestFit="1" customWidth="1"/>
    <col min="95" max="95" width="13.453125" bestFit="1" customWidth="1"/>
    <col min="96" max="96" width="16.90625" bestFit="1" customWidth="1"/>
    <col min="97" max="97" width="14.453125" bestFit="1" customWidth="1"/>
    <col min="98" max="98" width="16.54296875" bestFit="1" customWidth="1"/>
    <col min="99" max="99" width="16.36328125" bestFit="1" customWidth="1"/>
    <col min="100" max="100" width="14.1796875" bestFit="1" customWidth="1"/>
    <col min="101" max="101" width="15.26953125" bestFit="1" customWidth="1"/>
    <col min="102" max="102" width="13.08984375" bestFit="1" customWidth="1"/>
    <col min="103" max="103" width="11.6328125" bestFit="1" customWidth="1"/>
    <col min="104" max="104" width="11.36328125" bestFit="1" customWidth="1"/>
    <col min="105" max="105" width="11.54296875" bestFit="1" customWidth="1"/>
    <col min="106" max="106" width="10.81640625" bestFit="1" customWidth="1"/>
    <col min="107" max="107" width="13.453125" bestFit="1" customWidth="1"/>
    <col min="108" max="108" width="16.90625" bestFit="1" customWidth="1"/>
    <col min="109" max="109" width="14.453125" bestFit="1" customWidth="1"/>
    <col min="110" max="110" width="16.54296875" bestFit="1" customWidth="1"/>
    <col min="111" max="111" width="16.36328125" bestFit="1" customWidth="1"/>
    <col min="112" max="112" width="14.1796875" bestFit="1" customWidth="1"/>
    <col min="113" max="113" width="15.26953125" bestFit="1" customWidth="1"/>
    <col min="114" max="114" width="13.08984375" bestFit="1" customWidth="1"/>
    <col min="115" max="115" width="11.6328125" bestFit="1" customWidth="1"/>
    <col min="116" max="116" width="11.36328125" bestFit="1" customWidth="1"/>
    <col min="117" max="117" width="11.54296875" bestFit="1" customWidth="1"/>
    <col min="118" max="118" width="10.81640625" bestFit="1" customWidth="1"/>
    <col min="119" max="119" width="13.453125" bestFit="1" customWidth="1"/>
    <col min="120" max="120" width="16.90625" bestFit="1" customWidth="1"/>
    <col min="121" max="121" width="14.453125" bestFit="1" customWidth="1"/>
    <col min="122" max="122" width="16.54296875" bestFit="1" customWidth="1"/>
    <col min="123" max="123" width="16.36328125" bestFit="1" customWidth="1"/>
    <col min="124" max="124" width="14.1796875" bestFit="1" customWidth="1"/>
    <col min="125" max="125" width="15.26953125" bestFit="1" customWidth="1"/>
    <col min="126" max="126" width="13.08984375" bestFit="1" customWidth="1"/>
    <col min="127" max="127" width="11.6328125" bestFit="1" customWidth="1"/>
    <col min="128" max="128" width="11.36328125" bestFit="1" customWidth="1"/>
  </cols>
  <sheetData>
    <row r="1" spans="1:129" x14ac:dyDescent="0.35">
      <c r="A1" s="5"/>
      <c r="B1" s="5"/>
      <c r="C1" s="5"/>
      <c r="D1" s="5">
        <v>2013</v>
      </c>
      <c r="E1" s="5">
        <v>2013</v>
      </c>
      <c r="F1" s="5">
        <v>2013</v>
      </c>
      <c r="G1" s="5">
        <v>2013</v>
      </c>
      <c r="H1" s="5">
        <v>2013</v>
      </c>
      <c r="I1" s="5">
        <v>2013</v>
      </c>
      <c r="J1" s="5">
        <v>2013</v>
      </c>
      <c r="K1" s="5">
        <v>2013</v>
      </c>
      <c r="L1" s="5">
        <v>2013</v>
      </c>
      <c r="M1" s="5">
        <v>2013</v>
      </c>
      <c r="N1" s="5">
        <v>2013</v>
      </c>
      <c r="O1" s="5">
        <v>2013</v>
      </c>
      <c r="P1" s="5">
        <v>2014</v>
      </c>
      <c r="Q1" s="5">
        <v>2014</v>
      </c>
      <c r="R1" s="5">
        <v>2014</v>
      </c>
      <c r="S1" s="5">
        <v>2014</v>
      </c>
      <c r="T1" s="5">
        <v>2014</v>
      </c>
      <c r="U1" s="5">
        <v>2014</v>
      </c>
      <c r="V1" s="5">
        <v>2014</v>
      </c>
      <c r="W1" s="5">
        <v>2014</v>
      </c>
      <c r="X1" s="5">
        <v>2014</v>
      </c>
      <c r="Y1" s="5">
        <v>2014</v>
      </c>
      <c r="Z1" s="5">
        <v>2014</v>
      </c>
      <c r="AA1" s="5">
        <v>2014</v>
      </c>
      <c r="AB1" s="5">
        <v>2015</v>
      </c>
      <c r="AC1" s="5">
        <v>2015</v>
      </c>
      <c r="AD1" s="5">
        <v>2015</v>
      </c>
      <c r="AE1" s="5">
        <v>2015</v>
      </c>
      <c r="AF1" s="5">
        <v>2015</v>
      </c>
      <c r="AG1" s="5">
        <v>2015</v>
      </c>
      <c r="AH1" s="5">
        <v>2015</v>
      </c>
      <c r="AI1" s="5">
        <v>2015</v>
      </c>
      <c r="AJ1" s="5">
        <v>2015</v>
      </c>
      <c r="AK1" s="5">
        <v>2015</v>
      </c>
      <c r="AL1" s="5">
        <v>2015</v>
      </c>
      <c r="AM1" s="5">
        <v>2015</v>
      </c>
      <c r="AN1" s="5">
        <v>2016</v>
      </c>
      <c r="AO1" s="5">
        <v>2016</v>
      </c>
      <c r="AP1" s="5">
        <v>2016</v>
      </c>
      <c r="AQ1" s="5">
        <v>2016</v>
      </c>
      <c r="AR1" s="5">
        <v>2016</v>
      </c>
      <c r="AS1" s="5">
        <v>2016</v>
      </c>
      <c r="AT1" s="5">
        <v>2016</v>
      </c>
      <c r="AU1" s="5">
        <v>2016</v>
      </c>
      <c r="AV1" s="5">
        <v>2016</v>
      </c>
      <c r="AW1" s="5">
        <v>2016</v>
      </c>
      <c r="AX1" s="5">
        <v>2016</v>
      </c>
      <c r="AY1" s="5">
        <v>2016</v>
      </c>
      <c r="AZ1" s="5">
        <v>2017</v>
      </c>
      <c r="BA1" s="5">
        <v>2017</v>
      </c>
      <c r="BB1" s="5">
        <v>2017</v>
      </c>
      <c r="BC1" s="5">
        <v>2017</v>
      </c>
      <c r="BD1" s="5">
        <v>2017</v>
      </c>
      <c r="BE1" s="5">
        <v>2017</v>
      </c>
      <c r="BF1" s="5">
        <v>2017</v>
      </c>
      <c r="BG1" s="5">
        <v>2017</v>
      </c>
      <c r="BH1" s="5">
        <v>2017</v>
      </c>
      <c r="BI1" s="5">
        <v>2017</v>
      </c>
      <c r="BJ1" s="5">
        <v>2017</v>
      </c>
      <c r="BK1" s="5">
        <v>2017</v>
      </c>
      <c r="BL1" s="5">
        <v>2018</v>
      </c>
      <c r="BM1" s="5">
        <v>2018</v>
      </c>
      <c r="BN1" s="5">
        <v>2018</v>
      </c>
      <c r="BO1" s="5">
        <v>2018</v>
      </c>
      <c r="BP1" s="5">
        <v>2018</v>
      </c>
      <c r="BQ1" s="5">
        <v>2018</v>
      </c>
      <c r="BR1" s="5">
        <v>2018</v>
      </c>
      <c r="BS1" s="5">
        <v>2018</v>
      </c>
      <c r="BT1" s="5">
        <v>2018</v>
      </c>
      <c r="BU1" s="5">
        <v>2018</v>
      </c>
      <c r="BV1" s="5">
        <v>2018</v>
      </c>
      <c r="BW1" s="5">
        <v>2018</v>
      </c>
      <c r="BX1" s="5">
        <v>2019</v>
      </c>
      <c r="BY1" s="5">
        <v>2019</v>
      </c>
      <c r="BZ1" s="5">
        <v>2019</v>
      </c>
      <c r="CA1" s="5">
        <v>2019</v>
      </c>
      <c r="CB1" s="5">
        <v>2019</v>
      </c>
      <c r="CC1" s="5">
        <v>2019</v>
      </c>
      <c r="CD1" s="5">
        <v>2019</v>
      </c>
      <c r="CE1" s="5">
        <v>2019</v>
      </c>
      <c r="CF1" s="5">
        <v>2019</v>
      </c>
      <c r="CG1" s="5">
        <v>2019</v>
      </c>
      <c r="CH1" s="5">
        <v>2019</v>
      </c>
      <c r="CI1" s="5">
        <v>2019</v>
      </c>
      <c r="CJ1" s="5">
        <v>2020</v>
      </c>
      <c r="CK1" s="5">
        <v>2020</v>
      </c>
      <c r="CL1" s="5">
        <v>2020</v>
      </c>
      <c r="CM1" s="5">
        <v>2020</v>
      </c>
      <c r="CN1" s="5">
        <v>2020</v>
      </c>
      <c r="CO1" s="5">
        <v>2020</v>
      </c>
      <c r="CP1" s="5">
        <v>2020</v>
      </c>
      <c r="CQ1" s="5">
        <v>2020</v>
      </c>
      <c r="CR1" s="5">
        <v>2020</v>
      </c>
      <c r="CS1" s="5">
        <v>2020</v>
      </c>
      <c r="CT1" s="5">
        <v>2020</v>
      </c>
      <c r="CU1" s="5">
        <v>2020</v>
      </c>
      <c r="CV1" s="5">
        <v>2021</v>
      </c>
      <c r="CW1" s="5">
        <v>2021</v>
      </c>
      <c r="CX1" s="5">
        <v>2021</v>
      </c>
      <c r="CY1" s="5">
        <v>2021</v>
      </c>
      <c r="CZ1" s="5">
        <v>2021</v>
      </c>
      <c r="DA1" s="5">
        <v>2021</v>
      </c>
      <c r="DB1" s="5">
        <v>2021</v>
      </c>
      <c r="DC1" s="5">
        <v>2021</v>
      </c>
      <c r="DD1" s="5">
        <v>2021</v>
      </c>
      <c r="DE1" s="5">
        <v>2021</v>
      </c>
      <c r="DF1" s="5">
        <v>2021</v>
      </c>
      <c r="DG1" s="5">
        <v>2021</v>
      </c>
      <c r="DH1" s="5">
        <v>2022</v>
      </c>
      <c r="DI1" s="5">
        <v>2022</v>
      </c>
      <c r="DJ1" s="5">
        <v>2022</v>
      </c>
      <c r="DK1" s="5">
        <v>2022</v>
      </c>
      <c r="DL1" s="5">
        <v>2022</v>
      </c>
      <c r="DM1" s="5">
        <v>2022</v>
      </c>
      <c r="DN1" s="5">
        <v>2022</v>
      </c>
      <c r="DO1" s="5">
        <v>2022</v>
      </c>
      <c r="DP1" s="5">
        <v>2022</v>
      </c>
      <c r="DQ1" s="5">
        <v>2022</v>
      </c>
      <c r="DR1" s="5">
        <v>2022</v>
      </c>
      <c r="DS1" s="5">
        <v>2022</v>
      </c>
      <c r="DT1" s="5">
        <v>2023</v>
      </c>
      <c r="DU1" s="5">
        <v>2023</v>
      </c>
      <c r="DV1" s="5">
        <v>2023</v>
      </c>
      <c r="DW1" s="5">
        <v>2023</v>
      </c>
      <c r="DX1" s="5">
        <v>2023</v>
      </c>
    </row>
    <row r="2" spans="1:129" x14ac:dyDescent="0.35">
      <c r="A2" s="5"/>
      <c r="B2" s="5"/>
      <c r="C2" s="5" t="s">
        <v>2</v>
      </c>
      <c r="D2" s="5" t="s">
        <v>31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46</v>
      </c>
      <c r="P2" s="5" t="s">
        <v>31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45</v>
      </c>
      <c r="AA2" s="5" t="s">
        <v>46</v>
      </c>
      <c r="AB2" s="5" t="s">
        <v>31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42</v>
      </c>
      <c r="AK2" s="5" t="s">
        <v>43</v>
      </c>
      <c r="AL2" s="5" t="s">
        <v>45</v>
      </c>
      <c r="AM2" s="5" t="s">
        <v>46</v>
      </c>
      <c r="AN2" s="5" t="s">
        <v>31</v>
      </c>
      <c r="AO2" s="5" t="s">
        <v>35</v>
      </c>
      <c r="AP2" s="5" t="s">
        <v>36</v>
      </c>
      <c r="AQ2" s="5" t="s">
        <v>37</v>
      </c>
      <c r="AR2" s="5" t="s">
        <v>38</v>
      </c>
      <c r="AS2" s="5" t="s">
        <v>39</v>
      </c>
      <c r="AT2" s="5" t="s">
        <v>40</v>
      </c>
      <c r="AU2" s="5" t="s">
        <v>41</v>
      </c>
      <c r="AV2" s="5" t="s">
        <v>42</v>
      </c>
      <c r="AW2" s="5" t="s">
        <v>43</v>
      </c>
      <c r="AX2" s="5" t="s">
        <v>45</v>
      </c>
      <c r="AY2" s="5" t="s">
        <v>46</v>
      </c>
      <c r="AZ2" s="5" t="s">
        <v>31</v>
      </c>
      <c r="BA2" s="5" t="s">
        <v>35</v>
      </c>
      <c r="BB2" s="5" t="s">
        <v>36</v>
      </c>
      <c r="BC2" s="5" t="s">
        <v>37</v>
      </c>
      <c r="BD2" s="5" t="s">
        <v>38</v>
      </c>
      <c r="BE2" s="5" t="s">
        <v>39</v>
      </c>
      <c r="BF2" s="5" t="s">
        <v>40</v>
      </c>
      <c r="BG2" s="5" t="s">
        <v>41</v>
      </c>
      <c r="BH2" s="5" t="s">
        <v>42</v>
      </c>
      <c r="BI2" s="5" t="s">
        <v>43</v>
      </c>
      <c r="BJ2" s="5" t="s">
        <v>45</v>
      </c>
      <c r="BK2" s="5" t="s">
        <v>46</v>
      </c>
      <c r="BL2" s="5" t="s">
        <v>31</v>
      </c>
      <c r="BM2" s="5" t="s">
        <v>35</v>
      </c>
      <c r="BN2" s="5" t="s">
        <v>36</v>
      </c>
      <c r="BO2" s="5" t="s">
        <v>37</v>
      </c>
      <c r="BP2" s="5" t="s">
        <v>38</v>
      </c>
      <c r="BQ2" s="5" t="s">
        <v>39</v>
      </c>
      <c r="BR2" s="5" t="s">
        <v>40</v>
      </c>
      <c r="BS2" s="5" t="s">
        <v>41</v>
      </c>
      <c r="BT2" s="5" t="s">
        <v>42</v>
      </c>
      <c r="BU2" s="5" t="s">
        <v>43</v>
      </c>
      <c r="BV2" s="5" t="s">
        <v>45</v>
      </c>
      <c r="BW2" s="5" t="s">
        <v>46</v>
      </c>
      <c r="BX2" s="5" t="s">
        <v>31</v>
      </c>
      <c r="BY2" s="5" t="s">
        <v>35</v>
      </c>
      <c r="BZ2" s="5" t="s">
        <v>36</v>
      </c>
      <c r="CA2" s="5" t="s">
        <v>37</v>
      </c>
      <c r="CB2" s="5" t="s">
        <v>38</v>
      </c>
      <c r="CC2" s="5" t="s">
        <v>39</v>
      </c>
      <c r="CD2" s="5" t="s">
        <v>40</v>
      </c>
      <c r="CE2" s="5" t="s">
        <v>41</v>
      </c>
      <c r="CF2" s="5" t="s">
        <v>42</v>
      </c>
      <c r="CG2" s="5" t="s">
        <v>43</v>
      </c>
      <c r="CH2" s="5" t="s">
        <v>45</v>
      </c>
      <c r="CI2" s="5" t="s">
        <v>46</v>
      </c>
      <c r="CJ2" s="5" t="s">
        <v>31</v>
      </c>
      <c r="CK2" s="5" t="s">
        <v>35</v>
      </c>
      <c r="CL2" s="5" t="s">
        <v>36</v>
      </c>
      <c r="CM2" s="5" t="s">
        <v>37</v>
      </c>
      <c r="CN2" s="5" t="s">
        <v>38</v>
      </c>
      <c r="CO2" s="5" t="s">
        <v>39</v>
      </c>
      <c r="CP2" s="5" t="s">
        <v>40</v>
      </c>
      <c r="CQ2" s="5" t="s">
        <v>41</v>
      </c>
      <c r="CR2" s="5" t="s">
        <v>42</v>
      </c>
      <c r="CS2" s="5" t="s">
        <v>43</v>
      </c>
      <c r="CT2" s="5" t="s">
        <v>45</v>
      </c>
      <c r="CU2" s="5" t="s">
        <v>46</v>
      </c>
      <c r="CV2" s="5" t="s">
        <v>31</v>
      </c>
      <c r="CW2" s="5" t="s">
        <v>35</v>
      </c>
      <c r="CX2" s="5" t="s">
        <v>36</v>
      </c>
      <c r="CY2" s="5" t="s">
        <v>37</v>
      </c>
      <c r="CZ2" s="5" t="s">
        <v>38</v>
      </c>
      <c r="DA2" s="5" t="s">
        <v>39</v>
      </c>
      <c r="DB2" s="5" t="s">
        <v>40</v>
      </c>
      <c r="DC2" s="5" t="s">
        <v>41</v>
      </c>
      <c r="DD2" s="5" t="s">
        <v>42</v>
      </c>
      <c r="DE2" s="5" t="s">
        <v>43</v>
      </c>
      <c r="DF2" s="5" t="s">
        <v>45</v>
      </c>
      <c r="DG2" s="5" t="s">
        <v>46</v>
      </c>
      <c r="DH2" s="5" t="s">
        <v>31</v>
      </c>
      <c r="DI2" s="5" t="s">
        <v>35</v>
      </c>
      <c r="DJ2" s="5" t="s">
        <v>36</v>
      </c>
      <c r="DK2" s="5" t="s">
        <v>37</v>
      </c>
      <c r="DL2" s="5" t="s">
        <v>38</v>
      </c>
      <c r="DM2" s="5" t="s">
        <v>39</v>
      </c>
      <c r="DN2" s="5" t="s">
        <v>40</v>
      </c>
      <c r="DO2" s="5" t="s">
        <v>41</v>
      </c>
      <c r="DP2" s="5" t="s">
        <v>42</v>
      </c>
      <c r="DQ2" s="5" t="s">
        <v>43</v>
      </c>
      <c r="DR2" s="5" t="s">
        <v>45</v>
      </c>
      <c r="DS2" s="5" t="s">
        <v>46</v>
      </c>
      <c r="DT2" s="5" t="s">
        <v>31</v>
      </c>
      <c r="DU2" s="5" t="s">
        <v>35</v>
      </c>
      <c r="DV2" s="5" t="s">
        <v>36</v>
      </c>
      <c r="DW2" s="5" t="s">
        <v>37</v>
      </c>
      <c r="DX2" s="5" t="s">
        <v>38</v>
      </c>
    </row>
    <row r="3" spans="1:129" x14ac:dyDescent="0.35">
      <c r="A3" s="9" t="s">
        <v>0</v>
      </c>
      <c r="B3" s="9" t="s">
        <v>50</v>
      </c>
      <c r="C3" s="9" t="s">
        <v>171</v>
      </c>
      <c r="D3" s="9" t="str">
        <f>_xlfn.TEXTJOIN("-",TRUE,D2,D1)</f>
        <v>January-2013</v>
      </c>
      <c r="E3" s="9" t="s">
        <v>223</v>
      </c>
      <c r="F3" s="9" t="s">
        <v>224</v>
      </c>
      <c r="G3" s="9" t="s">
        <v>225</v>
      </c>
      <c r="H3" s="9" t="s">
        <v>226</v>
      </c>
      <c r="I3" s="9" t="s">
        <v>227</v>
      </c>
      <c r="J3" s="9" t="s">
        <v>228</v>
      </c>
      <c r="K3" s="9" t="s">
        <v>229</v>
      </c>
      <c r="L3" s="9" t="s">
        <v>230</v>
      </c>
      <c r="M3" s="9" t="s">
        <v>231</v>
      </c>
      <c r="N3" s="9" t="s">
        <v>232</v>
      </c>
      <c r="O3" s="9" t="s">
        <v>233</v>
      </c>
      <c r="P3" s="9" t="s">
        <v>234</v>
      </c>
      <c r="Q3" s="9" t="s">
        <v>235</v>
      </c>
      <c r="R3" s="9" t="s">
        <v>236</v>
      </c>
      <c r="S3" s="9" t="s">
        <v>237</v>
      </c>
      <c r="T3" s="9" t="s">
        <v>238</v>
      </c>
      <c r="U3" s="9" t="s">
        <v>239</v>
      </c>
      <c r="V3" s="9" t="s">
        <v>240</v>
      </c>
      <c r="W3" s="9" t="s">
        <v>241</v>
      </c>
      <c r="X3" s="9" t="s">
        <v>242</v>
      </c>
      <c r="Y3" s="9" t="s">
        <v>243</v>
      </c>
      <c r="Z3" s="9" t="s">
        <v>244</v>
      </c>
      <c r="AA3" s="9" t="s">
        <v>245</v>
      </c>
      <c r="AB3" s="9" t="s">
        <v>246</v>
      </c>
      <c r="AC3" s="9" t="s">
        <v>247</v>
      </c>
      <c r="AD3" s="9" t="s">
        <v>248</v>
      </c>
      <c r="AE3" s="9" t="s">
        <v>249</v>
      </c>
      <c r="AF3" s="9" t="s">
        <v>250</v>
      </c>
      <c r="AG3" s="9" t="s">
        <v>251</v>
      </c>
      <c r="AH3" s="9" t="s">
        <v>252</v>
      </c>
      <c r="AI3" s="9" t="s">
        <v>253</v>
      </c>
      <c r="AJ3" s="9" t="s">
        <v>254</v>
      </c>
      <c r="AK3" s="9" t="s">
        <v>255</v>
      </c>
      <c r="AL3" s="9" t="s">
        <v>256</v>
      </c>
      <c r="AM3" s="9" t="s">
        <v>257</v>
      </c>
      <c r="AN3" s="9" t="s">
        <v>258</v>
      </c>
      <c r="AO3" s="9" t="s">
        <v>259</v>
      </c>
      <c r="AP3" s="9" t="s">
        <v>260</v>
      </c>
      <c r="AQ3" s="9" t="s">
        <v>261</v>
      </c>
      <c r="AR3" s="9" t="s">
        <v>262</v>
      </c>
      <c r="AS3" s="9" t="s">
        <v>263</v>
      </c>
      <c r="AT3" s="9" t="s">
        <v>264</v>
      </c>
      <c r="AU3" s="9" t="s">
        <v>265</v>
      </c>
      <c r="AV3" s="9" t="s">
        <v>266</v>
      </c>
      <c r="AW3" s="9" t="s">
        <v>267</v>
      </c>
      <c r="AX3" s="9" t="s">
        <v>268</v>
      </c>
      <c r="AY3" s="9" t="s">
        <v>175</v>
      </c>
      <c r="AZ3" s="9" t="s">
        <v>176</v>
      </c>
      <c r="BA3" s="9" t="s">
        <v>177</v>
      </c>
      <c r="BB3" s="9" t="s">
        <v>178</v>
      </c>
      <c r="BC3" s="9" t="s">
        <v>179</v>
      </c>
      <c r="BD3" s="9" t="s">
        <v>180</v>
      </c>
      <c r="BE3" s="9" t="s">
        <v>181</v>
      </c>
      <c r="BF3" s="9" t="s">
        <v>182</v>
      </c>
      <c r="BG3" s="9" t="s">
        <v>183</v>
      </c>
      <c r="BH3" s="9" t="s">
        <v>184</v>
      </c>
      <c r="BI3" s="9" t="s">
        <v>185</v>
      </c>
      <c r="BJ3" s="9" t="s">
        <v>186</v>
      </c>
      <c r="BK3" s="9" t="s">
        <v>187</v>
      </c>
      <c r="BL3" s="9" t="s">
        <v>188</v>
      </c>
      <c r="BM3" s="9" t="s">
        <v>189</v>
      </c>
      <c r="BN3" s="9" t="s">
        <v>190</v>
      </c>
      <c r="BO3" s="9" t="s">
        <v>191</v>
      </c>
      <c r="BP3" s="9" t="s">
        <v>192</v>
      </c>
      <c r="BQ3" s="9" t="s">
        <v>193</v>
      </c>
      <c r="BR3" s="9" t="s">
        <v>194</v>
      </c>
      <c r="BS3" s="9" t="s">
        <v>195</v>
      </c>
      <c r="BT3" s="9" t="s">
        <v>196</v>
      </c>
      <c r="BU3" s="9" t="s">
        <v>197</v>
      </c>
      <c r="BV3" s="9" t="s">
        <v>198</v>
      </c>
      <c r="BW3" s="9" t="s">
        <v>199</v>
      </c>
      <c r="BX3" s="9" t="s">
        <v>200</v>
      </c>
      <c r="BY3" s="9" t="s">
        <v>201</v>
      </c>
      <c r="BZ3" s="9" t="s">
        <v>118</v>
      </c>
      <c r="CA3" s="9" t="s">
        <v>111</v>
      </c>
      <c r="CB3" s="9" t="s">
        <v>117</v>
      </c>
      <c r="CC3" s="9" t="s">
        <v>119</v>
      </c>
      <c r="CD3" s="9" t="s">
        <v>120</v>
      </c>
      <c r="CE3" s="9" t="s">
        <v>121</v>
      </c>
      <c r="CF3" s="9" t="s">
        <v>122</v>
      </c>
      <c r="CG3" s="9" t="s">
        <v>123</v>
      </c>
      <c r="CH3" s="9" t="s">
        <v>116</v>
      </c>
      <c r="CI3" s="9" t="s">
        <v>113</v>
      </c>
      <c r="CJ3" s="9" t="s">
        <v>114</v>
      </c>
      <c r="CK3" s="9" t="s">
        <v>115</v>
      </c>
      <c r="CL3" s="9" t="s">
        <v>112</v>
      </c>
      <c r="CM3" s="9" t="s">
        <v>72</v>
      </c>
      <c r="CN3" s="9" t="s">
        <v>73</v>
      </c>
      <c r="CO3" s="9" t="s">
        <v>74</v>
      </c>
      <c r="CP3" s="9" t="s">
        <v>75</v>
      </c>
      <c r="CQ3" s="9" t="s">
        <v>76</v>
      </c>
      <c r="CR3" s="9" t="s">
        <v>77</v>
      </c>
      <c r="CS3" s="9" t="s">
        <v>78</v>
      </c>
      <c r="CT3" s="9" t="s">
        <v>79</v>
      </c>
      <c r="CU3" s="9" t="s">
        <v>80</v>
      </c>
      <c r="CV3" s="9" t="s">
        <v>81</v>
      </c>
      <c r="CW3" s="9" t="s">
        <v>82</v>
      </c>
      <c r="CX3" s="9" t="s">
        <v>83</v>
      </c>
      <c r="CY3" s="9" t="s">
        <v>84</v>
      </c>
      <c r="CZ3" s="9" t="s">
        <v>85</v>
      </c>
      <c r="DA3" s="9" t="s">
        <v>86</v>
      </c>
      <c r="DB3" s="9" t="s">
        <v>87</v>
      </c>
      <c r="DC3" s="9" t="s">
        <v>88</v>
      </c>
      <c r="DD3" s="9" t="s">
        <v>89</v>
      </c>
      <c r="DE3" s="9" t="s">
        <v>90</v>
      </c>
      <c r="DF3" s="9" t="s">
        <v>91</v>
      </c>
      <c r="DG3" s="9" t="s">
        <v>92</v>
      </c>
      <c r="DH3" s="9" t="s">
        <v>93</v>
      </c>
      <c r="DI3" s="9" t="s">
        <v>94</v>
      </c>
      <c r="DJ3" s="9" t="s">
        <v>95</v>
      </c>
      <c r="DK3" s="9" t="s">
        <v>96</v>
      </c>
      <c r="DL3" s="9" t="s">
        <v>97</v>
      </c>
      <c r="DM3" s="9" t="s">
        <v>55</v>
      </c>
      <c r="DN3" s="9" t="s">
        <v>56</v>
      </c>
      <c r="DO3" s="9" t="s">
        <v>57</v>
      </c>
      <c r="DP3" s="9" t="s">
        <v>58</v>
      </c>
      <c r="DQ3" s="9" t="s">
        <v>59</v>
      </c>
      <c r="DR3" s="9" t="s">
        <v>60</v>
      </c>
      <c r="DS3" s="9" t="s">
        <v>61</v>
      </c>
      <c r="DT3" s="9" t="s">
        <v>62</v>
      </c>
      <c r="DU3" s="9" t="s">
        <v>63</v>
      </c>
      <c r="DV3" s="9" t="s">
        <v>64</v>
      </c>
      <c r="DW3" s="9" t="s">
        <v>65</v>
      </c>
      <c r="DX3" s="9" t="s">
        <v>66</v>
      </c>
    </row>
    <row r="4" spans="1:129" x14ac:dyDescent="0.35">
      <c r="A4" s="34" t="s">
        <v>30</v>
      </c>
      <c r="B4" s="5" t="s">
        <v>51</v>
      </c>
      <c r="C4" s="5" t="s">
        <v>3</v>
      </c>
      <c r="D4" s="5">
        <v>107.5</v>
      </c>
      <c r="E4" s="5">
        <v>109.2</v>
      </c>
      <c r="F4" s="5">
        <v>110.2</v>
      </c>
      <c r="G4" s="5">
        <v>110.2</v>
      </c>
      <c r="H4" s="5">
        <v>110.9</v>
      </c>
      <c r="I4" s="5">
        <v>112.3</v>
      </c>
      <c r="J4" s="5">
        <v>113.4</v>
      </c>
      <c r="K4" s="5">
        <v>114.3</v>
      </c>
      <c r="L4" s="5">
        <v>115.4</v>
      </c>
      <c r="M4" s="5">
        <v>116.3</v>
      </c>
      <c r="N4" s="5">
        <v>117.3</v>
      </c>
      <c r="O4" s="5">
        <v>118.4</v>
      </c>
      <c r="P4" s="5">
        <v>118.9</v>
      </c>
      <c r="Q4" s="5">
        <v>119.4</v>
      </c>
      <c r="R4" s="5">
        <v>120.1</v>
      </c>
      <c r="S4" s="5">
        <v>120.2</v>
      </c>
      <c r="T4" s="5">
        <v>120.3</v>
      </c>
      <c r="U4" s="5">
        <v>120.7</v>
      </c>
      <c r="V4" s="5">
        <v>121.7</v>
      </c>
      <c r="W4" s="5">
        <v>121.8</v>
      </c>
      <c r="X4" s="5">
        <v>122.3</v>
      </c>
      <c r="Y4" s="5">
        <v>122.6</v>
      </c>
      <c r="Z4" s="5">
        <v>122.7</v>
      </c>
      <c r="AA4" s="5">
        <v>122.4</v>
      </c>
      <c r="AB4" s="5">
        <v>123.1</v>
      </c>
      <c r="AC4" s="5">
        <v>123.4</v>
      </c>
      <c r="AD4" s="5">
        <v>123.3</v>
      </c>
      <c r="AE4" s="5">
        <v>123.3</v>
      </c>
      <c r="AF4" s="5">
        <v>123.5</v>
      </c>
      <c r="AG4" s="5">
        <v>124.1</v>
      </c>
      <c r="AH4" s="5">
        <v>124</v>
      </c>
      <c r="AI4" s="5">
        <v>124.7</v>
      </c>
      <c r="AJ4" s="5">
        <v>125.1</v>
      </c>
      <c r="AK4" s="5">
        <v>125.6</v>
      </c>
      <c r="AL4" s="5">
        <v>126.1</v>
      </c>
      <c r="AM4" s="5">
        <v>126.3</v>
      </c>
      <c r="AN4" s="5">
        <v>126.8</v>
      </c>
      <c r="AO4" s="5">
        <v>127.1</v>
      </c>
      <c r="AP4" s="5">
        <v>127.3</v>
      </c>
      <c r="AQ4" s="5">
        <v>127.4</v>
      </c>
      <c r="AR4" s="5">
        <v>127.6</v>
      </c>
      <c r="AS4" s="5">
        <v>128.6</v>
      </c>
      <c r="AT4" s="5">
        <v>129.30000000000001</v>
      </c>
      <c r="AU4" s="5">
        <v>130.1</v>
      </c>
      <c r="AV4" s="5">
        <v>130.80000000000001</v>
      </c>
      <c r="AW4" s="5">
        <v>131.30000000000001</v>
      </c>
      <c r="AX4" s="5">
        <v>132</v>
      </c>
      <c r="AY4" s="5">
        <v>132.6</v>
      </c>
      <c r="AZ4" s="5">
        <v>133.1</v>
      </c>
      <c r="BA4" s="5">
        <v>133.30000000000001</v>
      </c>
      <c r="BB4" s="5">
        <v>133.6</v>
      </c>
      <c r="BC4" s="5">
        <v>133.19999999999999</v>
      </c>
      <c r="BD4" s="5">
        <v>133.1</v>
      </c>
      <c r="BE4" s="5">
        <v>133.5</v>
      </c>
      <c r="BF4" s="5">
        <v>134</v>
      </c>
      <c r="BG4" s="5">
        <v>134.80000000000001</v>
      </c>
      <c r="BH4" s="5">
        <v>135.19999999999999</v>
      </c>
      <c r="BI4" s="5">
        <v>135.9</v>
      </c>
      <c r="BJ4" s="5">
        <v>136.30000000000001</v>
      </c>
      <c r="BK4" s="5">
        <v>136.4</v>
      </c>
      <c r="BL4" s="5">
        <v>136.6</v>
      </c>
      <c r="BM4" s="5">
        <v>136.4</v>
      </c>
      <c r="BN4" s="5">
        <v>136.80000000000001</v>
      </c>
      <c r="BO4" s="5">
        <v>137.1</v>
      </c>
      <c r="BP4" s="5">
        <v>137.4</v>
      </c>
      <c r="BQ4" s="5">
        <v>137.6</v>
      </c>
      <c r="BR4" s="5">
        <v>138.4</v>
      </c>
      <c r="BS4" s="5">
        <v>139.19999999999999</v>
      </c>
      <c r="BT4" s="5">
        <v>139.4</v>
      </c>
      <c r="BU4" s="5">
        <v>139.30000000000001</v>
      </c>
      <c r="BV4" s="5">
        <v>137.1</v>
      </c>
      <c r="BW4" s="5">
        <v>137.1</v>
      </c>
      <c r="BX4" s="5">
        <v>136.6</v>
      </c>
      <c r="BY4" s="5">
        <v>136.80000000000001</v>
      </c>
      <c r="BZ4" s="5">
        <v>136.9</v>
      </c>
      <c r="CA4" s="75">
        <f>(SUM(BY4:BZ4)+SUM(CB4:CC4))/4</f>
        <v>137.22500000000002</v>
      </c>
      <c r="CB4" s="5">
        <v>137.4</v>
      </c>
      <c r="CC4" s="5">
        <v>137.80000000000001</v>
      </c>
      <c r="CD4" s="5">
        <v>138.4</v>
      </c>
      <c r="CE4" s="5">
        <v>139.19999999999999</v>
      </c>
      <c r="CF4" s="5">
        <v>140.1</v>
      </c>
      <c r="CG4" s="5">
        <v>141</v>
      </c>
      <c r="CH4" s="5">
        <v>141.80000000000001</v>
      </c>
      <c r="CI4" s="5">
        <v>142.80000000000001</v>
      </c>
      <c r="CJ4" s="5">
        <v>143.69999999999999</v>
      </c>
      <c r="CK4" s="5">
        <v>144.19999999999999</v>
      </c>
      <c r="CL4" s="5">
        <v>144.4</v>
      </c>
      <c r="CM4" s="5">
        <v>147.19999999999999</v>
      </c>
      <c r="CN4" s="75">
        <f>(SUM(CL4:CM4)+SUM(CO4:CP4))/4</f>
        <v>147</v>
      </c>
      <c r="CO4" s="5">
        <v>148.19999999999999</v>
      </c>
      <c r="CP4" s="5">
        <v>148.19999999999999</v>
      </c>
      <c r="CQ4" s="5">
        <v>147.6</v>
      </c>
      <c r="CR4" s="5">
        <v>146.9</v>
      </c>
      <c r="CS4" s="5">
        <v>146</v>
      </c>
      <c r="CT4" s="5">
        <v>145.4</v>
      </c>
      <c r="CU4" s="5">
        <v>144.6</v>
      </c>
      <c r="CV4" s="5">
        <v>143.4</v>
      </c>
      <c r="CW4" s="5">
        <v>142.80000000000001</v>
      </c>
      <c r="CX4" s="5">
        <v>142.5</v>
      </c>
      <c r="CY4" s="5">
        <v>142.69999999999999</v>
      </c>
      <c r="CZ4" s="5">
        <v>145.1</v>
      </c>
      <c r="DA4" s="5">
        <v>145.6</v>
      </c>
      <c r="DB4" s="5">
        <v>145.1</v>
      </c>
      <c r="DC4" s="5">
        <v>144.9</v>
      </c>
      <c r="DD4" s="5">
        <v>145.4</v>
      </c>
      <c r="DE4" s="5">
        <v>146.1</v>
      </c>
      <c r="DF4" s="5">
        <v>146.9</v>
      </c>
      <c r="DG4" s="5">
        <v>147.4</v>
      </c>
      <c r="DH4" s="5">
        <v>148.30000000000001</v>
      </c>
      <c r="DI4" s="5">
        <v>148.80000000000001</v>
      </c>
      <c r="DJ4" s="5">
        <v>150.19999999999999</v>
      </c>
      <c r="DK4" s="5">
        <v>151.80000000000001</v>
      </c>
      <c r="DL4" s="5">
        <v>152.9</v>
      </c>
      <c r="DM4" s="5">
        <v>153.80000000000001</v>
      </c>
      <c r="DN4" s="5">
        <v>155.19999999999999</v>
      </c>
      <c r="DO4" s="5">
        <v>159.5</v>
      </c>
      <c r="DP4" s="5">
        <v>162.9</v>
      </c>
      <c r="DQ4" s="5">
        <v>164.7</v>
      </c>
      <c r="DR4" s="5">
        <v>166.9</v>
      </c>
      <c r="DS4" s="5">
        <v>168.8</v>
      </c>
      <c r="DT4" s="5">
        <v>174</v>
      </c>
      <c r="DU4" s="5">
        <v>174.2</v>
      </c>
      <c r="DV4" s="5">
        <v>174.3</v>
      </c>
      <c r="DW4" s="5">
        <v>173.3</v>
      </c>
      <c r="DX4" s="5">
        <v>173.2</v>
      </c>
      <c r="DY4">
        <f>COUNTIF(A4:DX4,"")+COUNTIF(A4:DX4,"NA")+COUNTIF(A4:DX4,"-")</f>
        <v>0</v>
      </c>
    </row>
    <row r="5" spans="1:129" x14ac:dyDescent="0.35">
      <c r="A5" s="34" t="s">
        <v>30</v>
      </c>
      <c r="B5" s="5" t="s">
        <v>51</v>
      </c>
      <c r="C5" s="5" t="s">
        <v>4</v>
      </c>
      <c r="D5" s="5">
        <v>106.3</v>
      </c>
      <c r="E5" s="5">
        <v>108.7</v>
      </c>
      <c r="F5" s="5">
        <v>108.8</v>
      </c>
      <c r="G5" s="5">
        <v>109.5</v>
      </c>
      <c r="H5" s="5">
        <v>109.8</v>
      </c>
      <c r="I5" s="5">
        <v>112.1</v>
      </c>
      <c r="J5" s="5">
        <v>114.9</v>
      </c>
      <c r="K5" s="5">
        <v>115.4</v>
      </c>
      <c r="L5" s="5">
        <v>115.7</v>
      </c>
      <c r="M5" s="5">
        <v>115.4</v>
      </c>
      <c r="N5" s="5">
        <v>114.9</v>
      </c>
      <c r="O5" s="5">
        <v>115.9</v>
      </c>
      <c r="P5" s="5">
        <v>117.1</v>
      </c>
      <c r="Q5" s="5">
        <v>117.7</v>
      </c>
      <c r="R5" s="5">
        <v>118.1</v>
      </c>
      <c r="S5" s="5">
        <v>118.9</v>
      </c>
      <c r="T5" s="5">
        <v>120.2</v>
      </c>
      <c r="U5" s="5">
        <v>121.6</v>
      </c>
      <c r="V5" s="5">
        <v>122.5</v>
      </c>
      <c r="W5" s="5">
        <v>122.8</v>
      </c>
      <c r="X5" s="5">
        <v>122.4</v>
      </c>
      <c r="Y5" s="5">
        <v>122.5</v>
      </c>
      <c r="Z5" s="5">
        <v>122.6</v>
      </c>
      <c r="AA5" s="5">
        <v>122.4</v>
      </c>
      <c r="AB5" s="5">
        <v>123.1</v>
      </c>
      <c r="AC5" s="5">
        <v>124.4</v>
      </c>
      <c r="AD5" s="5">
        <v>124.7</v>
      </c>
      <c r="AE5" s="5">
        <v>125.5</v>
      </c>
      <c r="AF5" s="5">
        <v>127.1</v>
      </c>
      <c r="AG5" s="5">
        <v>130.4</v>
      </c>
      <c r="AH5" s="5">
        <v>131.5</v>
      </c>
      <c r="AI5" s="5">
        <v>131.30000000000001</v>
      </c>
      <c r="AJ5" s="5">
        <v>131.1</v>
      </c>
      <c r="AK5" s="5">
        <v>130.4</v>
      </c>
      <c r="AL5" s="5">
        <v>130.6</v>
      </c>
      <c r="AM5" s="5">
        <v>131.30000000000001</v>
      </c>
      <c r="AN5" s="5">
        <v>133.19999999999999</v>
      </c>
      <c r="AO5" s="5">
        <v>133.69999999999999</v>
      </c>
      <c r="AP5" s="5">
        <v>134.4</v>
      </c>
      <c r="AQ5" s="5">
        <v>135.4</v>
      </c>
      <c r="AR5" s="5">
        <v>137.5</v>
      </c>
      <c r="AS5" s="5">
        <v>138.6</v>
      </c>
      <c r="AT5" s="5">
        <v>139.5</v>
      </c>
      <c r="AU5" s="5">
        <v>138.80000000000001</v>
      </c>
      <c r="AV5" s="5">
        <v>138.19999999999999</v>
      </c>
      <c r="AW5" s="5">
        <v>137.6</v>
      </c>
      <c r="AX5" s="5">
        <v>137.4</v>
      </c>
      <c r="AY5" s="5">
        <v>137.30000000000001</v>
      </c>
      <c r="AZ5" s="5">
        <v>137.80000000000001</v>
      </c>
      <c r="BA5" s="5">
        <v>138.30000000000001</v>
      </c>
      <c r="BB5" s="5">
        <v>138.80000000000001</v>
      </c>
      <c r="BC5" s="5">
        <v>138.69999999999999</v>
      </c>
      <c r="BD5" s="5">
        <v>140.30000000000001</v>
      </c>
      <c r="BE5" s="5">
        <v>143.69999999999999</v>
      </c>
      <c r="BF5" s="5">
        <v>144.19999999999999</v>
      </c>
      <c r="BG5" s="5">
        <v>143.1</v>
      </c>
      <c r="BH5" s="5">
        <v>142</v>
      </c>
      <c r="BI5" s="5">
        <v>141.9</v>
      </c>
      <c r="BJ5" s="5">
        <v>142.5</v>
      </c>
      <c r="BK5" s="5">
        <v>143.69999999999999</v>
      </c>
      <c r="BL5" s="5">
        <v>144.4</v>
      </c>
      <c r="BM5" s="5">
        <v>143.69999999999999</v>
      </c>
      <c r="BN5" s="5">
        <v>143.80000000000001</v>
      </c>
      <c r="BO5" s="5">
        <v>144.5</v>
      </c>
      <c r="BP5" s="5">
        <v>145.69999999999999</v>
      </c>
      <c r="BQ5" s="5">
        <v>148.1</v>
      </c>
      <c r="BR5" s="5">
        <v>149.30000000000001</v>
      </c>
      <c r="BS5" s="5">
        <v>148.80000000000001</v>
      </c>
      <c r="BT5" s="5">
        <v>147.19999999999999</v>
      </c>
      <c r="BU5" s="5">
        <v>147.6</v>
      </c>
      <c r="BV5" s="5">
        <v>150.80000000000001</v>
      </c>
      <c r="BW5" s="5">
        <v>151.9</v>
      </c>
      <c r="BX5" s="5">
        <v>152.5</v>
      </c>
      <c r="BY5" s="5">
        <v>153</v>
      </c>
      <c r="BZ5" s="5">
        <v>154.1</v>
      </c>
      <c r="CA5" s="75">
        <v>157.52500000000001</v>
      </c>
      <c r="CB5" s="5">
        <v>159.5</v>
      </c>
      <c r="CC5" s="5">
        <v>163.5</v>
      </c>
      <c r="CD5" s="5">
        <v>164</v>
      </c>
      <c r="CE5" s="5">
        <v>161.9</v>
      </c>
      <c r="CF5" s="5">
        <v>161.9</v>
      </c>
      <c r="CG5" s="5">
        <v>161.6</v>
      </c>
      <c r="CH5" s="5">
        <v>163.69999999999999</v>
      </c>
      <c r="CI5" s="5">
        <v>165.3</v>
      </c>
      <c r="CJ5" s="5">
        <v>167.3</v>
      </c>
      <c r="CK5" s="5">
        <v>167.5</v>
      </c>
      <c r="CL5" s="5">
        <v>166.8</v>
      </c>
      <c r="CM5" s="5">
        <f>CL5</f>
        <v>166.8</v>
      </c>
      <c r="CN5" s="75">
        <v>178.55</v>
      </c>
      <c r="CO5" s="5">
        <v>190.3</v>
      </c>
      <c r="CP5" s="5">
        <v>190.3</v>
      </c>
      <c r="CQ5" s="5">
        <v>187.2</v>
      </c>
      <c r="CR5" s="5">
        <v>183.9</v>
      </c>
      <c r="CS5" s="5">
        <v>186.3</v>
      </c>
      <c r="CT5" s="5">
        <v>188.6</v>
      </c>
      <c r="CU5" s="5">
        <v>188.5</v>
      </c>
      <c r="CV5" s="5">
        <v>187.5</v>
      </c>
      <c r="CW5" s="5">
        <v>184</v>
      </c>
      <c r="CX5" s="5">
        <v>189.4</v>
      </c>
      <c r="CY5" s="5">
        <v>195.5</v>
      </c>
      <c r="CZ5" s="5">
        <v>198.5</v>
      </c>
      <c r="DA5" s="5">
        <v>200.1</v>
      </c>
      <c r="DB5" s="5">
        <v>204.5</v>
      </c>
      <c r="DC5" s="5">
        <v>202.3</v>
      </c>
      <c r="DD5" s="5">
        <v>202.1</v>
      </c>
      <c r="DE5" s="5">
        <v>202.5</v>
      </c>
      <c r="DF5" s="5">
        <v>199.8</v>
      </c>
      <c r="DG5" s="5">
        <v>197</v>
      </c>
      <c r="DH5" s="5">
        <v>196.9</v>
      </c>
      <c r="DI5" s="5">
        <v>198.1</v>
      </c>
      <c r="DJ5" s="5">
        <v>208</v>
      </c>
      <c r="DK5" s="5">
        <v>209.7</v>
      </c>
      <c r="DL5" s="5">
        <v>214.7</v>
      </c>
      <c r="DM5" s="5">
        <v>217.2</v>
      </c>
      <c r="DN5" s="5">
        <v>210.8</v>
      </c>
      <c r="DO5" s="5">
        <v>204.1</v>
      </c>
      <c r="DP5" s="5">
        <v>206.7</v>
      </c>
      <c r="DQ5" s="5">
        <v>208.8</v>
      </c>
      <c r="DR5" s="5">
        <v>207.2</v>
      </c>
      <c r="DS5" s="5">
        <v>206.9</v>
      </c>
      <c r="DT5" s="5">
        <v>208.3</v>
      </c>
      <c r="DU5" s="5">
        <v>205.2</v>
      </c>
      <c r="DV5" s="5">
        <v>205.2</v>
      </c>
      <c r="DW5" s="5">
        <v>206.9</v>
      </c>
      <c r="DX5" s="5">
        <v>211.5</v>
      </c>
      <c r="DY5">
        <f t="shared" ref="DY5:DY68" si="0">COUNTIF(A5:DX5,"")+COUNTIF(A5:DX5,"NA")+COUNTIF(A5:DX5,"-")</f>
        <v>0</v>
      </c>
    </row>
    <row r="6" spans="1:129" x14ac:dyDescent="0.35">
      <c r="A6" s="34" t="s">
        <v>30</v>
      </c>
      <c r="B6" s="5" t="s">
        <v>51</v>
      </c>
      <c r="C6" s="5" t="s">
        <v>5</v>
      </c>
      <c r="D6" s="5">
        <v>108.1</v>
      </c>
      <c r="E6" s="5">
        <v>110.2</v>
      </c>
      <c r="F6" s="5">
        <v>109.9</v>
      </c>
      <c r="G6" s="5">
        <v>106.9</v>
      </c>
      <c r="H6" s="5">
        <v>105.9</v>
      </c>
      <c r="I6" s="5">
        <v>108.1</v>
      </c>
      <c r="J6" s="5">
        <v>110.5</v>
      </c>
      <c r="K6" s="5">
        <v>111.1</v>
      </c>
      <c r="L6" s="5">
        <v>111.7</v>
      </c>
      <c r="M6" s="5">
        <v>112.6</v>
      </c>
      <c r="N6" s="5">
        <v>116.2</v>
      </c>
      <c r="O6" s="5">
        <v>120.4</v>
      </c>
      <c r="P6" s="5">
        <v>120.5</v>
      </c>
      <c r="Q6" s="5">
        <v>121.2</v>
      </c>
      <c r="R6" s="5">
        <v>120.7</v>
      </c>
      <c r="S6" s="5">
        <v>118.1</v>
      </c>
      <c r="T6" s="5">
        <v>116.9</v>
      </c>
      <c r="U6" s="5">
        <v>116.1</v>
      </c>
      <c r="V6" s="5">
        <v>117.7</v>
      </c>
      <c r="W6" s="5">
        <v>117.8</v>
      </c>
      <c r="X6" s="5">
        <v>117.8</v>
      </c>
      <c r="Y6" s="5">
        <v>118.3</v>
      </c>
      <c r="Z6" s="5">
        <v>119.9</v>
      </c>
      <c r="AA6" s="5">
        <v>121.8</v>
      </c>
      <c r="AB6" s="5">
        <v>122.1</v>
      </c>
      <c r="AC6" s="5">
        <v>122.1</v>
      </c>
      <c r="AD6" s="5">
        <v>118.9</v>
      </c>
      <c r="AE6" s="5">
        <v>117.2</v>
      </c>
      <c r="AF6" s="5">
        <v>117.3</v>
      </c>
      <c r="AG6" s="5">
        <v>122.1</v>
      </c>
      <c r="AH6" s="5">
        <v>122</v>
      </c>
      <c r="AI6" s="5">
        <v>121.3</v>
      </c>
      <c r="AJ6" s="5">
        <v>120.7</v>
      </c>
      <c r="AK6" s="5">
        <v>120.8</v>
      </c>
      <c r="AL6" s="5">
        <v>121.7</v>
      </c>
      <c r="AM6" s="5">
        <v>123.3</v>
      </c>
      <c r="AN6" s="5">
        <v>126.5</v>
      </c>
      <c r="AO6" s="5">
        <v>127.7</v>
      </c>
      <c r="AP6" s="5">
        <v>125.1</v>
      </c>
      <c r="AQ6" s="5">
        <v>123.4</v>
      </c>
      <c r="AR6" s="5">
        <v>124.4</v>
      </c>
      <c r="AS6" s="5">
        <v>126.6</v>
      </c>
      <c r="AT6" s="5">
        <v>129.6</v>
      </c>
      <c r="AU6" s="5">
        <v>130.30000000000001</v>
      </c>
      <c r="AV6" s="5">
        <v>130.5</v>
      </c>
      <c r="AW6" s="5">
        <v>130.1</v>
      </c>
      <c r="AX6" s="5">
        <v>130.6</v>
      </c>
      <c r="AY6" s="5">
        <v>131.6</v>
      </c>
      <c r="AZ6" s="5">
        <v>131.9</v>
      </c>
      <c r="BA6" s="5">
        <v>129.30000000000001</v>
      </c>
      <c r="BB6" s="5">
        <v>128.80000000000001</v>
      </c>
      <c r="BC6" s="5">
        <v>127.1</v>
      </c>
      <c r="BD6" s="5">
        <v>126.8</v>
      </c>
      <c r="BE6" s="5">
        <v>128</v>
      </c>
      <c r="BF6" s="5">
        <v>129.80000000000001</v>
      </c>
      <c r="BG6" s="5">
        <v>130</v>
      </c>
      <c r="BH6" s="5">
        <v>130.5</v>
      </c>
      <c r="BI6" s="5">
        <v>131</v>
      </c>
      <c r="BJ6" s="5">
        <v>140.5</v>
      </c>
      <c r="BK6" s="5">
        <v>144.80000000000001</v>
      </c>
      <c r="BL6" s="5">
        <v>143.80000000000001</v>
      </c>
      <c r="BM6" s="5">
        <v>140.6</v>
      </c>
      <c r="BN6" s="5">
        <v>140</v>
      </c>
      <c r="BO6" s="5">
        <v>135.9</v>
      </c>
      <c r="BP6" s="5">
        <v>135.5</v>
      </c>
      <c r="BQ6" s="5">
        <v>136.69999999999999</v>
      </c>
      <c r="BR6" s="5">
        <v>139.30000000000001</v>
      </c>
      <c r="BS6" s="5">
        <v>139.1</v>
      </c>
      <c r="BT6" s="5">
        <v>136.6</v>
      </c>
      <c r="BU6" s="5">
        <v>134.6</v>
      </c>
      <c r="BV6" s="5">
        <v>136.69999999999999</v>
      </c>
      <c r="BW6" s="5">
        <v>137.4</v>
      </c>
      <c r="BX6" s="5">
        <v>138.19999999999999</v>
      </c>
      <c r="BY6" s="5">
        <v>139.1</v>
      </c>
      <c r="BZ6" s="5">
        <v>138.69999999999999</v>
      </c>
      <c r="CA6" s="75">
        <v>137.125</v>
      </c>
      <c r="CB6" s="5">
        <v>134.5</v>
      </c>
      <c r="CC6" s="5">
        <v>136.19999999999999</v>
      </c>
      <c r="CD6" s="5">
        <v>138.4</v>
      </c>
      <c r="CE6" s="5">
        <v>137.1</v>
      </c>
      <c r="CF6" s="5">
        <v>138.30000000000001</v>
      </c>
      <c r="CG6" s="5">
        <v>141.19999999999999</v>
      </c>
      <c r="CH6" s="5">
        <v>143.80000000000001</v>
      </c>
      <c r="CI6" s="5">
        <v>149.5</v>
      </c>
      <c r="CJ6" s="5">
        <v>153.5</v>
      </c>
      <c r="CK6" s="5">
        <v>150.9</v>
      </c>
      <c r="CL6" s="5">
        <v>147.6</v>
      </c>
      <c r="CM6" s="5">
        <v>146.9</v>
      </c>
      <c r="CN6" s="75">
        <v>148.32499999999999</v>
      </c>
      <c r="CO6" s="5">
        <v>149.4</v>
      </c>
      <c r="CP6" s="5">
        <v>149.4</v>
      </c>
      <c r="CQ6" s="5">
        <v>148.4</v>
      </c>
      <c r="CR6" s="5">
        <v>149.5</v>
      </c>
      <c r="CS6" s="5">
        <v>159.19999999999999</v>
      </c>
      <c r="CT6" s="5">
        <v>171.6</v>
      </c>
      <c r="CU6" s="5">
        <v>173.4</v>
      </c>
      <c r="CV6" s="5">
        <v>173.4</v>
      </c>
      <c r="CW6" s="5">
        <v>168</v>
      </c>
      <c r="CX6" s="5">
        <v>163.19999999999999</v>
      </c>
      <c r="CY6" s="5">
        <v>163.4</v>
      </c>
      <c r="CZ6" s="5">
        <v>168.6</v>
      </c>
      <c r="DA6" s="5">
        <v>179.3</v>
      </c>
      <c r="DB6" s="5">
        <v>180.4</v>
      </c>
      <c r="DC6" s="5">
        <v>176.5</v>
      </c>
      <c r="DD6" s="5">
        <v>172</v>
      </c>
      <c r="DE6" s="5">
        <v>170.1</v>
      </c>
      <c r="DF6" s="5">
        <v>171.5</v>
      </c>
      <c r="DG6" s="5">
        <v>176.5</v>
      </c>
      <c r="DH6" s="5">
        <v>178</v>
      </c>
      <c r="DI6" s="5">
        <v>175.5</v>
      </c>
      <c r="DJ6" s="5">
        <v>167.9</v>
      </c>
      <c r="DK6" s="5">
        <v>164.5</v>
      </c>
      <c r="DL6" s="5">
        <v>161.4</v>
      </c>
      <c r="DM6" s="5">
        <v>169.6</v>
      </c>
      <c r="DN6" s="5">
        <v>174.3</v>
      </c>
      <c r="DO6" s="5">
        <v>168.3</v>
      </c>
      <c r="DP6" s="5">
        <v>169</v>
      </c>
      <c r="DQ6" s="5">
        <v>170.3</v>
      </c>
      <c r="DR6" s="5">
        <v>180.2</v>
      </c>
      <c r="DS6" s="5">
        <v>189.1</v>
      </c>
      <c r="DT6" s="5">
        <v>192.9</v>
      </c>
      <c r="DU6" s="5">
        <v>173.9</v>
      </c>
      <c r="DV6" s="5">
        <v>173.9</v>
      </c>
      <c r="DW6" s="5">
        <v>167.9</v>
      </c>
      <c r="DX6" s="5">
        <v>171</v>
      </c>
      <c r="DY6">
        <f t="shared" si="0"/>
        <v>0</v>
      </c>
    </row>
    <row r="7" spans="1:129" x14ac:dyDescent="0.35">
      <c r="A7" s="34" t="s">
        <v>30</v>
      </c>
      <c r="B7" s="5" t="s">
        <v>51</v>
      </c>
      <c r="C7" s="5" t="s">
        <v>6</v>
      </c>
      <c r="D7" s="5">
        <v>104.9</v>
      </c>
      <c r="E7" s="5">
        <v>105.4</v>
      </c>
      <c r="F7" s="5">
        <v>105.6</v>
      </c>
      <c r="G7" s="5">
        <v>106.3</v>
      </c>
      <c r="H7" s="5">
        <v>107.5</v>
      </c>
      <c r="I7" s="5">
        <v>108.3</v>
      </c>
      <c r="J7" s="5">
        <v>109.3</v>
      </c>
      <c r="K7" s="5">
        <v>110</v>
      </c>
      <c r="L7" s="5">
        <v>111</v>
      </c>
      <c r="M7" s="5">
        <v>111.7</v>
      </c>
      <c r="N7" s="5">
        <v>112.8</v>
      </c>
      <c r="O7" s="5">
        <v>113.8</v>
      </c>
      <c r="P7" s="5">
        <v>114.4</v>
      </c>
      <c r="Q7" s="5">
        <v>115</v>
      </c>
      <c r="R7" s="5">
        <v>116.1</v>
      </c>
      <c r="S7" s="5">
        <v>117</v>
      </c>
      <c r="T7" s="5">
        <v>118</v>
      </c>
      <c r="U7" s="5">
        <v>119.3</v>
      </c>
      <c r="V7" s="5">
        <v>120.6</v>
      </c>
      <c r="W7" s="5">
        <v>121.9</v>
      </c>
      <c r="X7" s="5">
        <v>122.7</v>
      </c>
      <c r="Y7" s="5">
        <v>123.2</v>
      </c>
      <c r="Z7" s="5">
        <v>124</v>
      </c>
      <c r="AA7" s="5">
        <v>124.2</v>
      </c>
      <c r="AB7" s="5">
        <v>124.9</v>
      </c>
      <c r="AC7" s="5">
        <v>125.8</v>
      </c>
      <c r="AD7" s="5">
        <v>126</v>
      </c>
      <c r="AE7" s="5">
        <v>126.8</v>
      </c>
      <c r="AF7" s="5">
        <v>127.7</v>
      </c>
      <c r="AG7" s="5">
        <v>128.69999999999999</v>
      </c>
      <c r="AH7" s="5">
        <v>128.69999999999999</v>
      </c>
      <c r="AI7" s="5">
        <v>128.80000000000001</v>
      </c>
      <c r="AJ7" s="5">
        <v>129.19999999999999</v>
      </c>
      <c r="AK7" s="5">
        <v>129.4</v>
      </c>
      <c r="AL7" s="5">
        <v>129.5</v>
      </c>
      <c r="AM7" s="5">
        <v>129.80000000000001</v>
      </c>
      <c r="AN7" s="5">
        <v>130.30000000000001</v>
      </c>
      <c r="AO7" s="5">
        <v>130.69999999999999</v>
      </c>
      <c r="AP7" s="5">
        <v>130.5</v>
      </c>
      <c r="AQ7" s="5">
        <v>131.30000000000001</v>
      </c>
      <c r="AR7" s="5">
        <v>132.4</v>
      </c>
      <c r="AS7" s="5">
        <v>133.6</v>
      </c>
      <c r="AT7" s="5">
        <v>134.5</v>
      </c>
      <c r="AU7" s="5">
        <v>135.30000000000001</v>
      </c>
      <c r="AV7" s="5">
        <v>135.5</v>
      </c>
      <c r="AW7" s="5">
        <v>136</v>
      </c>
      <c r="AX7" s="5">
        <v>136.19999999999999</v>
      </c>
      <c r="AY7" s="5">
        <v>136.30000000000001</v>
      </c>
      <c r="AZ7" s="5">
        <v>136.69999999999999</v>
      </c>
      <c r="BA7" s="5">
        <v>137.19999999999999</v>
      </c>
      <c r="BB7" s="5">
        <v>137.19999999999999</v>
      </c>
      <c r="BC7" s="5">
        <v>137.69999999999999</v>
      </c>
      <c r="BD7" s="5">
        <v>138.19999999999999</v>
      </c>
      <c r="BE7" s="5">
        <v>138.6</v>
      </c>
      <c r="BF7" s="5">
        <v>139</v>
      </c>
      <c r="BG7" s="5">
        <v>139.4</v>
      </c>
      <c r="BH7" s="5">
        <v>140.19999999999999</v>
      </c>
      <c r="BI7" s="5">
        <v>141.5</v>
      </c>
      <c r="BJ7" s="5">
        <v>141.5</v>
      </c>
      <c r="BK7" s="5">
        <v>141.9</v>
      </c>
      <c r="BL7" s="5">
        <v>142</v>
      </c>
      <c r="BM7" s="5">
        <v>141.5</v>
      </c>
      <c r="BN7" s="5">
        <v>142</v>
      </c>
      <c r="BO7" s="5">
        <v>142.4</v>
      </c>
      <c r="BP7" s="5">
        <v>142.9</v>
      </c>
      <c r="BQ7" s="5">
        <v>143.19999999999999</v>
      </c>
      <c r="BR7" s="5">
        <v>143.4</v>
      </c>
      <c r="BS7" s="5">
        <v>143.5</v>
      </c>
      <c r="BT7" s="5">
        <v>143.69999999999999</v>
      </c>
      <c r="BU7" s="5">
        <v>141.9</v>
      </c>
      <c r="BV7" s="5">
        <v>141.9</v>
      </c>
      <c r="BW7" s="5">
        <v>142.4</v>
      </c>
      <c r="BX7" s="5">
        <v>142.4</v>
      </c>
      <c r="BY7" s="5">
        <v>142.5</v>
      </c>
      <c r="BZ7" s="5">
        <v>142.5</v>
      </c>
      <c r="CA7" s="75">
        <v>142.69999999999999</v>
      </c>
      <c r="CB7" s="5">
        <v>142.6</v>
      </c>
      <c r="CC7" s="5">
        <v>143.19999999999999</v>
      </c>
      <c r="CD7" s="5">
        <v>143.9</v>
      </c>
      <c r="CE7" s="5">
        <v>144.6</v>
      </c>
      <c r="CF7" s="5">
        <v>145.69999999999999</v>
      </c>
      <c r="CG7" s="5">
        <v>146.5</v>
      </c>
      <c r="CH7" s="5">
        <v>147.1</v>
      </c>
      <c r="CI7" s="5">
        <v>148.69999999999999</v>
      </c>
      <c r="CJ7" s="5">
        <v>150.5</v>
      </c>
      <c r="CK7" s="5">
        <v>150.9</v>
      </c>
      <c r="CL7" s="5">
        <v>151.69999999999999</v>
      </c>
      <c r="CM7" s="5">
        <v>155.6</v>
      </c>
      <c r="CN7" s="75">
        <v>153.47499999999999</v>
      </c>
      <c r="CO7" s="5">
        <v>153.30000000000001</v>
      </c>
      <c r="CP7" s="5">
        <v>153.30000000000001</v>
      </c>
      <c r="CQ7" s="5">
        <v>153.30000000000001</v>
      </c>
      <c r="CR7" s="5">
        <v>153.4</v>
      </c>
      <c r="CS7" s="5">
        <v>153.6</v>
      </c>
      <c r="CT7" s="5">
        <v>153.80000000000001</v>
      </c>
      <c r="CU7" s="5">
        <v>154</v>
      </c>
      <c r="CV7" s="5">
        <v>154</v>
      </c>
      <c r="CW7" s="5">
        <v>154.4</v>
      </c>
      <c r="CX7" s="5">
        <v>154.5</v>
      </c>
      <c r="CY7" s="5">
        <v>155</v>
      </c>
      <c r="CZ7" s="5">
        <v>155.80000000000001</v>
      </c>
      <c r="DA7" s="5">
        <v>156.1</v>
      </c>
      <c r="DB7" s="5">
        <v>157.1</v>
      </c>
      <c r="DC7" s="5">
        <v>157.5</v>
      </c>
      <c r="DD7" s="5">
        <v>158</v>
      </c>
      <c r="DE7" s="5">
        <v>158.4</v>
      </c>
      <c r="DF7" s="5">
        <v>159.1</v>
      </c>
      <c r="DG7" s="5">
        <v>159.80000000000001</v>
      </c>
      <c r="DH7" s="5">
        <v>160.5</v>
      </c>
      <c r="DI7" s="5">
        <v>160.69999999999999</v>
      </c>
      <c r="DJ7" s="5">
        <v>162</v>
      </c>
      <c r="DK7" s="5">
        <v>163.80000000000001</v>
      </c>
      <c r="DL7" s="5">
        <v>164.6</v>
      </c>
      <c r="DM7" s="5">
        <v>165.4</v>
      </c>
      <c r="DN7" s="5">
        <v>166.3</v>
      </c>
      <c r="DO7" s="5">
        <v>167.9</v>
      </c>
      <c r="DP7" s="5">
        <v>169.5</v>
      </c>
      <c r="DQ7" s="5">
        <v>170.9</v>
      </c>
      <c r="DR7" s="5">
        <v>172.3</v>
      </c>
      <c r="DS7" s="5">
        <v>173.4</v>
      </c>
      <c r="DT7" s="5">
        <v>174.3</v>
      </c>
      <c r="DU7" s="5">
        <v>177</v>
      </c>
      <c r="DV7" s="5">
        <v>177</v>
      </c>
      <c r="DW7" s="5">
        <v>178.2</v>
      </c>
      <c r="DX7" s="5">
        <v>179.6</v>
      </c>
      <c r="DY7">
        <f t="shared" si="0"/>
        <v>0</v>
      </c>
    </row>
    <row r="8" spans="1:129" x14ac:dyDescent="0.35">
      <c r="A8" s="34" t="s">
        <v>30</v>
      </c>
      <c r="B8" s="5" t="s">
        <v>51</v>
      </c>
      <c r="C8" s="5" t="s">
        <v>7</v>
      </c>
      <c r="D8" s="5">
        <v>106.1</v>
      </c>
      <c r="E8" s="5">
        <v>106.7</v>
      </c>
      <c r="F8" s="5">
        <v>106.2</v>
      </c>
      <c r="G8" s="5">
        <v>105.7</v>
      </c>
      <c r="H8" s="5">
        <v>105.3</v>
      </c>
      <c r="I8" s="5">
        <v>105.9</v>
      </c>
      <c r="J8" s="5">
        <v>106.2</v>
      </c>
      <c r="K8" s="5">
        <v>106.4</v>
      </c>
      <c r="L8" s="5">
        <v>107.4</v>
      </c>
      <c r="M8" s="5">
        <v>107.7</v>
      </c>
      <c r="N8" s="5">
        <v>108.9</v>
      </c>
      <c r="O8" s="5">
        <v>109.5</v>
      </c>
      <c r="P8" s="5">
        <v>109</v>
      </c>
      <c r="Q8" s="5">
        <v>109</v>
      </c>
      <c r="R8" s="5">
        <v>109.3</v>
      </c>
      <c r="S8" s="5">
        <v>109.7</v>
      </c>
      <c r="T8" s="5">
        <v>110.1</v>
      </c>
      <c r="U8" s="5">
        <v>110.3</v>
      </c>
      <c r="V8" s="5">
        <v>110.4</v>
      </c>
      <c r="W8" s="5">
        <v>110.6</v>
      </c>
      <c r="X8" s="5">
        <v>110.4</v>
      </c>
      <c r="Y8" s="5">
        <v>110.5</v>
      </c>
      <c r="Z8" s="5">
        <v>110.5</v>
      </c>
      <c r="AA8" s="5">
        <v>110.2</v>
      </c>
      <c r="AB8" s="5">
        <v>111</v>
      </c>
      <c r="AC8" s="5">
        <v>111.5</v>
      </c>
      <c r="AD8" s="5">
        <v>111.8</v>
      </c>
      <c r="AE8" s="5">
        <v>111.9</v>
      </c>
      <c r="AF8" s="5">
        <v>112.5</v>
      </c>
      <c r="AG8" s="5">
        <v>114.1</v>
      </c>
      <c r="AH8" s="5">
        <v>113.5</v>
      </c>
      <c r="AI8" s="5">
        <v>114</v>
      </c>
      <c r="AJ8" s="5">
        <v>114.7</v>
      </c>
      <c r="AK8" s="5">
        <v>115.8</v>
      </c>
      <c r="AL8" s="5">
        <v>117.8</v>
      </c>
      <c r="AM8" s="5">
        <v>118.3</v>
      </c>
      <c r="AN8" s="5">
        <v>118.9</v>
      </c>
      <c r="AO8" s="5">
        <v>118.5</v>
      </c>
      <c r="AP8" s="5">
        <v>118.3</v>
      </c>
      <c r="AQ8" s="5">
        <v>118.2</v>
      </c>
      <c r="AR8" s="5">
        <v>118.2</v>
      </c>
      <c r="AS8" s="5">
        <v>118.6</v>
      </c>
      <c r="AT8" s="5">
        <v>119.5</v>
      </c>
      <c r="AU8" s="5">
        <v>119.9</v>
      </c>
      <c r="AV8" s="5">
        <v>120.2</v>
      </c>
      <c r="AW8" s="5">
        <v>120.8</v>
      </c>
      <c r="AX8" s="5">
        <v>121.1</v>
      </c>
      <c r="AY8" s="5">
        <v>121.6</v>
      </c>
      <c r="AZ8" s="5">
        <v>122</v>
      </c>
      <c r="BA8" s="5">
        <v>122.1</v>
      </c>
      <c r="BB8" s="5">
        <v>121.6</v>
      </c>
      <c r="BC8" s="5">
        <v>121.3</v>
      </c>
      <c r="BD8" s="5">
        <v>120.8</v>
      </c>
      <c r="BE8" s="5">
        <v>120.9</v>
      </c>
      <c r="BF8" s="5">
        <v>120.9</v>
      </c>
      <c r="BG8" s="5">
        <v>120.5</v>
      </c>
      <c r="BH8" s="5">
        <v>120.7</v>
      </c>
      <c r="BI8" s="5">
        <v>121.4</v>
      </c>
      <c r="BJ8" s="5">
        <v>121.6</v>
      </c>
      <c r="BK8" s="5">
        <v>123.1</v>
      </c>
      <c r="BL8" s="5">
        <v>123.2</v>
      </c>
      <c r="BM8" s="5">
        <v>122.9</v>
      </c>
      <c r="BN8" s="5">
        <v>123.2</v>
      </c>
      <c r="BO8" s="5">
        <v>123.5</v>
      </c>
      <c r="BP8" s="5">
        <v>123.6</v>
      </c>
      <c r="BQ8" s="5">
        <v>124</v>
      </c>
      <c r="BR8" s="5">
        <v>124.1</v>
      </c>
      <c r="BS8" s="5">
        <v>125</v>
      </c>
      <c r="BT8" s="5">
        <v>124.6</v>
      </c>
      <c r="BU8" s="5">
        <v>123.5</v>
      </c>
      <c r="BV8" s="5">
        <v>122.8</v>
      </c>
      <c r="BW8" s="5">
        <v>124.2</v>
      </c>
      <c r="BX8" s="5">
        <v>123.9</v>
      </c>
      <c r="BY8" s="5">
        <v>124.1</v>
      </c>
      <c r="BZ8" s="5">
        <v>124.1</v>
      </c>
      <c r="CA8" s="75">
        <v>124.125</v>
      </c>
      <c r="CB8" s="5">
        <v>124</v>
      </c>
      <c r="CC8" s="5">
        <v>124.3</v>
      </c>
      <c r="CD8" s="5">
        <v>124.4</v>
      </c>
      <c r="CE8" s="5">
        <v>124.7</v>
      </c>
      <c r="CF8" s="5">
        <v>125.1</v>
      </c>
      <c r="CG8" s="5">
        <v>125.6</v>
      </c>
      <c r="CH8" s="5">
        <v>126</v>
      </c>
      <c r="CI8" s="5">
        <v>127.5</v>
      </c>
      <c r="CJ8" s="5">
        <v>132</v>
      </c>
      <c r="CK8" s="5">
        <v>133.69999999999999</v>
      </c>
      <c r="CL8" s="5">
        <v>133.30000000000001</v>
      </c>
      <c r="CM8" s="5">
        <v>137.1</v>
      </c>
      <c r="CN8" s="75">
        <v>136.69999999999999</v>
      </c>
      <c r="CO8" s="5">
        <v>138.19999999999999</v>
      </c>
      <c r="CP8" s="5">
        <v>138.19999999999999</v>
      </c>
      <c r="CQ8" s="5">
        <v>139.80000000000001</v>
      </c>
      <c r="CR8" s="5">
        <v>140.4</v>
      </c>
      <c r="CS8" s="5">
        <v>142.6</v>
      </c>
      <c r="CT8" s="5">
        <v>145.4</v>
      </c>
      <c r="CU8" s="5">
        <v>150</v>
      </c>
      <c r="CV8" s="5">
        <v>154.80000000000001</v>
      </c>
      <c r="CW8" s="5">
        <v>163</v>
      </c>
      <c r="CX8" s="5">
        <v>168.2</v>
      </c>
      <c r="CY8" s="5">
        <v>175.2</v>
      </c>
      <c r="CZ8" s="5">
        <v>184.4</v>
      </c>
      <c r="DA8" s="5">
        <v>190.4</v>
      </c>
      <c r="DB8" s="5">
        <v>188.7</v>
      </c>
      <c r="DC8" s="5">
        <v>190.9</v>
      </c>
      <c r="DD8" s="5">
        <v>195.5</v>
      </c>
      <c r="DE8" s="5">
        <v>198.8</v>
      </c>
      <c r="DF8" s="5">
        <v>198.4</v>
      </c>
      <c r="DG8" s="5">
        <v>195.8</v>
      </c>
      <c r="DH8" s="5">
        <v>192.6</v>
      </c>
      <c r="DI8" s="5">
        <v>192.6</v>
      </c>
      <c r="DJ8" s="5">
        <v>203.1</v>
      </c>
      <c r="DK8" s="5">
        <v>207.4</v>
      </c>
      <c r="DL8" s="5">
        <v>209.9</v>
      </c>
      <c r="DM8" s="5">
        <v>208.1</v>
      </c>
      <c r="DN8" s="5">
        <v>202.2</v>
      </c>
      <c r="DO8" s="5">
        <v>198.1</v>
      </c>
      <c r="DP8" s="5">
        <v>194.1</v>
      </c>
      <c r="DQ8" s="5">
        <v>191.6</v>
      </c>
      <c r="DR8" s="5">
        <v>194</v>
      </c>
      <c r="DS8" s="5">
        <v>193.9</v>
      </c>
      <c r="DT8" s="5">
        <v>192.6</v>
      </c>
      <c r="DU8" s="5">
        <v>183.4</v>
      </c>
      <c r="DV8" s="5">
        <v>183.3</v>
      </c>
      <c r="DW8" s="5">
        <v>178.5</v>
      </c>
      <c r="DX8" s="5">
        <v>173.3</v>
      </c>
      <c r="DY8">
        <f t="shared" si="0"/>
        <v>0</v>
      </c>
    </row>
    <row r="9" spans="1:129" x14ac:dyDescent="0.35">
      <c r="A9" s="34" t="s">
        <v>30</v>
      </c>
      <c r="B9" s="5" t="s">
        <v>51</v>
      </c>
      <c r="C9" s="5" t="s">
        <v>8</v>
      </c>
      <c r="D9" s="5">
        <v>103.9</v>
      </c>
      <c r="E9" s="5">
        <v>104</v>
      </c>
      <c r="F9" s="5">
        <v>105.7</v>
      </c>
      <c r="G9" s="5">
        <v>108.3</v>
      </c>
      <c r="H9" s="5">
        <v>108.1</v>
      </c>
      <c r="I9" s="5">
        <v>109.2</v>
      </c>
      <c r="J9" s="5">
        <v>110.3</v>
      </c>
      <c r="K9" s="5">
        <v>110.8</v>
      </c>
      <c r="L9" s="5">
        <v>110.9</v>
      </c>
      <c r="M9" s="5">
        <v>113.2</v>
      </c>
      <c r="N9" s="5">
        <v>116.6</v>
      </c>
      <c r="O9" s="5">
        <v>115.5</v>
      </c>
      <c r="P9" s="5">
        <v>115.5</v>
      </c>
      <c r="Q9" s="5">
        <v>116.6</v>
      </c>
      <c r="R9" s="5">
        <v>119.6</v>
      </c>
      <c r="S9" s="5">
        <v>125.5</v>
      </c>
      <c r="T9" s="5">
        <v>126.3</v>
      </c>
      <c r="U9" s="5">
        <v>125.8</v>
      </c>
      <c r="V9" s="5">
        <v>129.1</v>
      </c>
      <c r="W9" s="5">
        <v>129.69999999999999</v>
      </c>
      <c r="X9" s="5">
        <v>129.80000000000001</v>
      </c>
      <c r="Y9" s="5">
        <v>128.9</v>
      </c>
      <c r="Z9" s="5">
        <v>128.80000000000001</v>
      </c>
      <c r="AA9" s="5">
        <v>128.6</v>
      </c>
      <c r="AB9" s="5">
        <v>130.4</v>
      </c>
      <c r="AC9" s="5">
        <v>129.4</v>
      </c>
      <c r="AD9" s="5">
        <v>130.9</v>
      </c>
      <c r="AE9" s="5">
        <v>134.19999999999999</v>
      </c>
      <c r="AF9" s="5">
        <v>134.1</v>
      </c>
      <c r="AG9" s="5">
        <v>133.19999999999999</v>
      </c>
      <c r="AH9" s="5">
        <v>133.30000000000001</v>
      </c>
      <c r="AI9" s="5">
        <v>134.19999999999999</v>
      </c>
      <c r="AJ9" s="5">
        <v>132.30000000000001</v>
      </c>
      <c r="AK9" s="5">
        <v>133.19999999999999</v>
      </c>
      <c r="AL9" s="5">
        <v>132.1</v>
      </c>
      <c r="AM9" s="5">
        <v>131.6</v>
      </c>
      <c r="AN9" s="5">
        <v>131.6</v>
      </c>
      <c r="AO9" s="5">
        <v>130.4</v>
      </c>
      <c r="AP9" s="5">
        <v>131.69999999999999</v>
      </c>
      <c r="AQ9" s="5">
        <v>138.1</v>
      </c>
      <c r="AR9" s="5">
        <v>138.1</v>
      </c>
      <c r="AS9" s="5">
        <v>137.4</v>
      </c>
      <c r="AT9" s="5">
        <v>138.5</v>
      </c>
      <c r="AU9" s="5">
        <v>140.19999999999999</v>
      </c>
      <c r="AV9" s="5">
        <v>139.19999999999999</v>
      </c>
      <c r="AW9" s="5">
        <v>138.4</v>
      </c>
      <c r="AX9" s="5">
        <v>136.9</v>
      </c>
      <c r="AY9" s="5">
        <v>135.6</v>
      </c>
      <c r="AZ9" s="5">
        <v>136</v>
      </c>
      <c r="BA9" s="5">
        <v>138.69999999999999</v>
      </c>
      <c r="BB9" s="5">
        <v>139.69999999999999</v>
      </c>
      <c r="BC9" s="5">
        <v>141.80000000000001</v>
      </c>
      <c r="BD9" s="5">
        <v>140.19999999999999</v>
      </c>
      <c r="BE9" s="5">
        <v>140.9</v>
      </c>
      <c r="BF9" s="5">
        <v>143.9</v>
      </c>
      <c r="BG9" s="5">
        <v>148</v>
      </c>
      <c r="BH9" s="5">
        <v>147.80000000000001</v>
      </c>
      <c r="BI9" s="5">
        <v>146.69999999999999</v>
      </c>
      <c r="BJ9" s="5">
        <v>147.30000000000001</v>
      </c>
      <c r="BK9" s="5">
        <v>147.19999999999999</v>
      </c>
      <c r="BL9" s="5">
        <v>147.9</v>
      </c>
      <c r="BM9" s="5">
        <v>149.4</v>
      </c>
      <c r="BN9" s="5">
        <v>152.9</v>
      </c>
      <c r="BO9" s="5">
        <v>156.4</v>
      </c>
      <c r="BP9" s="5">
        <v>157.5</v>
      </c>
      <c r="BQ9" s="5">
        <v>154.1</v>
      </c>
      <c r="BR9" s="5">
        <v>153.30000000000001</v>
      </c>
      <c r="BS9" s="5">
        <v>154.4</v>
      </c>
      <c r="BT9" s="5">
        <v>150.1</v>
      </c>
      <c r="BU9" s="5">
        <v>144.5</v>
      </c>
      <c r="BV9" s="5">
        <v>143.9</v>
      </c>
      <c r="BW9" s="5">
        <v>140.19999999999999</v>
      </c>
      <c r="BX9" s="5">
        <v>135.5</v>
      </c>
      <c r="BY9" s="5">
        <v>135.80000000000001</v>
      </c>
      <c r="BZ9" s="5">
        <v>136.1</v>
      </c>
      <c r="CA9" s="75">
        <v>139.72499999999999</v>
      </c>
      <c r="CB9" s="5">
        <v>143.69999999999999</v>
      </c>
      <c r="CC9" s="5">
        <v>143.30000000000001</v>
      </c>
      <c r="CD9" s="5">
        <v>146.4</v>
      </c>
      <c r="CE9" s="5">
        <v>145.5</v>
      </c>
      <c r="CF9" s="5">
        <v>143.80000000000001</v>
      </c>
      <c r="CG9" s="5">
        <v>145.69999999999999</v>
      </c>
      <c r="CH9" s="5">
        <v>146.19999999999999</v>
      </c>
      <c r="CI9" s="5">
        <v>144.30000000000001</v>
      </c>
      <c r="CJ9" s="5">
        <v>142.19999999999999</v>
      </c>
      <c r="CK9" s="5">
        <v>140.69999999999999</v>
      </c>
      <c r="CL9" s="5">
        <v>141.80000000000001</v>
      </c>
      <c r="CM9" s="5">
        <v>147.30000000000001</v>
      </c>
      <c r="CN9" s="75">
        <v>143.875</v>
      </c>
      <c r="CO9" s="5">
        <v>143.19999999999999</v>
      </c>
      <c r="CP9" s="5">
        <v>143.19999999999999</v>
      </c>
      <c r="CQ9" s="5">
        <v>146.9</v>
      </c>
      <c r="CR9" s="5">
        <v>147</v>
      </c>
      <c r="CS9" s="5">
        <v>147.19999999999999</v>
      </c>
      <c r="CT9" s="5">
        <v>146.5</v>
      </c>
      <c r="CU9" s="5">
        <v>145.9</v>
      </c>
      <c r="CV9" s="5">
        <v>147</v>
      </c>
      <c r="CW9" s="5">
        <v>147.80000000000001</v>
      </c>
      <c r="CX9" s="5">
        <v>150.5</v>
      </c>
      <c r="CY9" s="5">
        <v>160.6</v>
      </c>
      <c r="CZ9" s="5">
        <v>162.30000000000001</v>
      </c>
      <c r="DA9" s="5">
        <v>158.6</v>
      </c>
      <c r="DB9" s="5">
        <v>157.69999999999999</v>
      </c>
      <c r="DC9" s="5">
        <v>155.69999999999999</v>
      </c>
      <c r="DD9" s="5">
        <v>152.69999999999999</v>
      </c>
      <c r="DE9" s="5">
        <v>152.6</v>
      </c>
      <c r="DF9" s="5">
        <v>153.19999999999999</v>
      </c>
      <c r="DG9" s="5">
        <v>152</v>
      </c>
      <c r="DH9" s="5">
        <v>151.19999999999999</v>
      </c>
      <c r="DI9" s="5">
        <v>151.4</v>
      </c>
      <c r="DJ9" s="5">
        <v>155.9</v>
      </c>
      <c r="DK9" s="5">
        <v>169.7</v>
      </c>
      <c r="DL9" s="5">
        <v>168</v>
      </c>
      <c r="DM9" s="5">
        <v>165.8</v>
      </c>
      <c r="DN9" s="5">
        <v>169.6</v>
      </c>
      <c r="DO9" s="5">
        <v>169.2</v>
      </c>
      <c r="DP9" s="5">
        <v>164.1</v>
      </c>
      <c r="DQ9" s="5">
        <v>162.19999999999999</v>
      </c>
      <c r="DR9" s="5">
        <v>159.1</v>
      </c>
      <c r="DS9" s="5">
        <v>156.69999999999999</v>
      </c>
      <c r="DT9" s="5">
        <v>156.30000000000001</v>
      </c>
      <c r="DU9" s="5">
        <v>167.2</v>
      </c>
      <c r="DV9" s="5">
        <v>167.2</v>
      </c>
      <c r="DW9" s="5">
        <v>173.7</v>
      </c>
      <c r="DX9" s="5">
        <v>169</v>
      </c>
      <c r="DY9">
        <f t="shared" si="0"/>
        <v>0</v>
      </c>
    </row>
    <row r="10" spans="1:129" x14ac:dyDescent="0.35">
      <c r="A10" s="34" t="s">
        <v>30</v>
      </c>
      <c r="B10" s="5" t="s">
        <v>51</v>
      </c>
      <c r="C10" s="5" t="s">
        <v>9</v>
      </c>
      <c r="D10" s="5">
        <v>101.9</v>
      </c>
      <c r="E10" s="5">
        <v>102.4</v>
      </c>
      <c r="F10" s="5">
        <v>101.4</v>
      </c>
      <c r="G10" s="5">
        <v>103.4</v>
      </c>
      <c r="H10" s="5">
        <v>107.3</v>
      </c>
      <c r="I10" s="5">
        <v>118</v>
      </c>
      <c r="J10" s="5">
        <v>129.19999999999999</v>
      </c>
      <c r="K10" s="5">
        <v>138.9</v>
      </c>
      <c r="L10" s="5">
        <v>154</v>
      </c>
      <c r="M10" s="5">
        <v>164.9</v>
      </c>
      <c r="N10" s="5">
        <v>178.1</v>
      </c>
      <c r="O10" s="5">
        <v>145.69999999999999</v>
      </c>
      <c r="P10" s="5">
        <v>123.9</v>
      </c>
      <c r="Q10" s="5">
        <v>116</v>
      </c>
      <c r="R10" s="5">
        <v>117.9</v>
      </c>
      <c r="S10" s="5">
        <v>120.5</v>
      </c>
      <c r="T10" s="5">
        <v>123.9</v>
      </c>
      <c r="U10" s="5">
        <v>129.30000000000001</v>
      </c>
      <c r="V10" s="5">
        <v>150.1</v>
      </c>
      <c r="W10" s="5">
        <v>161.1</v>
      </c>
      <c r="X10" s="5">
        <v>158.80000000000001</v>
      </c>
      <c r="Y10" s="5">
        <v>155.30000000000001</v>
      </c>
      <c r="Z10" s="5">
        <v>152</v>
      </c>
      <c r="AA10" s="5">
        <v>140.30000000000001</v>
      </c>
      <c r="AB10" s="5">
        <v>132.30000000000001</v>
      </c>
      <c r="AC10" s="5">
        <v>128.19999999999999</v>
      </c>
      <c r="AD10" s="5">
        <v>128</v>
      </c>
      <c r="AE10" s="5">
        <v>127.5</v>
      </c>
      <c r="AF10" s="5">
        <v>128.5</v>
      </c>
      <c r="AG10" s="5">
        <v>135.19999999999999</v>
      </c>
      <c r="AH10" s="5">
        <v>140.80000000000001</v>
      </c>
      <c r="AI10" s="5">
        <v>153.6</v>
      </c>
      <c r="AJ10" s="5">
        <v>158.9</v>
      </c>
      <c r="AK10" s="5">
        <v>157.69999999999999</v>
      </c>
      <c r="AL10" s="5">
        <v>155.19999999999999</v>
      </c>
      <c r="AM10" s="5">
        <v>145.5</v>
      </c>
      <c r="AN10" s="5">
        <v>140.1</v>
      </c>
      <c r="AO10" s="5">
        <v>130.9</v>
      </c>
      <c r="AP10" s="5">
        <v>130.69999999999999</v>
      </c>
      <c r="AQ10" s="5">
        <v>134.1</v>
      </c>
      <c r="AR10" s="5">
        <v>141.80000000000001</v>
      </c>
      <c r="AS10" s="5">
        <v>152.5</v>
      </c>
      <c r="AT10" s="5">
        <v>158.19999999999999</v>
      </c>
      <c r="AU10" s="5">
        <v>156.9</v>
      </c>
      <c r="AV10" s="5">
        <v>149.5</v>
      </c>
      <c r="AW10" s="5">
        <v>149.19999999999999</v>
      </c>
      <c r="AX10" s="5">
        <v>141.80000000000001</v>
      </c>
      <c r="AY10" s="5">
        <v>127.5</v>
      </c>
      <c r="AZ10" s="5">
        <v>119.8</v>
      </c>
      <c r="BA10" s="5">
        <v>119.1</v>
      </c>
      <c r="BB10" s="5">
        <v>119.7</v>
      </c>
      <c r="BC10" s="5">
        <v>121.5</v>
      </c>
      <c r="BD10" s="5">
        <v>123.8</v>
      </c>
      <c r="BE10" s="5">
        <v>128.80000000000001</v>
      </c>
      <c r="BF10" s="5">
        <v>151.5</v>
      </c>
      <c r="BG10" s="5">
        <v>162.9</v>
      </c>
      <c r="BH10" s="5">
        <v>154.5</v>
      </c>
      <c r="BI10" s="5">
        <v>157.1</v>
      </c>
      <c r="BJ10" s="5">
        <v>168</v>
      </c>
      <c r="BK10" s="5">
        <v>161</v>
      </c>
      <c r="BL10" s="5">
        <v>152.1</v>
      </c>
      <c r="BM10" s="5">
        <v>142.4</v>
      </c>
      <c r="BN10" s="5">
        <v>138</v>
      </c>
      <c r="BO10" s="5">
        <v>135.1</v>
      </c>
      <c r="BP10" s="5">
        <v>137.80000000000001</v>
      </c>
      <c r="BQ10" s="5">
        <v>143.5</v>
      </c>
      <c r="BR10" s="5">
        <v>154.19999999999999</v>
      </c>
      <c r="BS10" s="5">
        <v>156.30000000000001</v>
      </c>
      <c r="BT10" s="5">
        <v>149.4</v>
      </c>
      <c r="BU10" s="5">
        <v>147.6</v>
      </c>
      <c r="BV10" s="5">
        <v>147.5</v>
      </c>
      <c r="BW10" s="5">
        <v>136.6</v>
      </c>
      <c r="BX10" s="5">
        <v>131.69999999999999</v>
      </c>
      <c r="BY10" s="5">
        <v>128.69999999999999</v>
      </c>
      <c r="BZ10" s="5">
        <v>128.19999999999999</v>
      </c>
      <c r="CA10" s="75">
        <v>132.72499999999999</v>
      </c>
      <c r="CB10" s="5">
        <v>133.4</v>
      </c>
      <c r="CC10" s="5">
        <v>140.6</v>
      </c>
      <c r="CD10" s="5">
        <v>150.1</v>
      </c>
      <c r="CE10" s="5">
        <v>156.19999999999999</v>
      </c>
      <c r="CF10" s="5">
        <v>163.4</v>
      </c>
      <c r="CG10" s="5">
        <v>178.8</v>
      </c>
      <c r="CH10" s="5">
        <v>191.4</v>
      </c>
      <c r="CI10" s="5">
        <v>209.5</v>
      </c>
      <c r="CJ10" s="5">
        <v>191.5</v>
      </c>
      <c r="CK10" s="5">
        <v>165.1</v>
      </c>
      <c r="CL10" s="5">
        <v>152.30000000000001</v>
      </c>
      <c r="CM10" s="5">
        <v>162.69999999999999</v>
      </c>
      <c r="CN10" s="75">
        <v>153.19999999999999</v>
      </c>
      <c r="CO10" s="5">
        <v>148.9</v>
      </c>
      <c r="CP10" s="5">
        <v>148.9</v>
      </c>
      <c r="CQ10" s="5">
        <v>171</v>
      </c>
      <c r="CR10" s="5">
        <v>178.8</v>
      </c>
      <c r="CS10" s="5">
        <v>200.6</v>
      </c>
      <c r="CT10" s="5">
        <v>222.2</v>
      </c>
      <c r="CU10" s="5">
        <v>225.2</v>
      </c>
      <c r="CV10" s="5">
        <v>187.8</v>
      </c>
      <c r="CW10" s="5">
        <v>149.69999999999999</v>
      </c>
      <c r="CX10" s="5">
        <v>141</v>
      </c>
      <c r="CY10" s="5">
        <v>135.1</v>
      </c>
      <c r="CZ10" s="5">
        <v>138.4</v>
      </c>
      <c r="DA10" s="5">
        <v>144.69999999999999</v>
      </c>
      <c r="DB10" s="5">
        <v>152.80000000000001</v>
      </c>
      <c r="DC10" s="5">
        <v>153.9</v>
      </c>
      <c r="DD10" s="5">
        <v>151.4</v>
      </c>
      <c r="DE10" s="5">
        <v>170.4</v>
      </c>
      <c r="DF10" s="5">
        <v>183.9</v>
      </c>
      <c r="DG10" s="5">
        <v>172.3</v>
      </c>
      <c r="DH10" s="5">
        <v>159.19999999999999</v>
      </c>
      <c r="DI10" s="5">
        <v>155.19999999999999</v>
      </c>
      <c r="DJ10" s="5">
        <v>155.80000000000001</v>
      </c>
      <c r="DK10" s="5">
        <v>153.6</v>
      </c>
      <c r="DL10" s="5">
        <v>160.4</v>
      </c>
      <c r="DM10" s="5">
        <v>167.3</v>
      </c>
      <c r="DN10" s="5">
        <v>168.6</v>
      </c>
      <c r="DO10" s="5">
        <v>173.1</v>
      </c>
      <c r="DP10" s="5">
        <v>176.9</v>
      </c>
      <c r="DQ10" s="5">
        <v>184.8</v>
      </c>
      <c r="DR10" s="5">
        <v>171.6</v>
      </c>
      <c r="DS10" s="5">
        <v>150.19999999999999</v>
      </c>
      <c r="DT10" s="5">
        <v>142.9</v>
      </c>
      <c r="DU10" s="5">
        <v>140.9</v>
      </c>
      <c r="DV10" s="5">
        <v>140.9</v>
      </c>
      <c r="DW10" s="5">
        <v>142.80000000000001</v>
      </c>
      <c r="DX10" s="5">
        <v>148.69999999999999</v>
      </c>
      <c r="DY10">
        <f t="shared" si="0"/>
        <v>0</v>
      </c>
    </row>
    <row r="11" spans="1:129" x14ac:dyDescent="0.35">
      <c r="A11" s="34" t="s">
        <v>30</v>
      </c>
      <c r="B11" s="5" t="s">
        <v>51</v>
      </c>
      <c r="C11" s="5" t="s">
        <v>10</v>
      </c>
      <c r="D11" s="5">
        <v>106.1</v>
      </c>
      <c r="E11" s="5">
        <v>105.9</v>
      </c>
      <c r="F11" s="5">
        <v>105.7</v>
      </c>
      <c r="G11" s="5">
        <v>105.7</v>
      </c>
      <c r="H11" s="5">
        <v>106.1</v>
      </c>
      <c r="I11" s="5">
        <v>106.8</v>
      </c>
      <c r="J11" s="5">
        <v>107.1</v>
      </c>
      <c r="K11" s="5">
        <v>107.4</v>
      </c>
      <c r="L11" s="5">
        <v>108.1</v>
      </c>
      <c r="M11" s="5">
        <v>108.3</v>
      </c>
      <c r="N11" s="5">
        <v>109.1</v>
      </c>
      <c r="O11" s="5">
        <v>109.5</v>
      </c>
      <c r="P11" s="5">
        <v>109.6</v>
      </c>
      <c r="Q11" s="5">
        <v>109.8</v>
      </c>
      <c r="R11" s="5">
        <v>110.2</v>
      </c>
      <c r="S11" s="5">
        <v>111</v>
      </c>
      <c r="T11" s="5">
        <v>111.5</v>
      </c>
      <c r="U11" s="5">
        <v>112.2</v>
      </c>
      <c r="V11" s="5">
        <v>113.2</v>
      </c>
      <c r="W11" s="5">
        <v>114.1</v>
      </c>
      <c r="X11" s="5">
        <v>115</v>
      </c>
      <c r="Y11" s="5">
        <v>115.5</v>
      </c>
      <c r="Z11" s="5">
        <v>116.2</v>
      </c>
      <c r="AA11" s="5">
        <v>116.3</v>
      </c>
      <c r="AB11" s="5">
        <v>117.2</v>
      </c>
      <c r="AC11" s="5">
        <v>118.8</v>
      </c>
      <c r="AD11" s="5">
        <v>119.9</v>
      </c>
      <c r="AE11" s="5">
        <v>121.5</v>
      </c>
      <c r="AF11" s="5">
        <v>124.3</v>
      </c>
      <c r="AG11" s="5">
        <v>131.9</v>
      </c>
      <c r="AH11" s="5">
        <v>133.80000000000001</v>
      </c>
      <c r="AI11" s="5">
        <v>137.9</v>
      </c>
      <c r="AJ11" s="5">
        <v>142.1</v>
      </c>
      <c r="AK11" s="5">
        <v>154.19999999999999</v>
      </c>
      <c r="AL11" s="5">
        <v>160.80000000000001</v>
      </c>
      <c r="AM11" s="5">
        <v>162.1</v>
      </c>
      <c r="AN11" s="5">
        <v>163.80000000000001</v>
      </c>
      <c r="AO11" s="5">
        <v>162.80000000000001</v>
      </c>
      <c r="AP11" s="5">
        <v>161.19999999999999</v>
      </c>
      <c r="AQ11" s="5">
        <v>162.69999999999999</v>
      </c>
      <c r="AR11" s="5">
        <v>166</v>
      </c>
      <c r="AS11" s="5">
        <v>169.2</v>
      </c>
      <c r="AT11" s="5">
        <v>171.8</v>
      </c>
      <c r="AU11" s="5">
        <v>172.2</v>
      </c>
      <c r="AV11" s="5">
        <v>170.4</v>
      </c>
      <c r="AW11" s="5">
        <v>170.2</v>
      </c>
      <c r="AX11" s="5">
        <v>170</v>
      </c>
      <c r="AY11" s="5">
        <v>167.9</v>
      </c>
      <c r="AZ11" s="5">
        <v>161.69999999999999</v>
      </c>
      <c r="BA11" s="5">
        <v>156.9</v>
      </c>
      <c r="BB11" s="5">
        <v>148</v>
      </c>
      <c r="BC11" s="5">
        <v>144.5</v>
      </c>
      <c r="BD11" s="5">
        <v>141.80000000000001</v>
      </c>
      <c r="BE11" s="5">
        <v>140.19999999999999</v>
      </c>
      <c r="BF11" s="5">
        <v>138.1</v>
      </c>
      <c r="BG11" s="5">
        <v>137.4</v>
      </c>
      <c r="BH11" s="5">
        <v>137.1</v>
      </c>
      <c r="BI11" s="5">
        <v>136.4</v>
      </c>
      <c r="BJ11" s="5">
        <v>135.80000000000001</v>
      </c>
      <c r="BK11" s="5">
        <v>133.80000000000001</v>
      </c>
      <c r="BL11" s="5">
        <v>131.80000000000001</v>
      </c>
      <c r="BM11" s="5">
        <v>130.19999999999999</v>
      </c>
      <c r="BN11" s="5">
        <v>129.30000000000001</v>
      </c>
      <c r="BO11" s="5">
        <v>128.4</v>
      </c>
      <c r="BP11" s="5">
        <v>127.2</v>
      </c>
      <c r="BQ11" s="5">
        <v>126</v>
      </c>
      <c r="BR11" s="5">
        <v>126.4</v>
      </c>
      <c r="BS11" s="5">
        <v>126.8</v>
      </c>
      <c r="BT11" s="5">
        <v>125.4</v>
      </c>
      <c r="BU11" s="5">
        <v>121.4</v>
      </c>
      <c r="BV11" s="5">
        <v>121</v>
      </c>
      <c r="BW11" s="5">
        <v>120.9</v>
      </c>
      <c r="BX11" s="5">
        <v>121.3</v>
      </c>
      <c r="BY11" s="5">
        <v>121.5</v>
      </c>
      <c r="BZ11" s="5">
        <v>122.3</v>
      </c>
      <c r="CA11" s="75">
        <v>124.4</v>
      </c>
      <c r="CB11" s="5">
        <v>125.1</v>
      </c>
      <c r="CC11" s="5">
        <v>128.69999999999999</v>
      </c>
      <c r="CD11" s="5">
        <v>130.6</v>
      </c>
      <c r="CE11" s="5">
        <v>131.5</v>
      </c>
      <c r="CF11" s="5">
        <v>132.19999999999999</v>
      </c>
      <c r="CG11" s="5">
        <v>133.1</v>
      </c>
      <c r="CH11" s="5">
        <v>136.19999999999999</v>
      </c>
      <c r="CI11" s="5">
        <v>138.80000000000001</v>
      </c>
      <c r="CJ11" s="5">
        <v>141.1</v>
      </c>
      <c r="CK11" s="5">
        <v>141.80000000000001</v>
      </c>
      <c r="CL11" s="5">
        <v>141.80000000000001</v>
      </c>
      <c r="CM11" s="5">
        <v>150.19999999999999</v>
      </c>
      <c r="CN11" s="75">
        <v>148.15</v>
      </c>
      <c r="CO11" s="5">
        <v>150.30000000000001</v>
      </c>
      <c r="CP11" s="5">
        <v>150.30000000000001</v>
      </c>
      <c r="CQ11" s="5">
        <v>149.9</v>
      </c>
      <c r="CR11" s="5">
        <v>149.30000000000001</v>
      </c>
      <c r="CS11" s="5">
        <v>150.30000000000001</v>
      </c>
      <c r="CT11" s="5">
        <v>155.9</v>
      </c>
      <c r="CU11" s="5">
        <v>159.5</v>
      </c>
      <c r="CV11" s="5">
        <v>159.5</v>
      </c>
      <c r="CW11" s="5">
        <v>158.30000000000001</v>
      </c>
      <c r="CX11" s="5">
        <v>159.19999999999999</v>
      </c>
      <c r="CY11" s="5">
        <v>161.1</v>
      </c>
      <c r="CZ11" s="5">
        <v>165.1</v>
      </c>
      <c r="DA11" s="5">
        <v>165.5</v>
      </c>
      <c r="DB11" s="5">
        <v>163.6</v>
      </c>
      <c r="DC11" s="5">
        <v>162.80000000000001</v>
      </c>
      <c r="DD11" s="5">
        <v>163.9</v>
      </c>
      <c r="DE11" s="5">
        <v>165.2</v>
      </c>
      <c r="DF11" s="5">
        <v>165.4</v>
      </c>
      <c r="DG11" s="5">
        <v>164.5</v>
      </c>
      <c r="DH11" s="5">
        <v>164</v>
      </c>
      <c r="DI11" s="5">
        <v>163.9</v>
      </c>
      <c r="DJ11" s="5">
        <v>164.2</v>
      </c>
      <c r="DK11" s="5">
        <v>165.1</v>
      </c>
      <c r="DL11" s="5">
        <v>165</v>
      </c>
      <c r="DM11" s="5">
        <v>164.6</v>
      </c>
      <c r="DN11" s="5">
        <v>164.4</v>
      </c>
      <c r="DO11" s="5">
        <v>167.1</v>
      </c>
      <c r="DP11" s="5">
        <v>169</v>
      </c>
      <c r="DQ11" s="5">
        <v>169.7</v>
      </c>
      <c r="DR11" s="5">
        <v>170.2</v>
      </c>
      <c r="DS11" s="5">
        <v>170.5</v>
      </c>
      <c r="DT11" s="5">
        <v>170.7</v>
      </c>
      <c r="DU11" s="5">
        <v>170.4</v>
      </c>
      <c r="DV11" s="5">
        <v>170.5</v>
      </c>
      <c r="DW11" s="5">
        <v>172.8</v>
      </c>
      <c r="DX11" s="5">
        <v>174.9</v>
      </c>
      <c r="DY11">
        <f t="shared" si="0"/>
        <v>0</v>
      </c>
    </row>
    <row r="12" spans="1:129" x14ac:dyDescent="0.35">
      <c r="A12" s="34" t="s">
        <v>30</v>
      </c>
      <c r="B12" s="5" t="s">
        <v>51</v>
      </c>
      <c r="C12" s="5" t="s">
        <v>11</v>
      </c>
      <c r="D12" s="5">
        <v>106.8</v>
      </c>
      <c r="E12" s="5">
        <v>105.7</v>
      </c>
      <c r="F12" s="5">
        <v>105</v>
      </c>
      <c r="G12" s="5">
        <v>104.2</v>
      </c>
      <c r="H12" s="5">
        <v>103.7</v>
      </c>
      <c r="I12" s="5">
        <v>104.1</v>
      </c>
      <c r="J12" s="5">
        <v>104.3</v>
      </c>
      <c r="K12" s="5">
        <v>104.1</v>
      </c>
      <c r="L12" s="5">
        <v>104.2</v>
      </c>
      <c r="M12" s="5">
        <v>103.9</v>
      </c>
      <c r="N12" s="5">
        <v>103.6</v>
      </c>
      <c r="O12" s="5">
        <v>102.9</v>
      </c>
      <c r="P12" s="5">
        <v>101.8</v>
      </c>
      <c r="Q12" s="5">
        <v>101.1</v>
      </c>
      <c r="R12" s="5">
        <v>101.2</v>
      </c>
      <c r="S12" s="5">
        <v>102.6</v>
      </c>
      <c r="T12" s="5">
        <v>103.5</v>
      </c>
      <c r="U12" s="5">
        <v>103.6</v>
      </c>
      <c r="V12" s="5">
        <v>104.8</v>
      </c>
      <c r="W12" s="5">
        <v>105.1</v>
      </c>
      <c r="X12" s="5">
        <v>104.7</v>
      </c>
      <c r="Y12" s="5">
        <v>104</v>
      </c>
      <c r="Z12" s="5">
        <v>103.3</v>
      </c>
      <c r="AA12" s="5">
        <v>102</v>
      </c>
      <c r="AB12" s="5">
        <v>100.5</v>
      </c>
      <c r="AC12" s="5">
        <v>100</v>
      </c>
      <c r="AD12" s="5">
        <v>98.9</v>
      </c>
      <c r="AE12" s="5">
        <v>97.8</v>
      </c>
      <c r="AF12" s="5">
        <v>97.6</v>
      </c>
      <c r="AG12" s="5">
        <v>96.3</v>
      </c>
      <c r="AH12" s="5">
        <v>94.1</v>
      </c>
      <c r="AI12" s="5">
        <v>93.1</v>
      </c>
      <c r="AJ12" s="5">
        <v>92.5</v>
      </c>
      <c r="AK12" s="5">
        <v>93.7</v>
      </c>
      <c r="AL12" s="5">
        <v>94.5</v>
      </c>
      <c r="AM12" s="5">
        <v>95.4</v>
      </c>
      <c r="AN12" s="5">
        <v>97.7</v>
      </c>
      <c r="AO12" s="5">
        <v>98.7</v>
      </c>
      <c r="AP12" s="5">
        <v>100.4</v>
      </c>
      <c r="AQ12" s="5">
        <v>105</v>
      </c>
      <c r="AR12" s="5">
        <v>107.5</v>
      </c>
      <c r="AS12" s="5">
        <v>108.8</v>
      </c>
      <c r="AT12" s="5">
        <v>110.3</v>
      </c>
      <c r="AU12" s="5">
        <v>112.1</v>
      </c>
      <c r="AV12" s="5">
        <v>113.1</v>
      </c>
      <c r="AW12" s="5">
        <v>113.4</v>
      </c>
      <c r="AX12" s="5">
        <v>113.4</v>
      </c>
      <c r="AY12" s="5">
        <v>113.8</v>
      </c>
      <c r="AZ12" s="5">
        <v>114.8</v>
      </c>
      <c r="BA12" s="5">
        <v>116.2</v>
      </c>
      <c r="BB12" s="5">
        <v>116.9</v>
      </c>
      <c r="BC12" s="5">
        <v>117.4</v>
      </c>
      <c r="BD12" s="5">
        <v>118.6</v>
      </c>
      <c r="BE12" s="5">
        <v>118.9</v>
      </c>
      <c r="BF12" s="5">
        <v>120</v>
      </c>
      <c r="BG12" s="5">
        <v>120.8</v>
      </c>
      <c r="BH12" s="5">
        <v>121</v>
      </c>
      <c r="BI12" s="5">
        <v>121.4</v>
      </c>
      <c r="BJ12" s="5">
        <v>122.5</v>
      </c>
      <c r="BK12" s="5">
        <v>121.9</v>
      </c>
      <c r="BL12" s="5">
        <v>119.5</v>
      </c>
      <c r="BM12" s="5">
        <v>117.9</v>
      </c>
      <c r="BN12" s="5">
        <v>117.1</v>
      </c>
      <c r="BO12" s="5">
        <v>115.2</v>
      </c>
      <c r="BP12" s="5">
        <v>111.8</v>
      </c>
      <c r="BQ12" s="5">
        <v>112.4</v>
      </c>
      <c r="BR12" s="5">
        <v>114.3</v>
      </c>
      <c r="BS12" s="5">
        <v>115.4</v>
      </c>
      <c r="BT12" s="5">
        <v>114.4</v>
      </c>
      <c r="BU12" s="5">
        <v>112.3</v>
      </c>
      <c r="BV12" s="5">
        <v>111.6</v>
      </c>
      <c r="BW12" s="5">
        <v>109.9</v>
      </c>
      <c r="BX12" s="5">
        <v>108.4</v>
      </c>
      <c r="BY12" s="5">
        <v>108.3</v>
      </c>
      <c r="BZ12" s="5">
        <v>108.3</v>
      </c>
      <c r="CA12" s="75">
        <v>109.125</v>
      </c>
      <c r="CB12" s="5">
        <v>109.3</v>
      </c>
      <c r="CC12" s="5">
        <v>110.6</v>
      </c>
      <c r="CD12" s="5">
        <v>110.8</v>
      </c>
      <c r="CE12" s="5">
        <v>111.7</v>
      </c>
      <c r="CF12" s="5">
        <v>112.8</v>
      </c>
      <c r="CG12" s="5">
        <v>113.6</v>
      </c>
      <c r="CH12" s="5">
        <v>113.8</v>
      </c>
      <c r="CI12" s="5">
        <v>113.6</v>
      </c>
      <c r="CJ12" s="5">
        <v>113.8</v>
      </c>
      <c r="CK12" s="5">
        <v>113.1</v>
      </c>
      <c r="CL12" s="5">
        <v>112.6</v>
      </c>
      <c r="CM12" s="5">
        <v>119.8</v>
      </c>
      <c r="CN12" s="75">
        <v>114.69999999999999</v>
      </c>
      <c r="CO12" s="5">
        <v>113.2</v>
      </c>
      <c r="CP12" s="5">
        <v>113.2</v>
      </c>
      <c r="CQ12" s="5">
        <v>114.2</v>
      </c>
      <c r="CR12" s="5">
        <v>115.1</v>
      </c>
      <c r="CS12" s="5">
        <v>115.3</v>
      </c>
      <c r="CT12" s="5">
        <v>114.9</v>
      </c>
      <c r="CU12" s="5">
        <v>114.4</v>
      </c>
      <c r="CV12" s="5">
        <v>113.8</v>
      </c>
      <c r="CW12" s="5">
        <v>111.8</v>
      </c>
      <c r="CX12" s="5">
        <v>111.7</v>
      </c>
      <c r="CY12" s="5">
        <v>112.2</v>
      </c>
      <c r="CZ12" s="5">
        <v>114.3</v>
      </c>
      <c r="DA12" s="5">
        <v>114.6</v>
      </c>
      <c r="DB12" s="5">
        <v>113.9</v>
      </c>
      <c r="DC12" s="5">
        <v>115.2</v>
      </c>
      <c r="DD12" s="5">
        <v>119.3</v>
      </c>
      <c r="DE12" s="5">
        <v>121.6</v>
      </c>
      <c r="DF12" s="5">
        <v>122.1</v>
      </c>
      <c r="DG12" s="5">
        <v>120.6</v>
      </c>
      <c r="DH12" s="5">
        <v>119.3</v>
      </c>
      <c r="DI12" s="5">
        <v>118.1</v>
      </c>
      <c r="DJ12" s="5">
        <v>118.1</v>
      </c>
      <c r="DK12" s="5">
        <v>118.2</v>
      </c>
      <c r="DL12" s="5">
        <v>118.9</v>
      </c>
      <c r="DM12" s="5">
        <v>119.1</v>
      </c>
      <c r="DN12" s="5">
        <v>119.2</v>
      </c>
      <c r="DO12" s="5">
        <v>120.2</v>
      </c>
      <c r="DP12" s="5">
        <v>120.8</v>
      </c>
      <c r="DQ12" s="5">
        <v>121.1</v>
      </c>
      <c r="DR12" s="5">
        <v>121.5</v>
      </c>
      <c r="DS12" s="5">
        <v>121.2</v>
      </c>
      <c r="DT12" s="5">
        <v>120.3</v>
      </c>
      <c r="DU12" s="5">
        <v>119.1</v>
      </c>
      <c r="DV12" s="5">
        <v>119.1</v>
      </c>
      <c r="DW12" s="5">
        <v>120.4</v>
      </c>
      <c r="DX12" s="5">
        <v>121.9</v>
      </c>
      <c r="DY12">
        <f t="shared" si="0"/>
        <v>0</v>
      </c>
    </row>
    <row r="13" spans="1:129" x14ac:dyDescent="0.35">
      <c r="A13" s="34" t="s">
        <v>30</v>
      </c>
      <c r="B13" s="5" t="s">
        <v>51</v>
      </c>
      <c r="C13" s="5" t="s">
        <v>12</v>
      </c>
      <c r="D13" s="5">
        <v>103.1</v>
      </c>
      <c r="E13" s="5">
        <v>103.1</v>
      </c>
      <c r="F13" s="5">
        <v>103.3</v>
      </c>
      <c r="G13" s="5">
        <v>103.2</v>
      </c>
      <c r="H13" s="5">
        <v>104</v>
      </c>
      <c r="I13" s="5">
        <v>105.4</v>
      </c>
      <c r="J13" s="5">
        <v>106.4</v>
      </c>
      <c r="K13" s="5">
        <v>106.9</v>
      </c>
      <c r="L13" s="5">
        <v>107.9</v>
      </c>
      <c r="M13" s="5">
        <v>108.2</v>
      </c>
      <c r="N13" s="5">
        <v>109</v>
      </c>
      <c r="O13" s="5">
        <v>109.8</v>
      </c>
      <c r="P13" s="5">
        <v>110.2</v>
      </c>
      <c r="Q13" s="5">
        <v>110.4</v>
      </c>
      <c r="R13" s="5">
        <v>110.7</v>
      </c>
      <c r="S13" s="5">
        <v>111.2</v>
      </c>
      <c r="T13" s="5">
        <v>111.6</v>
      </c>
      <c r="U13" s="5">
        <v>112.3</v>
      </c>
      <c r="V13" s="5">
        <v>113.3</v>
      </c>
      <c r="W13" s="5">
        <v>114.6</v>
      </c>
      <c r="X13" s="5">
        <v>114.9</v>
      </c>
      <c r="Y13" s="5">
        <v>115.3</v>
      </c>
      <c r="Z13" s="5">
        <v>115.8</v>
      </c>
      <c r="AA13" s="5">
        <v>116</v>
      </c>
      <c r="AB13" s="5">
        <v>117.2</v>
      </c>
      <c r="AC13" s="5">
        <v>118.6</v>
      </c>
      <c r="AD13" s="5">
        <v>119.4</v>
      </c>
      <c r="AE13" s="5">
        <v>119.8</v>
      </c>
      <c r="AF13" s="5">
        <v>120.7</v>
      </c>
      <c r="AG13" s="5">
        <v>123</v>
      </c>
      <c r="AH13" s="5">
        <v>123.4</v>
      </c>
      <c r="AI13" s="5">
        <v>123.9</v>
      </c>
      <c r="AJ13" s="5">
        <v>125.4</v>
      </c>
      <c r="AK13" s="5">
        <v>126.6</v>
      </c>
      <c r="AL13" s="5">
        <v>128.30000000000001</v>
      </c>
      <c r="AM13" s="5">
        <v>128.9</v>
      </c>
      <c r="AN13" s="5">
        <v>129.6</v>
      </c>
      <c r="AO13" s="5">
        <v>130.6</v>
      </c>
      <c r="AP13" s="5">
        <v>130.80000000000001</v>
      </c>
      <c r="AQ13" s="5">
        <v>131.4</v>
      </c>
      <c r="AR13" s="5">
        <v>132.19999999999999</v>
      </c>
      <c r="AS13" s="5">
        <v>133.1</v>
      </c>
      <c r="AT13" s="5">
        <v>134.30000000000001</v>
      </c>
      <c r="AU13" s="5">
        <v>134.9</v>
      </c>
      <c r="AV13" s="5">
        <v>135.80000000000001</v>
      </c>
      <c r="AW13" s="5">
        <v>136.30000000000001</v>
      </c>
      <c r="AX13" s="5">
        <v>136.80000000000001</v>
      </c>
      <c r="AY13" s="5">
        <v>137.5</v>
      </c>
      <c r="AZ13" s="5">
        <v>136.9</v>
      </c>
      <c r="BA13" s="5">
        <v>136</v>
      </c>
      <c r="BB13" s="5">
        <v>135.6</v>
      </c>
      <c r="BC13" s="5">
        <v>134.1</v>
      </c>
      <c r="BD13" s="5">
        <v>134</v>
      </c>
      <c r="BE13" s="5">
        <v>133.5</v>
      </c>
      <c r="BF13" s="5">
        <v>133.9</v>
      </c>
      <c r="BG13" s="5">
        <v>134.69999999999999</v>
      </c>
      <c r="BH13" s="5">
        <v>134.69999999999999</v>
      </c>
      <c r="BI13" s="5">
        <v>135.6</v>
      </c>
      <c r="BJ13" s="5">
        <v>136</v>
      </c>
      <c r="BK13" s="5">
        <v>135.80000000000001</v>
      </c>
      <c r="BL13" s="5">
        <v>136</v>
      </c>
      <c r="BM13" s="5">
        <v>135.6</v>
      </c>
      <c r="BN13" s="5">
        <v>136.30000000000001</v>
      </c>
      <c r="BO13" s="5">
        <v>137.19999999999999</v>
      </c>
      <c r="BP13" s="5">
        <v>137.4</v>
      </c>
      <c r="BQ13" s="5">
        <v>137.6</v>
      </c>
      <c r="BR13" s="5">
        <v>138.19999999999999</v>
      </c>
      <c r="BS13" s="5">
        <v>138.6</v>
      </c>
      <c r="BT13" s="5">
        <v>138.69999999999999</v>
      </c>
      <c r="BU13" s="5">
        <v>139.5</v>
      </c>
      <c r="BV13" s="5">
        <v>140.6</v>
      </c>
      <c r="BW13" s="5">
        <v>140.19999999999999</v>
      </c>
      <c r="BX13" s="5">
        <v>138.9</v>
      </c>
      <c r="BY13" s="5">
        <v>139.19999999999999</v>
      </c>
      <c r="BZ13" s="5">
        <v>138.9</v>
      </c>
      <c r="CA13" s="75">
        <v>139.45000000000002</v>
      </c>
      <c r="CB13" s="5">
        <v>139.30000000000001</v>
      </c>
      <c r="CC13" s="5">
        <v>140.4</v>
      </c>
      <c r="CD13" s="5">
        <v>141.69999999999999</v>
      </c>
      <c r="CE13" s="5">
        <v>142.69999999999999</v>
      </c>
      <c r="CF13" s="5">
        <v>144.19999999999999</v>
      </c>
      <c r="CG13" s="5">
        <v>145.5</v>
      </c>
      <c r="CH13" s="5">
        <v>147.30000000000001</v>
      </c>
      <c r="CI13" s="5">
        <v>149.1</v>
      </c>
      <c r="CJ13" s="5">
        <v>151.6</v>
      </c>
      <c r="CK13" s="5">
        <v>152.80000000000001</v>
      </c>
      <c r="CL13" s="5">
        <v>154</v>
      </c>
      <c r="CM13" s="5">
        <v>158.69999999999999</v>
      </c>
      <c r="CN13" s="75">
        <v>158.07499999999999</v>
      </c>
      <c r="CO13" s="5">
        <v>159.80000000000001</v>
      </c>
      <c r="CP13" s="5">
        <v>159.80000000000001</v>
      </c>
      <c r="CQ13" s="5">
        <v>160</v>
      </c>
      <c r="CR13" s="5">
        <v>160</v>
      </c>
      <c r="CS13" s="5">
        <v>160.9</v>
      </c>
      <c r="CT13" s="5">
        <v>162</v>
      </c>
      <c r="CU13" s="5">
        <v>163.5</v>
      </c>
      <c r="CV13" s="5">
        <v>164.5</v>
      </c>
      <c r="CW13" s="5">
        <v>165</v>
      </c>
      <c r="CX13" s="5">
        <v>164</v>
      </c>
      <c r="CY13" s="5">
        <v>164.4</v>
      </c>
      <c r="CZ13" s="5">
        <v>169.7</v>
      </c>
      <c r="DA13" s="5">
        <v>170</v>
      </c>
      <c r="DB13" s="5">
        <v>169.7</v>
      </c>
      <c r="DC13" s="5">
        <v>169.8</v>
      </c>
      <c r="DD13" s="5">
        <v>170.1</v>
      </c>
      <c r="DE13" s="5">
        <v>170.6</v>
      </c>
      <c r="DF13" s="5">
        <v>170.8</v>
      </c>
      <c r="DG13" s="5">
        <v>171.7</v>
      </c>
      <c r="DH13" s="5">
        <v>173.3</v>
      </c>
      <c r="DI13" s="5">
        <v>175.4</v>
      </c>
      <c r="DJ13" s="5">
        <v>178.7</v>
      </c>
      <c r="DK13" s="5">
        <v>182.9</v>
      </c>
      <c r="DL13" s="5">
        <v>186.6</v>
      </c>
      <c r="DM13" s="5">
        <v>188.9</v>
      </c>
      <c r="DN13" s="5">
        <v>191.8</v>
      </c>
      <c r="DO13" s="5">
        <v>195.6</v>
      </c>
      <c r="DP13" s="5">
        <v>199.1</v>
      </c>
      <c r="DQ13" s="5">
        <v>201.6</v>
      </c>
      <c r="DR13" s="5">
        <v>204.8</v>
      </c>
      <c r="DS13" s="5">
        <v>207.5</v>
      </c>
      <c r="DT13" s="5">
        <v>210.5</v>
      </c>
      <c r="DU13" s="5">
        <v>212.1</v>
      </c>
      <c r="DV13" s="5">
        <v>212.1</v>
      </c>
      <c r="DW13" s="5">
        <v>215.5</v>
      </c>
      <c r="DX13" s="5">
        <v>221</v>
      </c>
      <c r="DY13">
        <f t="shared" si="0"/>
        <v>0</v>
      </c>
    </row>
    <row r="14" spans="1:129" x14ac:dyDescent="0.35">
      <c r="A14" s="34" t="s">
        <v>30</v>
      </c>
      <c r="B14" s="5" t="s">
        <v>51</v>
      </c>
      <c r="C14" s="5" t="s">
        <v>13</v>
      </c>
      <c r="D14" s="5">
        <v>104.8</v>
      </c>
      <c r="E14" s="5">
        <v>105.1</v>
      </c>
      <c r="F14" s="5">
        <v>105.6</v>
      </c>
      <c r="G14" s="5">
        <v>106.5</v>
      </c>
      <c r="H14" s="5">
        <v>107.4</v>
      </c>
      <c r="I14" s="5">
        <v>108.2</v>
      </c>
      <c r="J14" s="5">
        <v>109.1</v>
      </c>
      <c r="K14" s="5">
        <v>109.7</v>
      </c>
      <c r="L14" s="5">
        <v>110.4</v>
      </c>
      <c r="M14" s="5">
        <v>111.1</v>
      </c>
      <c r="N14" s="5">
        <v>111.8</v>
      </c>
      <c r="O14" s="5">
        <v>112.1</v>
      </c>
      <c r="P14" s="5">
        <v>112.4</v>
      </c>
      <c r="Q14" s="5">
        <v>112.9</v>
      </c>
      <c r="R14" s="5">
        <v>113</v>
      </c>
      <c r="S14" s="5">
        <v>113.5</v>
      </c>
      <c r="T14" s="5">
        <v>114.2</v>
      </c>
      <c r="U14" s="5">
        <v>114.9</v>
      </c>
      <c r="V14" s="5">
        <v>115.6</v>
      </c>
      <c r="W14" s="5">
        <v>115.8</v>
      </c>
      <c r="X14" s="5">
        <v>116.5</v>
      </c>
      <c r="Y14" s="5">
        <v>116.8</v>
      </c>
      <c r="Z14" s="5">
        <v>116.8</v>
      </c>
      <c r="AA14" s="5">
        <v>117.3</v>
      </c>
      <c r="AB14" s="5">
        <v>117.9</v>
      </c>
      <c r="AC14" s="5">
        <v>118.8</v>
      </c>
      <c r="AD14" s="5">
        <v>118.9</v>
      </c>
      <c r="AE14" s="5">
        <v>119.4</v>
      </c>
      <c r="AF14" s="5">
        <v>120.2</v>
      </c>
      <c r="AG14" s="5">
        <v>121.1</v>
      </c>
      <c r="AH14" s="5">
        <v>121</v>
      </c>
      <c r="AI14" s="5">
        <v>121.5</v>
      </c>
      <c r="AJ14" s="5">
        <v>121.9</v>
      </c>
      <c r="AK14" s="5">
        <v>122.3</v>
      </c>
      <c r="AL14" s="5">
        <v>123.1</v>
      </c>
      <c r="AM14" s="5">
        <v>123.3</v>
      </c>
      <c r="AN14" s="5">
        <v>124.3</v>
      </c>
      <c r="AO14" s="5">
        <v>124.8</v>
      </c>
      <c r="AP14" s="5">
        <v>124.9</v>
      </c>
      <c r="AQ14" s="5">
        <v>125.4</v>
      </c>
      <c r="AR14" s="5">
        <v>126.1</v>
      </c>
      <c r="AS14" s="5">
        <v>126.4</v>
      </c>
      <c r="AT14" s="5">
        <v>127.3</v>
      </c>
      <c r="AU14" s="5">
        <v>128.1</v>
      </c>
      <c r="AV14" s="5">
        <v>128.80000000000001</v>
      </c>
      <c r="AW14" s="5">
        <v>128.69999999999999</v>
      </c>
      <c r="AX14" s="5">
        <v>128.69999999999999</v>
      </c>
      <c r="AY14" s="5">
        <v>129.1</v>
      </c>
      <c r="AZ14" s="5">
        <v>129</v>
      </c>
      <c r="BA14" s="5">
        <v>129.4</v>
      </c>
      <c r="BB14" s="5">
        <v>129.80000000000001</v>
      </c>
      <c r="BC14" s="5">
        <v>130</v>
      </c>
      <c r="BD14" s="5">
        <v>130.30000000000001</v>
      </c>
      <c r="BE14" s="5">
        <v>130.4</v>
      </c>
      <c r="BF14" s="5">
        <v>131.4</v>
      </c>
      <c r="BG14" s="5">
        <v>131.6</v>
      </c>
      <c r="BH14" s="5">
        <v>131.69999999999999</v>
      </c>
      <c r="BI14" s="5">
        <v>131.30000000000001</v>
      </c>
      <c r="BJ14" s="5">
        <v>131.9</v>
      </c>
      <c r="BK14" s="5">
        <v>131.1</v>
      </c>
      <c r="BL14" s="5">
        <v>131.19999999999999</v>
      </c>
      <c r="BM14" s="5">
        <v>130.5</v>
      </c>
      <c r="BN14" s="5">
        <v>131.19999999999999</v>
      </c>
      <c r="BO14" s="5">
        <v>131.9</v>
      </c>
      <c r="BP14" s="5">
        <v>132.19999999999999</v>
      </c>
      <c r="BQ14" s="5">
        <v>132.80000000000001</v>
      </c>
      <c r="BR14" s="5">
        <v>132.80000000000001</v>
      </c>
      <c r="BS14" s="5">
        <v>133.80000000000001</v>
      </c>
      <c r="BT14" s="5">
        <v>133.1</v>
      </c>
      <c r="BU14" s="5">
        <v>134.6</v>
      </c>
      <c r="BV14" s="5">
        <v>137.5</v>
      </c>
      <c r="BW14" s="5">
        <v>137.80000000000001</v>
      </c>
      <c r="BX14" s="5">
        <v>137</v>
      </c>
      <c r="BY14" s="5">
        <v>137.4</v>
      </c>
      <c r="BZ14" s="5">
        <v>137.4</v>
      </c>
      <c r="CA14" s="75">
        <v>137.625</v>
      </c>
      <c r="CB14" s="5">
        <v>137.69999999999999</v>
      </c>
      <c r="CC14" s="5">
        <v>138</v>
      </c>
      <c r="CD14" s="5">
        <v>138.5</v>
      </c>
      <c r="CE14" s="5">
        <v>138.5</v>
      </c>
      <c r="CF14" s="5">
        <v>138.5</v>
      </c>
      <c r="CG14" s="5">
        <v>138.6</v>
      </c>
      <c r="CH14" s="5">
        <v>138.69999999999999</v>
      </c>
      <c r="CI14" s="5">
        <v>139.30000000000001</v>
      </c>
      <c r="CJ14" s="5">
        <v>139.69999999999999</v>
      </c>
      <c r="CK14" s="5">
        <v>140.1</v>
      </c>
      <c r="CL14" s="5">
        <v>140.1</v>
      </c>
      <c r="CM14" s="5">
        <v>139.19999999999999</v>
      </c>
      <c r="CN14" s="75">
        <v>140.875</v>
      </c>
      <c r="CO14" s="5">
        <v>142.1</v>
      </c>
      <c r="CP14" s="5">
        <v>142.1</v>
      </c>
      <c r="CQ14" s="5">
        <v>143.5</v>
      </c>
      <c r="CR14" s="5">
        <v>145.4</v>
      </c>
      <c r="CS14" s="5">
        <v>147.4</v>
      </c>
      <c r="CT14" s="5">
        <v>150</v>
      </c>
      <c r="CU14" s="5">
        <v>153.4</v>
      </c>
      <c r="CV14" s="5">
        <v>156.1</v>
      </c>
      <c r="CW14" s="5">
        <v>160</v>
      </c>
      <c r="CX14" s="5">
        <v>160.6</v>
      </c>
      <c r="CY14" s="5">
        <v>161.9</v>
      </c>
      <c r="CZ14" s="5">
        <v>164.6</v>
      </c>
      <c r="DA14" s="5">
        <v>165.5</v>
      </c>
      <c r="DB14" s="5">
        <v>166.2</v>
      </c>
      <c r="DC14" s="5">
        <v>167.6</v>
      </c>
      <c r="DD14" s="5">
        <v>168.3</v>
      </c>
      <c r="DE14" s="5">
        <v>168.8</v>
      </c>
      <c r="DF14" s="5">
        <v>169.1</v>
      </c>
      <c r="DG14" s="5">
        <v>169.7</v>
      </c>
      <c r="DH14" s="5">
        <v>169.8</v>
      </c>
      <c r="DI14" s="5">
        <v>170.5</v>
      </c>
      <c r="DJ14" s="5">
        <v>171.2</v>
      </c>
      <c r="DK14" s="5">
        <v>172.4</v>
      </c>
      <c r="DL14" s="5">
        <v>173.2</v>
      </c>
      <c r="DM14" s="5">
        <v>174.2</v>
      </c>
      <c r="DN14" s="5">
        <v>174.5</v>
      </c>
      <c r="DO14" s="5">
        <v>174.8</v>
      </c>
      <c r="DP14" s="5">
        <v>175.4</v>
      </c>
      <c r="DQ14" s="5">
        <v>175.8</v>
      </c>
      <c r="DR14" s="5">
        <v>176.4</v>
      </c>
      <c r="DS14" s="5">
        <v>176.8</v>
      </c>
      <c r="DT14" s="5">
        <v>176.9</v>
      </c>
      <c r="DU14" s="5">
        <v>177.6</v>
      </c>
      <c r="DV14" s="5">
        <v>177.6</v>
      </c>
      <c r="DW14" s="5">
        <v>178.2</v>
      </c>
      <c r="DX14" s="5">
        <v>178.7</v>
      </c>
      <c r="DY14">
        <f t="shared" si="0"/>
        <v>0</v>
      </c>
    </row>
    <row r="15" spans="1:129" x14ac:dyDescent="0.35">
      <c r="A15" s="34" t="s">
        <v>30</v>
      </c>
      <c r="B15" s="5" t="s">
        <v>51</v>
      </c>
      <c r="C15" s="5" t="s">
        <v>14</v>
      </c>
      <c r="D15" s="5">
        <v>106.7</v>
      </c>
      <c r="E15" s="5">
        <v>107.7</v>
      </c>
      <c r="F15" s="5">
        <v>108.2</v>
      </c>
      <c r="G15" s="5">
        <v>108.8</v>
      </c>
      <c r="H15" s="5">
        <v>109.9</v>
      </c>
      <c r="I15" s="5">
        <v>111</v>
      </c>
      <c r="J15" s="5">
        <v>112.1</v>
      </c>
      <c r="K15" s="5">
        <v>112.6</v>
      </c>
      <c r="L15" s="5">
        <v>114</v>
      </c>
      <c r="M15" s="5">
        <v>114.9</v>
      </c>
      <c r="N15" s="5">
        <v>116</v>
      </c>
      <c r="O15" s="5">
        <v>116.8</v>
      </c>
      <c r="P15" s="5">
        <v>117.3</v>
      </c>
      <c r="Q15" s="5">
        <v>117.8</v>
      </c>
      <c r="R15" s="5">
        <v>118.3</v>
      </c>
      <c r="S15" s="5">
        <v>118.7</v>
      </c>
      <c r="T15" s="5">
        <v>119.2</v>
      </c>
      <c r="U15" s="5">
        <v>120.1</v>
      </c>
      <c r="V15" s="5">
        <v>120.9</v>
      </c>
      <c r="W15" s="5">
        <v>121.7</v>
      </c>
      <c r="X15" s="5">
        <v>122.6</v>
      </c>
      <c r="Y15" s="5">
        <v>123.2</v>
      </c>
      <c r="Z15" s="5">
        <v>124.5</v>
      </c>
      <c r="AA15" s="5">
        <v>124.8</v>
      </c>
      <c r="AB15" s="5">
        <v>125.6</v>
      </c>
      <c r="AC15" s="5">
        <v>126.8</v>
      </c>
      <c r="AD15" s="5">
        <v>127.7</v>
      </c>
      <c r="AE15" s="5">
        <v>128.69999999999999</v>
      </c>
      <c r="AF15" s="5">
        <v>129.80000000000001</v>
      </c>
      <c r="AG15" s="5">
        <v>131.19999999999999</v>
      </c>
      <c r="AH15" s="5">
        <v>131.69999999999999</v>
      </c>
      <c r="AI15" s="5">
        <v>132.5</v>
      </c>
      <c r="AJ15" s="5">
        <v>132.69999999999999</v>
      </c>
      <c r="AK15" s="5">
        <v>133.1</v>
      </c>
      <c r="AL15" s="5">
        <v>134.19999999999999</v>
      </c>
      <c r="AM15" s="5">
        <v>135.1</v>
      </c>
      <c r="AN15" s="5">
        <v>135.9</v>
      </c>
      <c r="AO15" s="5">
        <v>136.4</v>
      </c>
      <c r="AP15" s="5">
        <v>137</v>
      </c>
      <c r="AQ15" s="5">
        <v>137.4</v>
      </c>
      <c r="AR15" s="5">
        <v>138.30000000000001</v>
      </c>
      <c r="AS15" s="5">
        <v>139.19999999999999</v>
      </c>
      <c r="AT15" s="5">
        <v>139.9</v>
      </c>
      <c r="AU15" s="5">
        <v>140.69999999999999</v>
      </c>
      <c r="AV15" s="5">
        <v>141.5</v>
      </c>
      <c r="AW15" s="5">
        <v>142.4</v>
      </c>
      <c r="AX15" s="5">
        <v>143.1</v>
      </c>
      <c r="AY15" s="5">
        <v>143.6</v>
      </c>
      <c r="AZ15" s="5">
        <v>143.9</v>
      </c>
      <c r="BA15" s="5">
        <v>144.4</v>
      </c>
      <c r="BB15" s="5">
        <v>145.4</v>
      </c>
      <c r="BC15" s="5">
        <v>145.5</v>
      </c>
      <c r="BD15" s="5">
        <v>145.80000000000001</v>
      </c>
      <c r="BE15" s="5">
        <v>146.5</v>
      </c>
      <c r="BF15" s="5">
        <v>147.69999999999999</v>
      </c>
      <c r="BG15" s="5">
        <v>148.69999999999999</v>
      </c>
      <c r="BH15" s="5">
        <v>149.30000000000001</v>
      </c>
      <c r="BI15" s="5">
        <v>150.30000000000001</v>
      </c>
      <c r="BJ15" s="5">
        <v>151.4</v>
      </c>
      <c r="BK15" s="5">
        <v>151.4</v>
      </c>
      <c r="BL15" s="5">
        <v>151.80000000000001</v>
      </c>
      <c r="BM15" s="5">
        <v>151.69999999999999</v>
      </c>
      <c r="BN15" s="5">
        <v>152.80000000000001</v>
      </c>
      <c r="BO15" s="5">
        <v>153.80000000000001</v>
      </c>
      <c r="BP15" s="5">
        <v>154.30000000000001</v>
      </c>
      <c r="BQ15" s="5">
        <v>154.30000000000001</v>
      </c>
      <c r="BR15" s="5">
        <v>154.80000000000001</v>
      </c>
      <c r="BS15" s="5">
        <v>155.19999999999999</v>
      </c>
      <c r="BT15" s="5">
        <v>155.9</v>
      </c>
      <c r="BU15" s="5">
        <v>155.19999999999999</v>
      </c>
      <c r="BV15" s="5">
        <v>156.1</v>
      </c>
      <c r="BW15" s="5">
        <v>156</v>
      </c>
      <c r="BX15" s="5">
        <v>155.80000000000001</v>
      </c>
      <c r="BY15" s="5">
        <v>156.19999999999999</v>
      </c>
      <c r="BZ15" s="5">
        <v>156.4</v>
      </c>
      <c r="CA15" s="75">
        <v>156.4</v>
      </c>
      <c r="CB15" s="5">
        <v>156.4</v>
      </c>
      <c r="CC15" s="5">
        <v>156.6</v>
      </c>
      <c r="CD15" s="5">
        <v>156.69999999999999</v>
      </c>
      <c r="CE15" s="5">
        <v>156.9</v>
      </c>
      <c r="CF15" s="5">
        <v>157.19999999999999</v>
      </c>
      <c r="CG15" s="5">
        <v>157.4</v>
      </c>
      <c r="CH15" s="5">
        <v>157.69999999999999</v>
      </c>
      <c r="CI15" s="5">
        <v>158.30000000000001</v>
      </c>
      <c r="CJ15" s="5">
        <v>158.69999999999999</v>
      </c>
      <c r="CK15" s="5">
        <v>159.19999999999999</v>
      </c>
      <c r="CL15" s="5">
        <v>160</v>
      </c>
      <c r="CM15" s="5">
        <f>CL15</f>
        <v>160</v>
      </c>
      <c r="CN15" s="75">
        <v>160.9</v>
      </c>
      <c r="CO15" s="5">
        <v>161.80000000000001</v>
      </c>
      <c r="CP15" s="5">
        <v>161.80000000000001</v>
      </c>
      <c r="CQ15" s="5">
        <v>161.5</v>
      </c>
      <c r="CR15" s="5">
        <v>161.6</v>
      </c>
      <c r="CS15" s="5">
        <v>161.9</v>
      </c>
      <c r="CT15" s="5">
        <v>162.69999999999999</v>
      </c>
      <c r="CU15" s="5">
        <v>163.6</v>
      </c>
      <c r="CV15" s="5">
        <v>164.3</v>
      </c>
      <c r="CW15" s="5">
        <v>165.8</v>
      </c>
      <c r="CX15" s="5">
        <v>166.4</v>
      </c>
      <c r="CY15" s="5">
        <v>166.8</v>
      </c>
      <c r="CZ15" s="5">
        <v>169.8</v>
      </c>
      <c r="DA15" s="5">
        <v>171.7</v>
      </c>
      <c r="DB15" s="5">
        <v>171</v>
      </c>
      <c r="DC15" s="5">
        <v>171.9</v>
      </c>
      <c r="DD15" s="5">
        <v>172.8</v>
      </c>
      <c r="DE15" s="5">
        <v>173.6</v>
      </c>
      <c r="DF15" s="5">
        <v>174.3</v>
      </c>
      <c r="DG15" s="5">
        <v>175.1</v>
      </c>
      <c r="DH15" s="5">
        <v>175.8</v>
      </c>
      <c r="DI15" s="5">
        <v>176.3</v>
      </c>
      <c r="DJ15" s="5">
        <v>177.4</v>
      </c>
      <c r="DK15" s="5">
        <v>178.9</v>
      </c>
      <c r="DL15" s="5">
        <v>180.4</v>
      </c>
      <c r="DM15" s="5">
        <v>181.9</v>
      </c>
      <c r="DN15" s="5">
        <v>183.1</v>
      </c>
      <c r="DO15" s="5">
        <v>184</v>
      </c>
      <c r="DP15" s="5">
        <v>184.8</v>
      </c>
      <c r="DQ15" s="5">
        <v>185.6</v>
      </c>
      <c r="DR15" s="5">
        <v>186.9</v>
      </c>
      <c r="DS15" s="5">
        <v>187.7</v>
      </c>
      <c r="DT15" s="5">
        <v>188.5</v>
      </c>
      <c r="DU15" s="5">
        <v>189.9</v>
      </c>
      <c r="DV15" s="5">
        <v>189.9</v>
      </c>
      <c r="DW15" s="5">
        <v>190.5</v>
      </c>
      <c r="DX15" s="5">
        <v>191.1</v>
      </c>
      <c r="DY15">
        <f t="shared" si="0"/>
        <v>0</v>
      </c>
    </row>
    <row r="16" spans="1:129" x14ac:dyDescent="0.35">
      <c r="A16" s="34" t="s">
        <v>30</v>
      </c>
      <c r="B16" s="5" t="s">
        <v>51</v>
      </c>
      <c r="C16" s="5" t="s">
        <v>15</v>
      </c>
      <c r="D16" s="5">
        <v>105.5</v>
      </c>
      <c r="E16" s="5">
        <v>106.3</v>
      </c>
      <c r="F16" s="5">
        <v>106.6</v>
      </c>
      <c r="G16" s="5">
        <v>107.1</v>
      </c>
      <c r="H16" s="5">
        <v>108.1</v>
      </c>
      <c r="I16" s="5">
        <v>110.6</v>
      </c>
      <c r="J16" s="5">
        <v>113.1</v>
      </c>
      <c r="K16" s="5">
        <v>114.9</v>
      </c>
      <c r="L16" s="5">
        <v>117.8</v>
      </c>
      <c r="M16" s="5">
        <v>119.8</v>
      </c>
      <c r="N16" s="5">
        <v>122.5</v>
      </c>
      <c r="O16" s="5">
        <v>118.7</v>
      </c>
      <c r="P16" s="5">
        <v>116</v>
      </c>
      <c r="Q16" s="5">
        <v>115.3</v>
      </c>
      <c r="R16" s="5">
        <v>116.2</v>
      </c>
      <c r="S16" s="5">
        <v>117.2</v>
      </c>
      <c r="T16" s="5">
        <v>118.2</v>
      </c>
      <c r="U16" s="5">
        <v>119.5</v>
      </c>
      <c r="V16" s="5">
        <v>123.3</v>
      </c>
      <c r="W16" s="5">
        <v>125.3</v>
      </c>
      <c r="X16" s="5">
        <v>125.3</v>
      </c>
      <c r="Y16" s="5">
        <v>125.1</v>
      </c>
      <c r="Z16" s="5">
        <v>124.9</v>
      </c>
      <c r="AA16" s="5">
        <v>123.3</v>
      </c>
      <c r="AB16" s="5">
        <v>122.8</v>
      </c>
      <c r="AC16" s="5">
        <v>122.8</v>
      </c>
      <c r="AD16" s="5">
        <v>123.1</v>
      </c>
      <c r="AE16" s="5">
        <v>123.6</v>
      </c>
      <c r="AF16" s="5">
        <v>124.4</v>
      </c>
      <c r="AG16" s="5">
        <v>126.6</v>
      </c>
      <c r="AH16" s="5">
        <v>127.5</v>
      </c>
      <c r="AI16" s="5">
        <v>129.80000000000001</v>
      </c>
      <c r="AJ16" s="5">
        <v>131</v>
      </c>
      <c r="AK16" s="5">
        <v>131.80000000000001</v>
      </c>
      <c r="AL16" s="5">
        <v>132.4</v>
      </c>
      <c r="AM16" s="5">
        <v>131.4</v>
      </c>
      <c r="AN16" s="5">
        <v>131.4</v>
      </c>
      <c r="AO16" s="5">
        <v>130.30000000000001</v>
      </c>
      <c r="AP16" s="5">
        <v>130.4</v>
      </c>
      <c r="AQ16" s="5">
        <v>131.80000000000001</v>
      </c>
      <c r="AR16" s="5">
        <v>133.6</v>
      </c>
      <c r="AS16" s="5">
        <v>136</v>
      </c>
      <c r="AT16" s="5">
        <v>137.6</v>
      </c>
      <c r="AU16" s="5">
        <v>138</v>
      </c>
      <c r="AV16" s="5">
        <v>137.19999999999999</v>
      </c>
      <c r="AW16" s="5">
        <v>137.4</v>
      </c>
      <c r="AX16" s="5">
        <v>136.6</v>
      </c>
      <c r="AY16" s="5">
        <v>134.69999999999999</v>
      </c>
      <c r="AZ16" s="5">
        <v>133.69999999999999</v>
      </c>
      <c r="BA16" s="5">
        <v>133.6</v>
      </c>
      <c r="BB16" s="5">
        <v>133.4</v>
      </c>
      <c r="BC16" s="5">
        <v>133.5</v>
      </c>
      <c r="BD16" s="5">
        <v>133.80000000000001</v>
      </c>
      <c r="BE16" s="5">
        <v>134.9</v>
      </c>
      <c r="BF16" s="5">
        <v>138.5</v>
      </c>
      <c r="BG16" s="5">
        <v>140.6</v>
      </c>
      <c r="BH16" s="5">
        <v>139.6</v>
      </c>
      <c r="BI16" s="5">
        <v>140.4</v>
      </c>
      <c r="BJ16" s="5">
        <v>142.4</v>
      </c>
      <c r="BK16" s="5">
        <v>141.5</v>
      </c>
      <c r="BL16" s="5">
        <v>140.4</v>
      </c>
      <c r="BM16" s="5">
        <v>138.69999999999999</v>
      </c>
      <c r="BN16" s="5">
        <v>138.6</v>
      </c>
      <c r="BO16" s="5">
        <v>138.6</v>
      </c>
      <c r="BP16" s="5">
        <v>139.1</v>
      </c>
      <c r="BQ16" s="5">
        <v>140</v>
      </c>
      <c r="BR16" s="5">
        <v>142</v>
      </c>
      <c r="BS16" s="5">
        <v>142.69999999999999</v>
      </c>
      <c r="BT16" s="5">
        <v>141.30000000000001</v>
      </c>
      <c r="BU16" s="5">
        <v>140.19999999999999</v>
      </c>
      <c r="BV16" s="5">
        <v>140</v>
      </c>
      <c r="BW16" s="5">
        <v>138.5</v>
      </c>
      <c r="BX16" s="5">
        <v>137.4</v>
      </c>
      <c r="BY16" s="5">
        <v>137.19999999999999</v>
      </c>
      <c r="BZ16" s="5">
        <v>137.30000000000001</v>
      </c>
      <c r="CA16" s="75">
        <v>138.67500000000001</v>
      </c>
      <c r="CB16" s="5">
        <v>139.19999999999999</v>
      </c>
      <c r="CC16" s="5">
        <v>141</v>
      </c>
      <c r="CD16" s="5">
        <v>143</v>
      </c>
      <c r="CE16" s="5">
        <v>144</v>
      </c>
      <c r="CF16" s="5">
        <v>145.5</v>
      </c>
      <c r="CG16" s="5">
        <v>148.30000000000001</v>
      </c>
      <c r="CH16" s="5">
        <v>150.9</v>
      </c>
      <c r="CI16" s="5">
        <v>154.30000000000001</v>
      </c>
      <c r="CJ16" s="5">
        <v>153</v>
      </c>
      <c r="CK16" s="5">
        <v>149.80000000000001</v>
      </c>
      <c r="CL16" s="5">
        <v>148.19999999999999</v>
      </c>
      <c r="CM16" s="5">
        <v>150.1</v>
      </c>
      <c r="CN16" s="75">
        <v>150.72499999999999</v>
      </c>
      <c r="CO16" s="5">
        <v>152.30000000000001</v>
      </c>
      <c r="CP16" s="5">
        <v>152.30000000000001</v>
      </c>
      <c r="CQ16" s="5">
        <v>155.30000000000001</v>
      </c>
      <c r="CR16" s="5">
        <v>156.1</v>
      </c>
      <c r="CS16" s="5">
        <v>159.6</v>
      </c>
      <c r="CT16" s="5">
        <v>163.4</v>
      </c>
      <c r="CU16" s="5">
        <v>164.5</v>
      </c>
      <c r="CV16" s="5">
        <v>159.6</v>
      </c>
      <c r="CW16" s="5">
        <v>154.69999999999999</v>
      </c>
      <c r="CX16" s="5">
        <v>154.5</v>
      </c>
      <c r="CY16" s="5">
        <v>155.6</v>
      </c>
      <c r="CZ16" s="5">
        <v>158.69999999999999</v>
      </c>
      <c r="DA16" s="5">
        <v>160.5</v>
      </c>
      <c r="DB16" s="5">
        <v>161.69999999999999</v>
      </c>
      <c r="DC16" s="5">
        <v>161.80000000000001</v>
      </c>
      <c r="DD16" s="5">
        <v>162.1</v>
      </c>
      <c r="DE16" s="5">
        <v>165.5</v>
      </c>
      <c r="DF16" s="5">
        <v>167.5</v>
      </c>
      <c r="DG16" s="5">
        <v>165.8</v>
      </c>
      <c r="DH16" s="5">
        <v>164.1</v>
      </c>
      <c r="DI16" s="5">
        <v>163.9</v>
      </c>
      <c r="DJ16" s="5">
        <v>166.6</v>
      </c>
      <c r="DK16" s="5">
        <v>168.6</v>
      </c>
      <c r="DL16" s="5">
        <v>170.8</v>
      </c>
      <c r="DM16" s="5">
        <v>172.4</v>
      </c>
      <c r="DN16" s="5">
        <v>172.5</v>
      </c>
      <c r="DO16" s="5">
        <v>173.9</v>
      </c>
      <c r="DP16" s="5">
        <v>175.5</v>
      </c>
      <c r="DQ16" s="5">
        <v>177.4</v>
      </c>
      <c r="DR16" s="5">
        <v>176.6</v>
      </c>
      <c r="DS16" s="5">
        <v>174.4</v>
      </c>
      <c r="DT16" s="5">
        <v>175</v>
      </c>
      <c r="DU16" s="5">
        <v>174.8</v>
      </c>
      <c r="DV16" s="5">
        <v>174.8</v>
      </c>
      <c r="DW16" s="5">
        <v>175.5</v>
      </c>
      <c r="DX16" s="5">
        <v>176.8</v>
      </c>
      <c r="DY16">
        <f t="shared" si="0"/>
        <v>0</v>
      </c>
    </row>
    <row r="17" spans="1:129" x14ac:dyDescent="0.35">
      <c r="A17" s="34" t="s">
        <v>30</v>
      </c>
      <c r="B17" s="5" t="s">
        <v>52</v>
      </c>
      <c r="C17" s="5" t="s">
        <v>16</v>
      </c>
      <c r="D17" s="5">
        <v>105.1</v>
      </c>
      <c r="E17" s="5">
        <v>105.6</v>
      </c>
      <c r="F17" s="5">
        <v>106.5</v>
      </c>
      <c r="G17" s="5">
        <v>107.1</v>
      </c>
      <c r="H17" s="5">
        <v>108.1</v>
      </c>
      <c r="I17" s="5">
        <v>109</v>
      </c>
      <c r="J17" s="5">
        <v>109.8</v>
      </c>
      <c r="K17" s="5">
        <v>110.7</v>
      </c>
      <c r="L17" s="5">
        <v>111.7</v>
      </c>
      <c r="M17" s="5">
        <v>112.2</v>
      </c>
      <c r="N17" s="5">
        <v>112.8</v>
      </c>
      <c r="O17" s="5">
        <v>113.6</v>
      </c>
      <c r="P17" s="5">
        <v>114</v>
      </c>
      <c r="Q17" s="5">
        <v>114.2</v>
      </c>
      <c r="R17" s="5">
        <v>114.6</v>
      </c>
      <c r="S17" s="5">
        <v>115.4</v>
      </c>
      <c r="T17" s="5">
        <v>116.3</v>
      </c>
      <c r="U17" s="5">
        <v>117.3</v>
      </c>
      <c r="V17" s="5">
        <v>118</v>
      </c>
      <c r="W17" s="5">
        <v>118.8</v>
      </c>
      <c r="X17" s="5">
        <v>119.5</v>
      </c>
      <c r="Y17" s="5">
        <v>120</v>
      </c>
      <c r="Z17" s="5">
        <v>120.8</v>
      </c>
      <c r="AA17" s="5">
        <v>121.7</v>
      </c>
      <c r="AB17" s="5">
        <v>122.7</v>
      </c>
      <c r="AC17" s="5">
        <v>124.2</v>
      </c>
      <c r="AD17" s="5">
        <v>124.7</v>
      </c>
      <c r="AE17" s="5">
        <v>125.7</v>
      </c>
      <c r="AF17" s="5">
        <v>126.7</v>
      </c>
      <c r="AG17" s="5">
        <v>128.19999999999999</v>
      </c>
      <c r="AH17" s="5">
        <v>129.4</v>
      </c>
      <c r="AI17" s="5">
        <v>130.1</v>
      </c>
      <c r="AJ17" s="5">
        <v>131</v>
      </c>
      <c r="AK17" s="5">
        <v>131.5</v>
      </c>
      <c r="AL17" s="5">
        <v>132.19999999999999</v>
      </c>
      <c r="AM17" s="5">
        <v>133.1</v>
      </c>
      <c r="AN17" s="5">
        <v>133.6</v>
      </c>
      <c r="AO17" s="5">
        <v>134.4</v>
      </c>
      <c r="AP17" s="5">
        <v>135</v>
      </c>
      <c r="AQ17" s="5">
        <v>135.5</v>
      </c>
      <c r="AR17" s="5">
        <v>136</v>
      </c>
      <c r="AS17" s="5">
        <v>137.19999999999999</v>
      </c>
      <c r="AT17" s="5">
        <v>138</v>
      </c>
      <c r="AU17" s="5">
        <v>138.9</v>
      </c>
      <c r="AV17" s="5">
        <v>139.9</v>
      </c>
      <c r="AW17" s="5">
        <v>140.9</v>
      </c>
      <c r="AX17" s="5">
        <v>141.19999999999999</v>
      </c>
      <c r="AY17" s="5">
        <v>142.4</v>
      </c>
      <c r="AZ17" s="5">
        <v>143.1</v>
      </c>
      <c r="BA17" s="5">
        <v>143.69999999999999</v>
      </c>
      <c r="BB17" s="5">
        <v>144.19999999999999</v>
      </c>
      <c r="BC17" s="5">
        <v>144.4</v>
      </c>
      <c r="BD17" s="5">
        <v>145.5</v>
      </c>
      <c r="BE17" s="5">
        <v>145.80000000000001</v>
      </c>
      <c r="BF17" s="5">
        <v>147.4</v>
      </c>
      <c r="BG17" s="5">
        <v>149</v>
      </c>
      <c r="BH17" s="5">
        <v>149.80000000000001</v>
      </c>
      <c r="BI17" s="5">
        <v>150.5</v>
      </c>
      <c r="BJ17" s="5">
        <v>152.1</v>
      </c>
      <c r="BK17" s="5">
        <v>153.19999999999999</v>
      </c>
      <c r="BL17" s="5">
        <v>153.6</v>
      </c>
      <c r="BM17" s="5">
        <v>153.30000000000001</v>
      </c>
      <c r="BN17" s="5">
        <v>155.1</v>
      </c>
      <c r="BO17" s="5">
        <v>156.1</v>
      </c>
      <c r="BP17" s="5">
        <v>157</v>
      </c>
      <c r="BQ17" s="5">
        <v>157.30000000000001</v>
      </c>
      <c r="BR17" s="5">
        <v>156.1</v>
      </c>
      <c r="BS17" s="5">
        <v>156.4</v>
      </c>
      <c r="BT17" s="5">
        <v>157.69999999999999</v>
      </c>
      <c r="BU17" s="5">
        <v>159.6</v>
      </c>
      <c r="BV17" s="5">
        <v>161.9</v>
      </c>
      <c r="BW17" s="5">
        <v>162.4</v>
      </c>
      <c r="BX17" s="5">
        <v>162.69999999999999</v>
      </c>
      <c r="BY17" s="5">
        <v>162.80000000000001</v>
      </c>
      <c r="BZ17" s="5">
        <v>162.9</v>
      </c>
      <c r="CA17" s="75">
        <v>163.30000000000001</v>
      </c>
      <c r="CB17" s="5">
        <v>163.30000000000001</v>
      </c>
      <c r="CC17" s="5">
        <v>164.2</v>
      </c>
      <c r="CD17" s="5">
        <v>164.5</v>
      </c>
      <c r="CE17" s="5">
        <v>165.1</v>
      </c>
      <c r="CF17" s="5">
        <v>165.7</v>
      </c>
      <c r="CG17" s="5">
        <v>166.3</v>
      </c>
      <c r="CH17" s="5">
        <v>167.2</v>
      </c>
      <c r="CI17" s="5">
        <v>167.8</v>
      </c>
      <c r="CJ17" s="5">
        <v>168.6</v>
      </c>
      <c r="CK17" s="5">
        <v>169.4</v>
      </c>
      <c r="CL17" s="5">
        <v>170.5</v>
      </c>
      <c r="CM17" s="5">
        <f t="shared" ref="CM17:CM20" si="1">CL17</f>
        <v>170.5</v>
      </c>
      <c r="CN17" s="75">
        <v>176.45</v>
      </c>
      <c r="CO17" s="5">
        <v>182.4</v>
      </c>
      <c r="CP17" s="5">
        <v>182.4</v>
      </c>
      <c r="CQ17" s="5">
        <v>180.9</v>
      </c>
      <c r="CR17" s="5">
        <v>182.9</v>
      </c>
      <c r="CS17" s="5">
        <v>182.7</v>
      </c>
      <c r="CT17" s="5">
        <v>183.4</v>
      </c>
      <c r="CU17" s="5">
        <v>183.6</v>
      </c>
      <c r="CV17" s="5">
        <v>184.6</v>
      </c>
      <c r="CW17" s="5">
        <v>186.5</v>
      </c>
      <c r="CX17" s="5">
        <v>186.1</v>
      </c>
      <c r="CY17" s="5">
        <v>186.8</v>
      </c>
      <c r="CZ17" s="5">
        <v>189.6</v>
      </c>
      <c r="DA17" s="5">
        <v>189.1</v>
      </c>
      <c r="DB17" s="5">
        <v>189.7</v>
      </c>
      <c r="DC17" s="5">
        <v>190.2</v>
      </c>
      <c r="DD17" s="5">
        <v>190.5</v>
      </c>
      <c r="DE17" s="5">
        <v>191.2</v>
      </c>
      <c r="DF17" s="5">
        <v>191.4</v>
      </c>
      <c r="DG17" s="5">
        <v>190.8</v>
      </c>
      <c r="DH17" s="5">
        <v>190.7</v>
      </c>
      <c r="DI17" s="5">
        <v>191.5</v>
      </c>
      <c r="DJ17" s="5">
        <v>192.3</v>
      </c>
      <c r="DK17" s="5">
        <v>192.8</v>
      </c>
      <c r="DL17" s="5">
        <v>192.9</v>
      </c>
      <c r="DM17" s="5">
        <v>192.9</v>
      </c>
      <c r="DN17" s="5">
        <v>193.2</v>
      </c>
      <c r="DO17" s="5">
        <v>193.7</v>
      </c>
      <c r="DP17" s="5">
        <v>194.5</v>
      </c>
      <c r="DQ17" s="5">
        <v>194.9</v>
      </c>
      <c r="DR17" s="5">
        <v>195.5</v>
      </c>
      <c r="DS17" s="5">
        <v>195.9</v>
      </c>
      <c r="DT17" s="5">
        <v>196.9</v>
      </c>
      <c r="DU17" s="5">
        <v>198.3</v>
      </c>
      <c r="DV17" s="5">
        <v>198.4</v>
      </c>
      <c r="DW17" s="5">
        <v>199.5</v>
      </c>
      <c r="DX17" s="5">
        <v>199.9</v>
      </c>
      <c r="DY17">
        <f t="shared" si="0"/>
        <v>0</v>
      </c>
    </row>
    <row r="18" spans="1:129" x14ac:dyDescent="0.35">
      <c r="A18" s="34" t="s">
        <v>30</v>
      </c>
      <c r="B18" s="5" t="s">
        <v>53</v>
      </c>
      <c r="C18" s="5" t="s">
        <v>17</v>
      </c>
      <c r="D18" s="5">
        <v>106.5</v>
      </c>
      <c r="E18" s="5">
        <v>107.1</v>
      </c>
      <c r="F18" s="5">
        <v>107.6</v>
      </c>
      <c r="G18" s="5">
        <v>108.1</v>
      </c>
      <c r="H18" s="5">
        <v>108.8</v>
      </c>
      <c r="I18" s="5">
        <v>109.7</v>
      </c>
      <c r="J18" s="5">
        <v>110.5</v>
      </c>
      <c r="K18" s="5">
        <v>111.3</v>
      </c>
      <c r="L18" s="5">
        <v>112.7</v>
      </c>
      <c r="M18" s="5">
        <v>113.6</v>
      </c>
      <c r="N18" s="5">
        <v>114.6</v>
      </c>
      <c r="O18" s="5">
        <v>115.8</v>
      </c>
      <c r="P18" s="5">
        <v>116.5</v>
      </c>
      <c r="Q18" s="5">
        <v>117.1</v>
      </c>
      <c r="R18" s="5">
        <v>117.5</v>
      </c>
      <c r="S18" s="5">
        <v>118.1</v>
      </c>
      <c r="T18" s="5">
        <v>118.7</v>
      </c>
      <c r="U18" s="5">
        <v>119.7</v>
      </c>
      <c r="V18" s="5">
        <v>120.7</v>
      </c>
      <c r="W18" s="5">
        <v>120.9</v>
      </c>
      <c r="X18" s="5">
        <v>121.7</v>
      </c>
      <c r="Y18" s="5">
        <v>122.7</v>
      </c>
      <c r="Z18" s="5">
        <v>123.3</v>
      </c>
      <c r="AA18" s="5">
        <v>123.8</v>
      </c>
      <c r="AB18" s="5">
        <v>124.4</v>
      </c>
      <c r="AC18" s="5">
        <v>125.4</v>
      </c>
      <c r="AD18" s="5">
        <v>126</v>
      </c>
      <c r="AE18" s="5">
        <v>126.4</v>
      </c>
      <c r="AF18" s="5">
        <v>127.3</v>
      </c>
      <c r="AG18" s="5">
        <v>128.4</v>
      </c>
      <c r="AH18" s="5">
        <v>128.80000000000001</v>
      </c>
      <c r="AI18" s="5">
        <v>129.5</v>
      </c>
      <c r="AJ18" s="5">
        <v>130.4</v>
      </c>
      <c r="AK18" s="5">
        <v>131.1</v>
      </c>
      <c r="AL18" s="5">
        <v>132.1</v>
      </c>
      <c r="AM18" s="5">
        <v>132.5</v>
      </c>
      <c r="AN18" s="5">
        <v>133.19999999999999</v>
      </c>
      <c r="AO18" s="5">
        <v>133.9</v>
      </c>
      <c r="AP18" s="5">
        <v>134.4</v>
      </c>
      <c r="AQ18" s="5">
        <v>135</v>
      </c>
      <c r="AR18" s="5">
        <v>135.4</v>
      </c>
      <c r="AS18" s="5">
        <v>136.30000000000001</v>
      </c>
      <c r="AT18" s="5">
        <v>137.19999999999999</v>
      </c>
      <c r="AU18" s="5">
        <v>137.80000000000001</v>
      </c>
      <c r="AV18" s="5">
        <v>138.5</v>
      </c>
      <c r="AW18" s="5">
        <v>139.6</v>
      </c>
      <c r="AX18" s="5">
        <v>139.9</v>
      </c>
      <c r="AY18" s="5">
        <v>140.4</v>
      </c>
      <c r="AZ18" s="5">
        <v>140.69999999999999</v>
      </c>
      <c r="BA18" s="5">
        <v>140.9</v>
      </c>
      <c r="BB18" s="5">
        <v>141.6</v>
      </c>
      <c r="BC18" s="5">
        <v>142.4</v>
      </c>
      <c r="BD18" s="5">
        <v>142.5</v>
      </c>
      <c r="BE18" s="5">
        <v>143.1</v>
      </c>
      <c r="BF18" s="5">
        <v>144.30000000000001</v>
      </c>
      <c r="BG18" s="5">
        <v>145.30000000000001</v>
      </c>
      <c r="BH18" s="5">
        <v>146.1</v>
      </c>
      <c r="BI18" s="5">
        <v>147.19999999999999</v>
      </c>
      <c r="BJ18" s="5">
        <v>148.19999999999999</v>
      </c>
      <c r="BK18" s="5">
        <v>148</v>
      </c>
      <c r="BL18" s="5">
        <v>148.30000000000001</v>
      </c>
      <c r="BM18" s="5">
        <v>148.69999999999999</v>
      </c>
      <c r="BN18" s="5">
        <v>149.19999999999999</v>
      </c>
      <c r="BO18" s="5">
        <v>150.1</v>
      </c>
      <c r="BP18" s="5">
        <v>150.80000000000001</v>
      </c>
      <c r="BQ18" s="5">
        <v>151.30000000000001</v>
      </c>
      <c r="BR18" s="5">
        <v>151.5</v>
      </c>
      <c r="BS18" s="5">
        <v>152.1</v>
      </c>
      <c r="BT18" s="5">
        <v>152.1</v>
      </c>
      <c r="BU18" s="5">
        <v>150.69999999999999</v>
      </c>
      <c r="BV18" s="5">
        <v>151.69999999999999</v>
      </c>
      <c r="BW18" s="5">
        <v>151.6</v>
      </c>
      <c r="BX18" s="5">
        <v>150.6</v>
      </c>
      <c r="BY18" s="5">
        <v>150.5</v>
      </c>
      <c r="BZ18" s="5">
        <v>150.80000000000001</v>
      </c>
      <c r="CA18" s="75">
        <v>151</v>
      </c>
      <c r="CB18" s="5">
        <v>151.30000000000001</v>
      </c>
      <c r="CC18" s="5">
        <v>151.4</v>
      </c>
      <c r="CD18" s="5">
        <v>151.6</v>
      </c>
      <c r="CE18" s="5">
        <v>151.80000000000001</v>
      </c>
      <c r="CF18" s="5">
        <v>151.69999999999999</v>
      </c>
      <c r="CG18" s="5">
        <v>151.69999999999999</v>
      </c>
      <c r="CH18" s="5">
        <v>152.30000000000001</v>
      </c>
      <c r="CI18" s="5">
        <v>152.6</v>
      </c>
      <c r="CJ18" s="5">
        <v>152.80000000000001</v>
      </c>
      <c r="CK18" s="5">
        <v>153</v>
      </c>
      <c r="CL18" s="5">
        <v>153.4</v>
      </c>
      <c r="CM18" s="5">
        <f t="shared" si="1"/>
        <v>153.4</v>
      </c>
      <c r="CN18" s="75">
        <v>154.05000000000001</v>
      </c>
      <c r="CO18" s="5">
        <v>154.69999999999999</v>
      </c>
      <c r="CP18" s="5">
        <v>154.69999999999999</v>
      </c>
      <c r="CQ18" s="5">
        <v>155.1</v>
      </c>
      <c r="CR18" s="5">
        <v>155.4</v>
      </c>
      <c r="CS18" s="5">
        <v>155.69999999999999</v>
      </c>
      <c r="CT18" s="5">
        <v>156.30000000000001</v>
      </c>
      <c r="CU18" s="5">
        <v>157</v>
      </c>
      <c r="CV18" s="5">
        <v>157.5</v>
      </c>
      <c r="CW18" s="5">
        <v>159.1</v>
      </c>
      <c r="CX18" s="5">
        <v>159.6</v>
      </c>
      <c r="CY18" s="5">
        <v>160.69999999999999</v>
      </c>
      <c r="CZ18" s="5">
        <v>165.3</v>
      </c>
      <c r="DA18" s="5">
        <v>165.3</v>
      </c>
      <c r="DB18" s="5">
        <v>166</v>
      </c>
      <c r="DC18" s="5">
        <v>167</v>
      </c>
      <c r="DD18" s="5">
        <v>167.7</v>
      </c>
      <c r="DE18" s="5">
        <v>168.9</v>
      </c>
      <c r="DF18" s="5">
        <v>170.4</v>
      </c>
      <c r="DG18" s="5">
        <v>171.8</v>
      </c>
      <c r="DH18" s="5">
        <v>173.2</v>
      </c>
      <c r="DI18" s="5">
        <v>174.1</v>
      </c>
      <c r="DJ18" s="5">
        <v>175.4</v>
      </c>
      <c r="DK18" s="5">
        <v>177.5</v>
      </c>
      <c r="DL18" s="5">
        <v>179.3</v>
      </c>
      <c r="DM18" s="5">
        <v>180.7</v>
      </c>
      <c r="DN18" s="5">
        <v>182</v>
      </c>
      <c r="DO18" s="5">
        <v>183.2</v>
      </c>
      <c r="DP18" s="5">
        <v>184.7</v>
      </c>
      <c r="DQ18" s="5">
        <v>186.1</v>
      </c>
      <c r="DR18" s="5">
        <v>187.2</v>
      </c>
      <c r="DS18" s="5">
        <v>188.1</v>
      </c>
      <c r="DT18" s="5">
        <v>189</v>
      </c>
      <c r="DU18" s="5">
        <v>190</v>
      </c>
      <c r="DV18" s="5">
        <v>190</v>
      </c>
      <c r="DW18" s="5">
        <v>190.7</v>
      </c>
      <c r="DX18" s="5">
        <v>191.2</v>
      </c>
      <c r="DY18">
        <f t="shared" si="0"/>
        <v>0</v>
      </c>
    </row>
    <row r="19" spans="1:129" x14ac:dyDescent="0.35">
      <c r="A19" s="34" t="s">
        <v>30</v>
      </c>
      <c r="B19" s="5" t="s">
        <v>53</v>
      </c>
      <c r="C19" s="5" t="s">
        <v>18</v>
      </c>
      <c r="D19" s="5">
        <v>105.8</v>
      </c>
      <c r="E19" s="5">
        <v>106.3</v>
      </c>
      <c r="F19" s="5">
        <v>106.8</v>
      </c>
      <c r="G19" s="5">
        <v>107.4</v>
      </c>
      <c r="H19" s="5">
        <v>107.9</v>
      </c>
      <c r="I19" s="5">
        <v>108.8</v>
      </c>
      <c r="J19" s="5">
        <v>109.5</v>
      </c>
      <c r="K19" s="5">
        <v>110.2</v>
      </c>
      <c r="L19" s="5">
        <v>111.4</v>
      </c>
      <c r="M19" s="5">
        <v>112.3</v>
      </c>
      <c r="N19" s="5">
        <v>113.1</v>
      </c>
      <c r="O19" s="5">
        <v>114</v>
      </c>
      <c r="P19" s="5">
        <v>114.5</v>
      </c>
      <c r="Q19" s="5">
        <v>114.5</v>
      </c>
      <c r="R19" s="5">
        <v>114.9</v>
      </c>
      <c r="S19" s="5">
        <v>116.1</v>
      </c>
      <c r="T19" s="5">
        <v>116.8</v>
      </c>
      <c r="U19" s="5">
        <v>117.3</v>
      </c>
      <c r="V19" s="5">
        <v>118.3</v>
      </c>
      <c r="W19" s="5">
        <v>118.8</v>
      </c>
      <c r="X19" s="5">
        <v>119.2</v>
      </c>
      <c r="Y19" s="5">
        <v>120.3</v>
      </c>
      <c r="Z19" s="5">
        <v>120.5</v>
      </c>
      <c r="AA19" s="5">
        <v>120.6</v>
      </c>
      <c r="AB19" s="5">
        <v>121.6</v>
      </c>
      <c r="AC19" s="5">
        <v>122.7</v>
      </c>
      <c r="AD19" s="5">
        <v>122.9</v>
      </c>
      <c r="AE19" s="5">
        <v>123.3</v>
      </c>
      <c r="AF19" s="5">
        <v>124.1</v>
      </c>
      <c r="AG19" s="5">
        <v>125.1</v>
      </c>
      <c r="AH19" s="5">
        <v>125.5</v>
      </c>
      <c r="AI19" s="5">
        <v>126.3</v>
      </c>
      <c r="AJ19" s="5">
        <v>126.8</v>
      </c>
      <c r="AK19" s="5">
        <v>127.3</v>
      </c>
      <c r="AL19" s="5">
        <v>128.19999999999999</v>
      </c>
      <c r="AM19" s="5">
        <v>128.5</v>
      </c>
      <c r="AN19" s="5">
        <v>128.9</v>
      </c>
      <c r="AO19" s="5">
        <v>129.80000000000001</v>
      </c>
      <c r="AP19" s="5">
        <v>130.19999999999999</v>
      </c>
      <c r="AQ19" s="5">
        <v>130.6</v>
      </c>
      <c r="AR19" s="5">
        <v>131.1</v>
      </c>
      <c r="AS19" s="5">
        <v>131.6</v>
      </c>
      <c r="AT19" s="5">
        <v>132.19999999999999</v>
      </c>
      <c r="AU19" s="5">
        <v>133</v>
      </c>
      <c r="AV19" s="5">
        <v>133.5</v>
      </c>
      <c r="AW19" s="5">
        <v>134.30000000000001</v>
      </c>
      <c r="AX19" s="5">
        <v>134.5</v>
      </c>
      <c r="AY19" s="5">
        <v>135.19999999999999</v>
      </c>
      <c r="AZ19" s="5">
        <v>135.80000000000001</v>
      </c>
      <c r="BA19" s="5">
        <v>135.80000000000001</v>
      </c>
      <c r="BB19" s="5">
        <v>136.19999999999999</v>
      </c>
      <c r="BC19" s="5">
        <v>136.80000000000001</v>
      </c>
      <c r="BD19" s="5">
        <v>137.30000000000001</v>
      </c>
      <c r="BE19" s="5">
        <v>137.69999999999999</v>
      </c>
      <c r="BF19" s="5">
        <v>138.1</v>
      </c>
      <c r="BG19" s="5">
        <v>139.19999999999999</v>
      </c>
      <c r="BH19" s="5">
        <v>139.69999999999999</v>
      </c>
      <c r="BI19" s="5">
        <v>140.6</v>
      </c>
      <c r="BJ19" s="5">
        <v>141.5</v>
      </c>
      <c r="BK19" s="5">
        <v>141.9</v>
      </c>
      <c r="BL19" s="5">
        <v>142.30000000000001</v>
      </c>
      <c r="BM19" s="5">
        <v>142.4</v>
      </c>
      <c r="BN19" s="5">
        <v>143</v>
      </c>
      <c r="BO19" s="5">
        <v>143.30000000000001</v>
      </c>
      <c r="BP19" s="5">
        <v>144.1</v>
      </c>
      <c r="BQ19" s="5">
        <v>144.69999999999999</v>
      </c>
      <c r="BR19" s="5">
        <v>145.1</v>
      </c>
      <c r="BS19" s="5">
        <v>145.80000000000001</v>
      </c>
      <c r="BT19" s="5">
        <v>146.1</v>
      </c>
      <c r="BU19" s="5">
        <v>144.5</v>
      </c>
      <c r="BV19" s="5">
        <v>145.5</v>
      </c>
      <c r="BW19" s="5">
        <v>145.9</v>
      </c>
      <c r="BX19" s="5">
        <v>145.1</v>
      </c>
      <c r="BY19" s="5">
        <v>146.1</v>
      </c>
      <c r="BZ19" s="5">
        <v>146.1</v>
      </c>
      <c r="CA19" s="75">
        <v>146.32499999999999</v>
      </c>
      <c r="CB19" s="5">
        <v>146.6</v>
      </c>
      <c r="CC19" s="5">
        <v>146.5</v>
      </c>
      <c r="CD19" s="5">
        <v>146.6</v>
      </c>
      <c r="CE19" s="5">
        <v>146.6</v>
      </c>
      <c r="CF19" s="5">
        <v>146.6</v>
      </c>
      <c r="CG19" s="5">
        <v>146.69999999999999</v>
      </c>
      <c r="CH19" s="5">
        <v>147</v>
      </c>
      <c r="CI19" s="5">
        <v>147.30000000000001</v>
      </c>
      <c r="CJ19" s="5">
        <v>147.4</v>
      </c>
      <c r="CK19" s="5">
        <v>147.5</v>
      </c>
      <c r="CL19" s="5">
        <v>147.6</v>
      </c>
      <c r="CM19" s="5">
        <f t="shared" si="1"/>
        <v>147.6</v>
      </c>
      <c r="CN19" s="75">
        <v>148.80000000000001</v>
      </c>
      <c r="CO19" s="5">
        <v>150</v>
      </c>
      <c r="CP19" s="5">
        <v>150</v>
      </c>
      <c r="CQ19" s="5">
        <v>149.30000000000001</v>
      </c>
      <c r="CR19" s="5">
        <v>149.9</v>
      </c>
      <c r="CS19" s="5">
        <v>150.6</v>
      </c>
      <c r="CT19" s="5">
        <v>151</v>
      </c>
      <c r="CU19" s="5">
        <v>151.6</v>
      </c>
      <c r="CV19" s="5">
        <v>152.4</v>
      </c>
      <c r="CW19" s="5">
        <v>153.9</v>
      </c>
      <c r="CX19" s="5">
        <v>154.4</v>
      </c>
      <c r="CY19" s="5">
        <v>155.1</v>
      </c>
      <c r="CZ19" s="5">
        <v>160.6</v>
      </c>
      <c r="DA19" s="5">
        <v>159.9</v>
      </c>
      <c r="DB19" s="5">
        <v>161.1</v>
      </c>
      <c r="DC19" s="5">
        <v>162.6</v>
      </c>
      <c r="DD19" s="5">
        <v>163.6</v>
      </c>
      <c r="DE19" s="5">
        <v>164.8</v>
      </c>
      <c r="DF19" s="5">
        <v>166</v>
      </c>
      <c r="DG19" s="5">
        <v>167.3</v>
      </c>
      <c r="DH19" s="5">
        <v>169.3</v>
      </c>
      <c r="DI19" s="5">
        <v>171</v>
      </c>
      <c r="DJ19" s="5">
        <v>173.2</v>
      </c>
      <c r="DK19" s="5">
        <v>175.1</v>
      </c>
      <c r="DL19" s="5">
        <v>177.2</v>
      </c>
      <c r="DM19" s="5">
        <v>178.7</v>
      </c>
      <c r="DN19" s="5">
        <v>180.3</v>
      </c>
      <c r="DO19" s="5">
        <v>181.7</v>
      </c>
      <c r="DP19" s="5">
        <v>183.3</v>
      </c>
      <c r="DQ19" s="5">
        <v>184.4</v>
      </c>
      <c r="DR19" s="5">
        <v>185.2</v>
      </c>
      <c r="DS19" s="5">
        <v>185.9</v>
      </c>
      <c r="DT19" s="5">
        <v>186.3</v>
      </c>
      <c r="DU19" s="5">
        <v>187</v>
      </c>
      <c r="DV19" s="5">
        <v>187</v>
      </c>
      <c r="DW19" s="5">
        <v>187.3</v>
      </c>
      <c r="DX19" s="5">
        <v>187.9</v>
      </c>
      <c r="DY19">
        <f t="shared" si="0"/>
        <v>0</v>
      </c>
    </row>
    <row r="20" spans="1:129" x14ac:dyDescent="0.35">
      <c r="A20" s="34" t="s">
        <v>30</v>
      </c>
      <c r="B20" s="5" t="s">
        <v>53</v>
      </c>
      <c r="C20" s="5" t="s">
        <v>19</v>
      </c>
      <c r="D20" s="5">
        <v>106.4</v>
      </c>
      <c r="E20" s="5">
        <v>107</v>
      </c>
      <c r="F20" s="5">
        <v>107.5</v>
      </c>
      <c r="G20" s="5">
        <v>108</v>
      </c>
      <c r="H20" s="5">
        <v>108.6</v>
      </c>
      <c r="I20" s="5">
        <v>109.5</v>
      </c>
      <c r="J20" s="5">
        <v>110.3</v>
      </c>
      <c r="K20" s="5">
        <v>111.1</v>
      </c>
      <c r="L20" s="5">
        <v>112.5</v>
      </c>
      <c r="M20" s="5">
        <v>113.4</v>
      </c>
      <c r="N20" s="5">
        <v>114.4</v>
      </c>
      <c r="O20" s="5">
        <v>115.5</v>
      </c>
      <c r="P20" s="5">
        <v>116.2</v>
      </c>
      <c r="Q20" s="5">
        <v>116.7</v>
      </c>
      <c r="R20" s="5">
        <v>117.2</v>
      </c>
      <c r="S20" s="5">
        <v>117.8</v>
      </c>
      <c r="T20" s="5">
        <v>118.5</v>
      </c>
      <c r="U20" s="5">
        <v>119.3</v>
      </c>
      <c r="V20" s="5">
        <v>120.3</v>
      </c>
      <c r="W20" s="5">
        <v>120.7</v>
      </c>
      <c r="X20" s="5">
        <v>121.3</v>
      </c>
      <c r="Y20" s="5">
        <v>122.3</v>
      </c>
      <c r="Z20" s="5">
        <v>122.9</v>
      </c>
      <c r="AA20" s="5">
        <v>123.3</v>
      </c>
      <c r="AB20" s="5">
        <v>124</v>
      </c>
      <c r="AC20" s="5">
        <v>125</v>
      </c>
      <c r="AD20" s="5">
        <v>125.5</v>
      </c>
      <c r="AE20" s="5">
        <v>126</v>
      </c>
      <c r="AF20" s="5">
        <v>126.8</v>
      </c>
      <c r="AG20" s="5">
        <v>128</v>
      </c>
      <c r="AH20" s="5">
        <v>128.30000000000001</v>
      </c>
      <c r="AI20" s="5">
        <v>129</v>
      </c>
      <c r="AJ20" s="5">
        <v>129.9</v>
      </c>
      <c r="AK20" s="5">
        <v>130.6</v>
      </c>
      <c r="AL20" s="5">
        <v>131.5</v>
      </c>
      <c r="AM20" s="5">
        <v>131.9</v>
      </c>
      <c r="AN20" s="5">
        <v>132.6</v>
      </c>
      <c r="AO20" s="5">
        <v>133.4</v>
      </c>
      <c r="AP20" s="5">
        <v>133.80000000000001</v>
      </c>
      <c r="AQ20" s="5">
        <v>134.4</v>
      </c>
      <c r="AR20" s="5">
        <v>134.80000000000001</v>
      </c>
      <c r="AS20" s="5">
        <v>135.6</v>
      </c>
      <c r="AT20" s="5">
        <v>136.5</v>
      </c>
      <c r="AU20" s="5">
        <v>137.1</v>
      </c>
      <c r="AV20" s="5">
        <v>137.80000000000001</v>
      </c>
      <c r="AW20" s="5">
        <v>138.80000000000001</v>
      </c>
      <c r="AX20" s="5">
        <v>139.19999999999999</v>
      </c>
      <c r="AY20" s="5">
        <v>139.69999999999999</v>
      </c>
      <c r="AZ20" s="5">
        <v>140</v>
      </c>
      <c r="BA20" s="5">
        <v>140.19999999999999</v>
      </c>
      <c r="BB20" s="5">
        <v>140.80000000000001</v>
      </c>
      <c r="BC20" s="5">
        <v>141.6</v>
      </c>
      <c r="BD20" s="5">
        <v>141.80000000000001</v>
      </c>
      <c r="BE20" s="5">
        <v>142.30000000000001</v>
      </c>
      <c r="BF20" s="5">
        <v>143.5</v>
      </c>
      <c r="BG20" s="5">
        <v>144.5</v>
      </c>
      <c r="BH20" s="5">
        <v>145.19999999999999</v>
      </c>
      <c r="BI20" s="5">
        <v>146.19999999999999</v>
      </c>
      <c r="BJ20" s="5">
        <v>147.30000000000001</v>
      </c>
      <c r="BK20" s="5">
        <v>147.19999999999999</v>
      </c>
      <c r="BL20" s="5">
        <v>147.5</v>
      </c>
      <c r="BM20" s="5">
        <v>147.80000000000001</v>
      </c>
      <c r="BN20" s="5">
        <v>148.30000000000001</v>
      </c>
      <c r="BO20" s="5">
        <v>149.1</v>
      </c>
      <c r="BP20" s="5">
        <v>149.80000000000001</v>
      </c>
      <c r="BQ20" s="5">
        <v>150.30000000000001</v>
      </c>
      <c r="BR20" s="5">
        <v>150.6</v>
      </c>
      <c r="BS20" s="5">
        <v>151.30000000000001</v>
      </c>
      <c r="BT20" s="5">
        <v>151.30000000000001</v>
      </c>
      <c r="BU20" s="5">
        <v>149.80000000000001</v>
      </c>
      <c r="BV20" s="5">
        <v>150.80000000000001</v>
      </c>
      <c r="BW20" s="5">
        <v>150.80000000000001</v>
      </c>
      <c r="BX20" s="5">
        <v>149.9</v>
      </c>
      <c r="BY20" s="5">
        <v>149.9</v>
      </c>
      <c r="BZ20" s="5">
        <v>150.1</v>
      </c>
      <c r="CA20" s="75">
        <v>150.35</v>
      </c>
      <c r="CB20" s="5">
        <v>150.69999999999999</v>
      </c>
      <c r="CC20" s="5">
        <v>150.69999999999999</v>
      </c>
      <c r="CD20" s="5">
        <v>150.9</v>
      </c>
      <c r="CE20" s="5">
        <v>151.1</v>
      </c>
      <c r="CF20" s="5">
        <v>151</v>
      </c>
      <c r="CG20" s="5">
        <v>151</v>
      </c>
      <c r="CH20" s="5">
        <v>151.5</v>
      </c>
      <c r="CI20" s="5">
        <v>151.9</v>
      </c>
      <c r="CJ20" s="5">
        <v>152.1</v>
      </c>
      <c r="CK20" s="5">
        <v>152.30000000000001</v>
      </c>
      <c r="CL20" s="5">
        <v>152.5</v>
      </c>
      <c r="CM20" s="5">
        <f t="shared" si="1"/>
        <v>152.5</v>
      </c>
      <c r="CN20" s="75">
        <v>153.30000000000001</v>
      </c>
      <c r="CO20" s="5">
        <v>154.1</v>
      </c>
      <c r="CP20" s="5">
        <v>154.1</v>
      </c>
      <c r="CQ20" s="5">
        <v>154.30000000000001</v>
      </c>
      <c r="CR20" s="5">
        <v>154.6</v>
      </c>
      <c r="CS20" s="5">
        <v>155</v>
      </c>
      <c r="CT20" s="5">
        <v>155.5</v>
      </c>
      <c r="CU20" s="5">
        <v>156.30000000000001</v>
      </c>
      <c r="CV20" s="5">
        <v>156.80000000000001</v>
      </c>
      <c r="CW20" s="5">
        <v>158.4</v>
      </c>
      <c r="CX20" s="5">
        <v>158.9</v>
      </c>
      <c r="CY20" s="5">
        <v>159.9</v>
      </c>
      <c r="CZ20" s="5">
        <v>164.5</v>
      </c>
      <c r="DA20" s="5">
        <v>164.6</v>
      </c>
      <c r="DB20" s="5">
        <v>165.3</v>
      </c>
      <c r="DC20" s="5">
        <v>166.3</v>
      </c>
      <c r="DD20" s="5">
        <v>167.1</v>
      </c>
      <c r="DE20" s="5">
        <v>168.3</v>
      </c>
      <c r="DF20" s="5">
        <v>169.8</v>
      </c>
      <c r="DG20" s="5">
        <v>171.2</v>
      </c>
      <c r="DH20" s="5">
        <v>172.7</v>
      </c>
      <c r="DI20" s="5">
        <v>173.7</v>
      </c>
      <c r="DJ20" s="5">
        <v>175.1</v>
      </c>
      <c r="DK20" s="5">
        <v>177.1</v>
      </c>
      <c r="DL20" s="5">
        <v>179</v>
      </c>
      <c r="DM20" s="5">
        <v>180.4</v>
      </c>
      <c r="DN20" s="5">
        <v>181.7</v>
      </c>
      <c r="DO20" s="5">
        <v>183</v>
      </c>
      <c r="DP20" s="5">
        <v>184.5</v>
      </c>
      <c r="DQ20" s="5">
        <v>185.9</v>
      </c>
      <c r="DR20" s="5">
        <v>186.9</v>
      </c>
      <c r="DS20" s="5">
        <v>187.8</v>
      </c>
      <c r="DT20" s="5">
        <v>188.6</v>
      </c>
      <c r="DU20" s="5">
        <v>189.6</v>
      </c>
      <c r="DV20" s="5">
        <v>189.6</v>
      </c>
      <c r="DW20" s="5">
        <v>190.2</v>
      </c>
      <c r="DX20" s="5">
        <v>190.8</v>
      </c>
      <c r="DY20">
        <f t="shared" si="0"/>
        <v>0</v>
      </c>
    </row>
    <row r="21" spans="1:129" x14ac:dyDescent="0.35">
      <c r="A21" s="34" t="s">
        <v>30</v>
      </c>
      <c r="B21" s="5" t="s">
        <v>20</v>
      </c>
      <c r="C21" s="5" t="s">
        <v>20</v>
      </c>
      <c r="D21" s="5">
        <f>(D48+D75)/2</f>
        <v>100.3</v>
      </c>
      <c r="E21" s="5">
        <f t="shared" ref="E21:BP21" si="2">(E48+E75)/2</f>
        <v>100.4</v>
      </c>
      <c r="F21" s="5">
        <f t="shared" si="2"/>
        <v>100.4</v>
      </c>
      <c r="G21" s="5">
        <f t="shared" si="2"/>
        <v>100.5</v>
      </c>
      <c r="H21" s="5">
        <f t="shared" si="2"/>
        <v>100.5</v>
      </c>
      <c r="I21" s="5">
        <f t="shared" si="2"/>
        <v>106.6</v>
      </c>
      <c r="J21" s="5">
        <f t="shared" si="2"/>
        <v>107.7</v>
      </c>
      <c r="K21" s="5">
        <f t="shared" si="2"/>
        <v>108.9</v>
      </c>
      <c r="L21" s="5">
        <f t="shared" si="2"/>
        <v>109.7</v>
      </c>
      <c r="M21" s="5">
        <f t="shared" si="2"/>
        <v>110.5</v>
      </c>
      <c r="N21" s="5">
        <f t="shared" si="2"/>
        <v>111.1</v>
      </c>
      <c r="O21" s="5">
        <f t="shared" si="2"/>
        <v>110.7</v>
      </c>
      <c r="P21" s="5">
        <f t="shared" si="2"/>
        <v>111.6</v>
      </c>
      <c r="Q21" s="5">
        <f t="shared" si="2"/>
        <v>112.5</v>
      </c>
      <c r="R21" s="5">
        <f t="shared" si="2"/>
        <v>113.2</v>
      </c>
      <c r="S21" s="5">
        <f t="shared" si="2"/>
        <v>113.9</v>
      </c>
      <c r="T21" s="5">
        <f t="shared" si="2"/>
        <v>114.3</v>
      </c>
      <c r="U21" s="5">
        <f t="shared" si="2"/>
        <v>113.9</v>
      </c>
      <c r="V21" s="5">
        <f t="shared" si="2"/>
        <v>114.8</v>
      </c>
      <c r="W21" s="5">
        <f t="shared" si="2"/>
        <v>115.5</v>
      </c>
      <c r="X21" s="5">
        <f t="shared" si="2"/>
        <v>116.1</v>
      </c>
      <c r="Y21" s="5">
        <f t="shared" si="2"/>
        <v>116.7</v>
      </c>
      <c r="Z21" s="5">
        <f t="shared" si="2"/>
        <v>117.1</v>
      </c>
      <c r="AA21" s="5">
        <f t="shared" si="2"/>
        <v>116.5</v>
      </c>
      <c r="AB21" s="5">
        <f t="shared" si="2"/>
        <v>117.3</v>
      </c>
      <c r="AC21" s="5">
        <f t="shared" si="2"/>
        <v>118.1</v>
      </c>
      <c r="AD21" s="5">
        <f t="shared" si="2"/>
        <v>118.6</v>
      </c>
      <c r="AE21" s="5">
        <f t="shared" si="2"/>
        <v>119.2</v>
      </c>
      <c r="AF21" s="5">
        <f t="shared" si="2"/>
        <v>119.6</v>
      </c>
      <c r="AG21" s="5">
        <f t="shared" si="2"/>
        <v>119</v>
      </c>
      <c r="AH21" s="5">
        <f t="shared" si="2"/>
        <v>119.9</v>
      </c>
      <c r="AI21" s="5">
        <f t="shared" si="2"/>
        <v>120.9</v>
      </c>
      <c r="AJ21" s="5">
        <f t="shared" si="2"/>
        <v>121.6</v>
      </c>
      <c r="AK21" s="5">
        <f t="shared" si="2"/>
        <v>122.4</v>
      </c>
      <c r="AL21" s="5">
        <f t="shared" si="2"/>
        <v>122.9</v>
      </c>
      <c r="AM21" s="5">
        <f t="shared" si="2"/>
        <v>122.4</v>
      </c>
      <c r="AN21" s="5">
        <f t="shared" si="2"/>
        <v>123.4</v>
      </c>
      <c r="AO21" s="5">
        <f t="shared" si="2"/>
        <v>124.4</v>
      </c>
      <c r="AP21" s="5">
        <f t="shared" si="2"/>
        <v>124.9</v>
      </c>
      <c r="AQ21" s="5">
        <f t="shared" si="2"/>
        <v>125.6</v>
      </c>
      <c r="AR21" s="5">
        <f t="shared" si="2"/>
        <v>126</v>
      </c>
      <c r="AS21" s="5">
        <f t="shared" si="2"/>
        <v>125.5</v>
      </c>
      <c r="AT21" s="5">
        <f t="shared" si="2"/>
        <v>126.4</v>
      </c>
      <c r="AU21" s="5">
        <f t="shared" si="2"/>
        <v>127.3</v>
      </c>
      <c r="AV21" s="5">
        <f t="shared" si="2"/>
        <v>127.9</v>
      </c>
      <c r="AW21" s="5">
        <f t="shared" si="2"/>
        <v>128.69999999999999</v>
      </c>
      <c r="AX21" s="5">
        <f t="shared" si="2"/>
        <v>129.1</v>
      </c>
      <c r="AY21" s="5">
        <f t="shared" si="2"/>
        <v>128.5</v>
      </c>
      <c r="AZ21" s="5">
        <f t="shared" si="2"/>
        <v>129.6</v>
      </c>
      <c r="BA21" s="5">
        <f t="shared" si="2"/>
        <v>130.5</v>
      </c>
      <c r="BB21" s="5">
        <f t="shared" si="2"/>
        <v>131.1</v>
      </c>
      <c r="BC21" s="5">
        <f t="shared" si="2"/>
        <v>131.69999999999999</v>
      </c>
      <c r="BD21" s="5">
        <f t="shared" si="2"/>
        <v>132.1</v>
      </c>
      <c r="BE21" s="5">
        <f t="shared" si="2"/>
        <v>131.4</v>
      </c>
      <c r="BF21" s="5">
        <f t="shared" si="2"/>
        <v>132.6</v>
      </c>
      <c r="BG21" s="5">
        <f t="shared" si="2"/>
        <v>134.4</v>
      </c>
      <c r="BH21" s="5">
        <f t="shared" si="2"/>
        <v>135.69999999999999</v>
      </c>
      <c r="BI21" s="5">
        <f t="shared" si="2"/>
        <v>137.30000000000001</v>
      </c>
      <c r="BJ21" s="5">
        <f t="shared" si="2"/>
        <v>138.6</v>
      </c>
      <c r="BK21" s="5">
        <f t="shared" si="2"/>
        <v>139.1</v>
      </c>
      <c r="BL21" s="5">
        <f t="shared" si="2"/>
        <v>140.4</v>
      </c>
      <c r="BM21" s="5">
        <f t="shared" si="2"/>
        <v>141.30000000000001</v>
      </c>
      <c r="BN21" s="5">
        <f t="shared" si="2"/>
        <v>142</v>
      </c>
      <c r="BO21" s="5">
        <f t="shared" si="2"/>
        <v>142.9</v>
      </c>
      <c r="BP21" s="5">
        <f t="shared" si="2"/>
        <v>143.19999999999999</v>
      </c>
      <c r="BQ21" s="5">
        <f t="shared" ref="BQ21:DX21" si="3">(BQ48+BQ75)/2</f>
        <v>142.5</v>
      </c>
      <c r="BR21" s="5">
        <f t="shared" si="3"/>
        <v>143.6</v>
      </c>
      <c r="BS21" s="5">
        <f t="shared" si="3"/>
        <v>144.6</v>
      </c>
      <c r="BT21" s="5">
        <f t="shared" si="3"/>
        <v>145.30000000000001</v>
      </c>
      <c r="BU21" s="5">
        <f t="shared" si="3"/>
        <v>146.60000000000002</v>
      </c>
      <c r="BV21" s="5">
        <f t="shared" si="3"/>
        <v>146.9</v>
      </c>
      <c r="BW21" s="5">
        <f t="shared" si="3"/>
        <v>146.5</v>
      </c>
      <c r="BX21" s="5">
        <f t="shared" si="3"/>
        <v>147.69999999999999</v>
      </c>
      <c r="BY21" s="5">
        <f t="shared" si="3"/>
        <v>148.5</v>
      </c>
      <c r="BZ21" s="5">
        <f t="shared" si="3"/>
        <v>149</v>
      </c>
      <c r="CA21" s="75">
        <v>149.25</v>
      </c>
      <c r="CB21" s="5">
        <f t="shared" si="3"/>
        <v>150.1</v>
      </c>
      <c r="CC21" s="5">
        <f t="shared" si="3"/>
        <v>149.4</v>
      </c>
      <c r="CD21" s="5">
        <f t="shared" si="3"/>
        <v>150.6</v>
      </c>
      <c r="CE21" s="5">
        <f t="shared" si="3"/>
        <v>151.6</v>
      </c>
      <c r="CF21" s="5">
        <f t="shared" si="3"/>
        <v>152.19999999999999</v>
      </c>
      <c r="CG21" s="5">
        <f t="shared" si="3"/>
        <v>153</v>
      </c>
      <c r="CH21" s="5">
        <f t="shared" si="3"/>
        <v>153.5</v>
      </c>
      <c r="CI21" s="5">
        <f t="shared" si="3"/>
        <v>152.80000000000001</v>
      </c>
      <c r="CJ21" s="5">
        <f t="shared" si="3"/>
        <v>153.9</v>
      </c>
      <c r="CK21" s="5">
        <f t="shared" si="3"/>
        <v>154.80000000000001</v>
      </c>
      <c r="CL21" s="5">
        <f t="shared" si="3"/>
        <v>154.5</v>
      </c>
      <c r="CM21" s="5">
        <f t="shared" si="3"/>
        <v>155.6</v>
      </c>
      <c r="CN21" s="75">
        <v>154.875</v>
      </c>
      <c r="CO21" s="5">
        <f t="shared" si="3"/>
        <v>154.69999999999999</v>
      </c>
      <c r="CP21" s="5">
        <f t="shared" si="3"/>
        <v>154.69999999999999</v>
      </c>
      <c r="CQ21" s="5">
        <f t="shared" si="3"/>
        <v>155.5</v>
      </c>
      <c r="CR21" s="5">
        <f t="shared" si="3"/>
        <v>156.30000000000001</v>
      </c>
      <c r="CS21" s="5">
        <f t="shared" si="3"/>
        <v>156.5</v>
      </c>
      <c r="CT21" s="5">
        <f t="shared" si="3"/>
        <v>158</v>
      </c>
      <c r="CU21" s="5">
        <f t="shared" si="3"/>
        <v>158.4</v>
      </c>
      <c r="CV21" s="5">
        <f t="shared" si="3"/>
        <v>157.69999999999999</v>
      </c>
      <c r="CW21" s="5">
        <f t="shared" si="3"/>
        <v>159.80000000000001</v>
      </c>
      <c r="CX21" s="5">
        <f t="shared" si="3"/>
        <v>159.9</v>
      </c>
      <c r="CY21" s="5">
        <f t="shared" si="3"/>
        <v>161.4</v>
      </c>
      <c r="CZ21" s="5">
        <f t="shared" si="3"/>
        <v>161.6</v>
      </c>
      <c r="DA21" s="5">
        <f t="shared" si="3"/>
        <v>160.5</v>
      </c>
      <c r="DB21" s="5">
        <f t="shared" si="3"/>
        <v>161.5</v>
      </c>
      <c r="DC21" s="5">
        <f t="shared" si="3"/>
        <v>162.1</v>
      </c>
      <c r="DD21" s="5">
        <f t="shared" si="3"/>
        <v>162.1</v>
      </c>
      <c r="DE21" s="5">
        <f t="shared" si="3"/>
        <v>163.6</v>
      </c>
      <c r="DF21" s="5">
        <f t="shared" si="3"/>
        <v>164.2</v>
      </c>
      <c r="DG21" s="5">
        <f t="shared" si="3"/>
        <v>163.4</v>
      </c>
      <c r="DH21" s="5">
        <f t="shared" si="3"/>
        <v>164.5</v>
      </c>
      <c r="DI21" s="5">
        <f t="shared" si="3"/>
        <v>165.5</v>
      </c>
      <c r="DJ21" s="5">
        <f t="shared" si="3"/>
        <v>165.3</v>
      </c>
      <c r="DK21" s="5">
        <f t="shared" si="3"/>
        <v>167</v>
      </c>
      <c r="DL21" s="5">
        <f t="shared" si="3"/>
        <v>167.5</v>
      </c>
      <c r="DM21" s="5">
        <f t="shared" si="3"/>
        <v>166.8</v>
      </c>
      <c r="DN21" s="5">
        <f t="shared" si="3"/>
        <v>167.8</v>
      </c>
      <c r="DO21" s="5">
        <f t="shared" si="3"/>
        <v>169</v>
      </c>
      <c r="DP21" s="5">
        <f t="shared" si="3"/>
        <v>169.5</v>
      </c>
      <c r="DQ21" s="5">
        <f t="shared" si="3"/>
        <v>171.2</v>
      </c>
      <c r="DR21" s="5">
        <f t="shared" si="3"/>
        <v>171.8</v>
      </c>
      <c r="DS21" s="5">
        <f t="shared" si="3"/>
        <v>170.7</v>
      </c>
      <c r="DT21" s="5">
        <f t="shared" si="3"/>
        <v>172.1</v>
      </c>
      <c r="DU21" s="5">
        <f t="shared" si="3"/>
        <v>173.5</v>
      </c>
      <c r="DV21" s="5">
        <f t="shared" si="3"/>
        <v>173.5</v>
      </c>
      <c r="DW21" s="5">
        <f t="shared" si="3"/>
        <v>175.2</v>
      </c>
      <c r="DX21" s="5">
        <f t="shared" si="3"/>
        <v>175.6</v>
      </c>
      <c r="DY21">
        <f t="shared" si="0"/>
        <v>0</v>
      </c>
    </row>
    <row r="22" spans="1:129" x14ac:dyDescent="0.35">
      <c r="A22" s="34" t="s">
        <v>30</v>
      </c>
      <c r="B22" s="5" t="s">
        <v>21</v>
      </c>
      <c r="C22" s="5" t="s">
        <v>21</v>
      </c>
      <c r="D22" s="5">
        <v>105.5</v>
      </c>
      <c r="E22" s="5">
        <v>106.2</v>
      </c>
      <c r="F22" s="5">
        <v>106.1</v>
      </c>
      <c r="G22" s="5">
        <v>106.5</v>
      </c>
      <c r="H22" s="5">
        <v>107.5</v>
      </c>
      <c r="I22" s="5">
        <v>108.5</v>
      </c>
      <c r="J22" s="5">
        <v>109.5</v>
      </c>
      <c r="K22" s="5">
        <v>109.9</v>
      </c>
      <c r="L22" s="5">
        <v>111.1</v>
      </c>
      <c r="M22" s="5">
        <v>111.6</v>
      </c>
      <c r="N22" s="5">
        <v>112.6</v>
      </c>
      <c r="O22" s="5">
        <v>112.8</v>
      </c>
      <c r="P22" s="5">
        <v>113</v>
      </c>
      <c r="Q22" s="5">
        <v>113.2</v>
      </c>
      <c r="R22" s="5">
        <v>113.4</v>
      </c>
      <c r="S22" s="5">
        <v>113.4</v>
      </c>
      <c r="T22" s="5">
        <v>113.4</v>
      </c>
      <c r="U22" s="5">
        <v>114.4</v>
      </c>
      <c r="V22" s="5">
        <v>115.3</v>
      </c>
      <c r="W22" s="5">
        <v>115.4</v>
      </c>
      <c r="X22" s="5">
        <v>115.8</v>
      </c>
      <c r="Y22" s="5">
        <v>116.4</v>
      </c>
      <c r="Z22" s="5">
        <v>117.3</v>
      </c>
      <c r="AA22" s="5">
        <v>117.4</v>
      </c>
      <c r="AB22" s="5">
        <v>118.4</v>
      </c>
      <c r="AC22" s="5">
        <v>120</v>
      </c>
      <c r="AD22" s="5">
        <v>120.6</v>
      </c>
      <c r="AE22" s="5">
        <v>121.2</v>
      </c>
      <c r="AF22" s="5">
        <v>121.9</v>
      </c>
      <c r="AG22" s="5">
        <v>122.6</v>
      </c>
      <c r="AH22" s="5">
        <v>123</v>
      </c>
      <c r="AI22" s="5">
        <v>123.8</v>
      </c>
      <c r="AJ22" s="5">
        <v>123.7</v>
      </c>
      <c r="AK22" s="5">
        <v>124.4</v>
      </c>
      <c r="AL22" s="5">
        <v>125.6</v>
      </c>
      <c r="AM22" s="5">
        <v>125.7</v>
      </c>
      <c r="AN22" s="5">
        <v>126.2</v>
      </c>
      <c r="AO22" s="5">
        <v>127.5</v>
      </c>
      <c r="AP22" s="5">
        <v>127</v>
      </c>
      <c r="AQ22" s="5">
        <v>127</v>
      </c>
      <c r="AR22" s="5">
        <v>127.4</v>
      </c>
      <c r="AS22" s="5">
        <v>128</v>
      </c>
      <c r="AT22" s="5">
        <v>128.19999999999999</v>
      </c>
      <c r="AU22" s="5">
        <v>129.1</v>
      </c>
      <c r="AV22" s="5">
        <v>129.69999999999999</v>
      </c>
      <c r="AW22" s="5">
        <v>129.80000000000001</v>
      </c>
      <c r="AX22" s="5">
        <v>130.30000000000001</v>
      </c>
      <c r="AY22" s="5">
        <v>132</v>
      </c>
      <c r="AZ22" s="5">
        <v>132.1</v>
      </c>
      <c r="BA22" s="5">
        <v>133.19999999999999</v>
      </c>
      <c r="BB22" s="5">
        <v>134.19999999999999</v>
      </c>
      <c r="BC22" s="5">
        <v>135</v>
      </c>
      <c r="BD22" s="5">
        <v>135</v>
      </c>
      <c r="BE22" s="5">
        <v>134.80000000000001</v>
      </c>
      <c r="BF22" s="5">
        <v>135.30000000000001</v>
      </c>
      <c r="BG22" s="5">
        <v>136.4</v>
      </c>
      <c r="BH22" s="5">
        <v>137.4</v>
      </c>
      <c r="BI22" s="5">
        <v>138.1</v>
      </c>
      <c r="BJ22" s="5">
        <v>141.1</v>
      </c>
      <c r="BK22" s="5">
        <v>142.6</v>
      </c>
      <c r="BL22" s="5">
        <v>142.30000000000001</v>
      </c>
      <c r="BM22" s="5">
        <v>142.4</v>
      </c>
      <c r="BN22" s="5">
        <v>142.6</v>
      </c>
      <c r="BO22" s="5">
        <v>143.80000000000001</v>
      </c>
      <c r="BP22" s="5">
        <v>144.30000000000001</v>
      </c>
      <c r="BQ22" s="5">
        <v>145.1</v>
      </c>
      <c r="BR22" s="5">
        <v>146.80000000000001</v>
      </c>
      <c r="BS22" s="5">
        <v>147.69999999999999</v>
      </c>
      <c r="BT22" s="5">
        <v>149</v>
      </c>
      <c r="BU22" s="5">
        <v>149.69999999999999</v>
      </c>
      <c r="BV22" s="5">
        <v>150.30000000000001</v>
      </c>
      <c r="BW22" s="5">
        <v>149</v>
      </c>
      <c r="BX22" s="5">
        <v>146.19999999999999</v>
      </c>
      <c r="BY22" s="5">
        <v>145.30000000000001</v>
      </c>
      <c r="BZ22" s="5">
        <v>146.4</v>
      </c>
      <c r="CA22" s="75">
        <v>146.60000000000002</v>
      </c>
      <c r="CB22" s="5">
        <v>146.9</v>
      </c>
      <c r="CC22" s="5">
        <v>147.80000000000001</v>
      </c>
      <c r="CD22" s="5">
        <v>146.80000000000001</v>
      </c>
      <c r="CE22" s="5">
        <v>146.4</v>
      </c>
      <c r="CF22" s="5">
        <v>146.9</v>
      </c>
      <c r="CG22" s="5">
        <v>147.69999999999999</v>
      </c>
      <c r="CH22" s="5">
        <v>148.4</v>
      </c>
      <c r="CI22" s="5">
        <v>149.9</v>
      </c>
      <c r="CJ22" s="5">
        <v>150.4</v>
      </c>
      <c r="CK22" s="5">
        <v>152.30000000000001</v>
      </c>
      <c r="CL22" s="5">
        <v>153.4</v>
      </c>
      <c r="CM22" s="5">
        <v>148.4</v>
      </c>
      <c r="CN22" s="75">
        <v>147.9</v>
      </c>
      <c r="CO22" s="5">
        <v>144.9</v>
      </c>
      <c r="CP22" s="5">
        <v>144.9</v>
      </c>
      <c r="CQ22" s="5">
        <v>145.80000000000001</v>
      </c>
      <c r="CR22" s="5">
        <v>146.4</v>
      </c>
      <c r="CS22" s="5">
        <v>146.80000000000001</v>
      </c>
      <c r="CT22" s="5">
        <v>147.5</v>
      </c>
      <c r="CU22" s="5">
        <v>148.69999999999999</v>
      </c>
      <c r="CV22" s="5">
        <v>150.9</v>
      </c>
      <c r="CW22" s="5">
        <v>154.4</v>
      </c>
      <c r="CX22" s="5">
        <v>156</v>
      </c>
      <c r="CY22" s="5">
        <v>156</v>
      </c>
      <c r="CZ22" s="5">
        <v>161.69999999999999</v>
      </c>
      <c r="DA22" s="5">
        <v>162.1</v>
      </c>
      <c r="DB22" s="5">
        <v>162.5</v>
      </c>
      <c r="DC22" s="5">
        <v>163.1</v>
      </c>
      <c r="DD22" s="5">
        <v>163.69999999999999</v>
      </c>
      <c r="DE22" s="5">
        <v>165.5</v>
      </c>
      <c r="DF22" s="5">
        <v>165.3</v>
      </c>
      <c r="DG22" s="5">
        <v>165.6</v>
      </c>
      <c r="DH22" s="5">
        <v>165.8</v>
      </c>
      <c r="DI22" s="5">
        <v>167.4</v>
      </c>
      <c r="DJ22" s="5">
        <v>168.9</v>
      </c>
      <c r="DK22" s="5">
        <v>173.3</v>
      </c>
      <c r="DL22" s="5">
        <v>175.3</v>
      </c>
      <c r="DM22" s="5">
        <v>176.7</v>
      </c>
      <c r="DN22" s="5">
        <v>179.6</v>
      </c>
      <c r="DO22" s="5">
        <v>179.1</v>
      </c>
      <c r="DP22" s="5">
        <v>179.7</v>
      </c>
      <c r="DQ22" s="5">
        <v>180.8</v>
      </c>
      <c r="DR22" s="5">
        <v>181.9</v>
      </c>
      <c r="DS22" s="5">
        <v>182.8</v>
      </c>
      <c r="DT22" s="5">
        <v>183.2</v>
      </c>
      <c r="DU22" s="5">
        <v>181.6</v>
      </c>
      <c r="DV22" s="5">
        <v>181.4</v>
      </c>
      <c r="DW22" s="5">
        <v>181.5</v>
      </c>
      <c r="DX22" s="5">
        <v>182.5</v>
      </c>
      <c r="DY22">
        <f t="shared" si="0"/>
        <v>0</v>
      </c>
    </row>
    <row r="23" spans="1:129" x14ac:dyDescent="0.35">
      <c r="A23" s="34" t="s">
        <v>30</v>
      </c>
      <c r="B23" s="5" t="s">
        <v>20</v>
      </c>
      <c r="C23" s="5" t="s">
        <v>22</v>
      </c>
      <c r="D23" s="5">
        <v>104.8</v>
      </c>
      <c r="E23" s="5">
        <v>105.2</v>
      </c>
      <c r="F23" s="5">
        <v>105.6</v>
      </c>
      <c r="G23" s="5">
        <v>106.1</v>
      </c>
      <c r="H23" s="5">
        <v>106.8</v>
      </c>
      <c r="I23" s="5">
        <v>107.5</v>
      </c>
      <c r="J23" s="5">
        <v>108.3</v>
      </c>
      <c r="K23" s="5">
        <v>108.7</v>
      </c>
      <c r="L23" s="5">
        <v>109.6</v>
      </c>
      <c r="M23" s="5">
        <v>110.4</v>
      </c>
      <c r="N23" s="5">
        <v>111.3</v>
      </c>
      <c r="O23" s="5">
        <v>112.1</v>
      </c>
      <c r="P23" s="5">
        <v>112.6</v>
      </c>
      <c r="Q23" s="5">
        <v>112.9</v>
      </c>
      <c r="R23" s="5">
        <v>113.4</v>
      </c>
      <c r="S23" s="5">
        <v>113.7</v>
      </c>
      <c r="T23" s="5">
        <v>114.1</v>
      </c>
      <c r="U23" s="5">
        <v>114.9</v>
      </c>
      <c r="V23" s="5">
        <v>115.4</v>
      </c>
      <c r="W23" s="5">
        <v>115.9</v>
      </c>
      <c r="X23" s="5">
        <v>116.7</v>
      </c>
      <c r="Y23" s="5">
        <v>117.5</v>
      </c>
      <c r="Z23" s="5">
        <v>118.1</v>
      </c>
      <c r="AA23" s="5">
        <v>118.2</v>
      </c>
      <c r="AB23" s="5">
        <v>118.9</v>
      </c>
      <c r="AC23" s="5">
        <v>119.6</v>
      </c>
      <c r="AD23" s="5">
        <v>120.2</v>
      </c>
      <c r="AE23" s="5">
        <v>120.9</v>
      </c>
      <c r="AF23" s="5">
        <v>121.5</v>
      </c>
      <c r="AG23" s="5">
        <v>122.8</v>
      </c>
      <c r="AH23" s="5">
        <v>123</v>
      </c>
      <c r="AI23" s="5">
        <v>123.7</v>
      </c>
      <c r="AJ23" s="5">
        <v>124.5</v>
      </c>
      <c r="AK23" s="5">
        <v>125.1</v>
      </c>
      <c r="AL23" s="5">
        <v>125.6</v>
      </c>
      <c r="AM23" s="5">
        <v>126</v>
      </c>
      <c r="AN23" s="5">
        <v>126.6</v>
      </c>
      <c r="AO23" s="5">
        <v>127.1</v>
      </c>
      <c r="AP23" s="5">
        <v>127.7</v>
      </c>
      <c r="AQ23" s="5">
        <v>128</v>
      </c>
      <c r="AR23" s="5">
        <v>128.5</v>
      </c>
      <c r="AS23" s="5">
        <v>129.30000000000001</v>
      </c>
      <c r="AT23" s="5">
        <v>130</v>
      </c>
      <c r="AU23" s="5">
        <v>130.6</v>
      </c>
      <c r="AV23" s="5">
        <v>131.1</v>
      </c>
      <c r="AW23" s="5">
        <v>131.80000000000001</v>
      </c>
      <c r="AX23" s="5">
        <v>132.1</v>
      </c>
      <c r="AY23" s="5">
        <v>132.9</v>
      </c>
      <c r="AZ23" s="5">
        <v>133.19999999999999</v>
      </c>
      <c r="BA23" s="5">
        <v>133.6</v>
      </c>
      <c r="BB23" s="5">
        <v>134.1</v>
      </c>
      <c r="BC23" s="5">
        <v>134.30000000000001</v>
      </c>
      <c r="BD23" s="5">
        <v>134.9</v>
      </c>
      <c r="BE23" s="5">
        <v>135.19999999999999</v>
      </c>
      <c r="BF23" s="5">
        <v>136.1</v>
      </c>
      <c r="BG23" s="5">
        <v>137.30000000000001</v>
      </c>
      <c r="BH23" s="5">
        <v>137.9</v>
      </c>
      <c r="BI23" s="5">
        <v>138.4</v>
      </c>
      <c r="BJ23" s="5">
        <v>139.4</v>
      </c>
      <c r="BK23" s="5">
        <v>139.5</v>
      </c>
      <c r="BL23" s="5">
        <v>139.80000000000001</v>
      </c>
      <c r="BM23" s="5">
        <v>139.9</v>
      </c>
      <c r="BN23" s="5">
        <v>139.9</v>
      </c>
      <c r="BO23" s="5">
        <v>140.9</v>
      </c>
      <c r="BP23" s="5">
        <v>141.80000000000001</v>
      </c>
      <c r="BQ23" s="5">
        <v>142.19999999999999</v>
      </c>
      <c r="BR23" s="5">
        <v>143.1</v>
      </c>
      <c r="BS23" s="5">
        <v>143.80000000000001</v>
      </c>
      <c r="BT23" s="5">
        <v>144</v>
      </c>
      <c r="BU23" s="5">
        <v>147.5</v>
      </c>
      <c r="BV23" s="5">
        <v>148</v>
      </c>
      <c r="BW23" s="5">
        <v>149.5</v>
      </c>
      <c r="BX23" s="5">
        <v>150.1</v>
      </c>
      <c r="BY23" s="5">
        <v>150.1</v>
      </c>
      <c r="BZ23" s="5">
        <v>150</v>
      </c>
      <c r="CA23" s="75">
        <v>149.80000000000001</v>
      </c>
      <c r="CB23" s="5">
        <v>149.5</v>
      </c>
      <c r="CC23" s="5">
        <v>149.6</v>
      </c>
      <c r="CD23" s="5">
        <v>150</v>
      </c>
      <c r="CE23" s="5">
        <v>150.19999999999999</v>
      </c>
      <c r="CF23" s="5">
        <v>150.30000000000001</v>
      </c>
      <c r="CG23" s="5">
        <v>150.6</v>
      </c>
      <c r="CH23" s="5">
        <v>150.9</v>
      </c>
      <c r="CI23" s="5">
        <v>151.19999999999999</v>
      </c>
      <c r="CJ23" s="5">
        <v>151.69999999999999</v>
      </c>
      <c r="CK23" s="5">
        <v>151.80000000000001</v>
      </c>
      <c r="CL23" s="5">
        <v>151.5</v>
      </c>
      <c r="CM23" s="5">
        <f>CL23</f>
        <v>151.5</v>
      </c>
      <c r="CN23" s="75">
        <v>151.6</v>
      </c>
      <c r="CO23" s="5">
        <v>151.69999999999999</v>
      </c>
      <c r="CP23" s="5">
        <v>151.69999999999999</v>
      </c>
      <c r="CQ23" s="5">
        <v>151.9</v>
      </c>
      <c r="CR23" s="5">
        <v>151.6</v>
      </c>
      <c r="CS23" s="5">
        <v>152</v>
      </c>
      <c r="CT23" s="5">
        <v>152.80000000000001</v>
      </c>
      <c r="CU23" s="5">
        <v>153.4</v>
      </c>
      <c r="CV23" s="5">
        <v>153.9</v>
      </c>
      <c r="CW23" s="5">
        <v>154.80000000000001</v>
      </c>
      <c r="CX23" s="5">
        <v>154.80000000000001</v>
      </c>
      <c r="CY23" s="5">
        <v>155.5</v>
      </c>
      <c r="CZ23" s="5">
        <v>158.80000000000001</v>
      </c>
      <c r="DA23" s="5">
        <v>159.19999999999999</v>
      </c>
      <c r="DB23" s="5">
        <v>160.30000000000001</v>
      </c>
      <c r="DC23" s="5">
        <v>160.9</v>
      </c>
      <c r="DD23" s="5">
        <v>161.30000000000001</v>
      </c>
      <c r="DE23" s="5">
        <v>162</v>
      </c>
      <c r="DF23" s="5">
        <v>162.9</v>
      </c>
      <c r="DG23" s="5">
        <v>163.9</v>
      </c>
      <c r="DH23" s="5">
        <v>164.9</v>
      </c>
      <c r="DI23" s="5">
        <v>165.7</v>
      </c>
      <c r="DJ23" s="5">
        <v>166.5</v>
      </c>
      <c r="DK23" s="5">
        <v>167.7</v>
      </c>
      <c r="DL23" s="5">
        <v>168.9</v>
      </c>
      <c r="DM23" s="5">
        <v>170.3</v>
      </c>
      <c r="DN23" s="5">
        <v>171.3</v>
      </c>
      <c r="DO23" s="5">
        <v>172.3</v>
      </c>
      <c r="DP23" s="5">
        <v>173.6</v>
      </c>
      <c r="DQ23" s="5">
        <v>174.4</v>
      </c>
      <c r="DR23" s="5">
        <v>175.5</v>
      </c>
      <c r="DS23" s="5">
        <v>176.4</v>
      </c>
      <c r="DT23" s="5">
        <v>177.2</v>
      </c>
      <c r="DU23" s="5">
        <v>178.6</v>
      </c>
      <c r="DV23" s="5">
        <v>178.6</v>
      </c>
      <c r="DW23" s="5">
        <v>179.1</v>
      </c>
      <c r="DX23" s="5">
        <v>179.8</v>
      </c>
      <c r="DY23">
        <f t="shared" si="0"/>
        <v>0</v>
      </c>
    </row>
    <row r="24" spans="1:129" x14ac:dyDescent="0.35">
      <c r="A24" s="34" t="s">
        <v>30</v>
      </c>
      <c r="B24" s="5" t="s">
        <v>23</v>
      </c>
      <c r="C24" s="5" t="s">
        <v>23</v>
      </c>
      <c r="D24" s="5">
        <v>104</v>
      </c>
      <c r="E24" s="5">
        <v>104.4</v>
      </c>
      <c r="F24" s="5">
        <v>104.7</v>
      </c>
      <c r="G24" s="5">
        <v>105.1</v>
      </c>
      <c r="H24" s="5">
        <v>105.7</v>
      </c>
      <c r="I24" s="5">
        <v>106.3</v>
      </c>
      <c r="J24" s="5">
        <v>106.9</v>
      </c>
      <c r="K24" s="5">
        <v>107.5</v>
      </c>
      <c r="L24" s="5">
        <v>108.3</v>
      </c>
      <c r="M24" s="5">
        <v>108.9</v>
      </c>
      <c r="N24" s="5">
        <v>109.7</v>
      </c>
      <c r="O24" s="5">
        <v>110.1</v>
      </c>
      <c r="P24" s="5">
        <v>110.6</v>
      </c>
      <c r="Q24" s="5">
        <v>110.9</v>
      </c>
      <c r="R24" s="5">
        <v>111.4</v>
      </c>
      <c r="S24" s="5">
        <v>111.8</v>
      </c>
      <c r="T24" s="5">
        <v>112.1</v>
      </c>
      <c r="U24" s="5">
        <v>112.8</v>
      </c>
      <c r="V24" s="5">
        <v>113.4</v>
      </c>
      <c r="W24" s="5">
        <v>114</v>
      </c>
      <c r="X24" s="5">
        <v>114.5</v>
      </c>
      <c r="Y24" s="5">
        <v>115.3</v>
      </c>
      <c r="Z24" s="5">
        <v>115.9</v>
      </c>
      <c r="AA24" s="5">
        <v>116.2</v>
      </c>
      <c r="AB24" s="5">
        <v>116.6</v>
      </c>
      <c r="AC24" s="5">
        <v>117.7</v>
      </c>
      <c r="AD24" s="5">
        <v>118.2</v>
      </c>
      <c r="AE24" s="5">
        <v>118.6</v>
      </c>
      <c r="AF24" s="5">
        <v>119.4</v>
      </c>
      <c r="AG24" s="5">
        <v>120.4</v>
      </c>
      <c r="AH24" s="5">
        <v>120.8</v>
      </c>
      <c r="AI24" s="5">
        <v>121.1</v>
      </c>
      <c r="AJ24" s="5">
        <v>121.4</v>
      </c>
      <c r="AK24" s="5">
        <v>122</v>
      </c>
      <c r="AL24" s="5">
        <v>122.6</v>
      </c>
      <c r="AM24" s="5">
        <v>123.1</v>
      </c>
      <c r="AN24" s="5">
        <v>123.7</v>
      </c>
      <c r="AO24" s="5">
        <v>124.3</v>
      </c>
      <c r="AP24" s="5">
        <v>124.8</v>
      </c>
      <c r="AQ24" s="5">
        <v>125.2</v>
      </c>
      <c r="AR24" s="5">
        <v>125.8</v>
      </c>
      <c r="AS24" s="5">
        <v>126.2</v>
      </c>
      <c r="AT24" s="5">
        <v>126.7</v>
      </c>
      <c r="AU24" s="5">
        <v>127</v>
      </c>
      <c r="AV24" s="5">
        <v>127.8</v>
      </c>
      <c r="AW24" s="5">
        <v>128.69999999999999</v>
      </c>
      <c r="AX24" s="5">
        <v>129.1</v>
      </c>
      <c r="AY24" s="5">
        <v>129.69999999999999</v>
      </c>
      <c r="AZ24" s="5">
        <v>129.9</v>
      </c>
      <c r="BA24" s="5">
        <v>130.1</v>
      </c>
      <c r="BB24" s="5">
        <v>130.6</v>
      </c>
      <c r="BC24" s="5">
        <v>131</v>
      </c>
      <c r="BD24" s="5">
        <v>131.4</v>
      </c>
      <c r="BE24" s="5">
        <v>131.30000000000001</v>
      </c>
      <c r="BF24" s="5">
        <v>132.1</v>
      </c>
      <c r="BG24" s="5">
        <v>133</v>
      </c>
      <c r="BH24" s="5">
        <v>133.4</v>
      </c>
      <c r="BI24" s="5">
        <v>134.19999999999999</v>
      </c>
      <c r="BJ24" s="5">
        <v>135.80000000000001</v>
      </c>
      <c r="BK24" s="5">
        <v>136.1</v>
      </c>
      <c r="BL24" s="5">
        <v>136</v>
      </c>
      <c r="BM24" s="5">
        <v>136.19999999999999</v>
      </c>
      <c r="BN24" s="5">
        <v>136.69999999999999</v>
      </c>
      <c r="BO24" s="5">
        <v>137.6</v>
      </c>
      <c r="BP24" s="5">
        <v>138.4</v>
      </c>
      <c r="BQ24" s="5">
        <v>138.4</v>
      </c>
      <c r="BR24" s="5">
        <v>139</v>
      </c>
      <c r="BS24" s="5">
        <v>139.4</v>
      </c>
      <c r="BT24" s="5">
        <v>140</v>
      </c>
      <c r="BU24" s="5">
        <v>144.80000000000001</v>
      </c>
      <c r="BV24" s="5">
        <v>145.4</v>
      </c>
      <c r="BW24" s="5">
        <v>149.6</v>
      </c>
      <c r="BX24" s="5">
        <v>149.6</v>
      </c>
      <c r="BY24" s="5">
        <v>149.9</v>
      </c>
      <c r="BZ24" s="5">
        <v>150.4</v>
      </c>
      <c r="CA24" s="75">
        <v>150.82499999999999</v>
      </c>
      <c r="CB24" s="5">
        <v>151.30000000000001</v>
      </c>
      <c r="CC24" s="5">
        <v>151.69999999999999</v>
      </c>
      <c r="CD24" s="5">
        <v>152.19999999999999</v>
      </c>
      <c r="CE24" s="5">
        <v>152.69999999999999</v>
      </c>
      <c r="CF24" s="5">
        <v>153.4</v>
      </c>
      <c r="CG24" s="5">
        <v>153.69999999999999</v>
      </c>
      <c r="CH24" s="5">
        <v>154.30000000000001</v>
      </c>
      <c r="CI24" s="5">
        <v>154.80000000000001</v>
      </c>
      <c r="CJ24" s="5">
        <v>155.69999999999999</v>
      </c>
      <c r="CK24" s="5">
        <v>156.19999999999999</v>
      </c>
      <c r="CL24" s="5">
        <v>156.69999999999999</v>
      </c>
      <c r="CM24" s="5">
        <v>154.30000000000001</v>
      </c>
      <c r="CN24" s="75">
        <v>156.85</v>
      </c>
      <c r="CO24" s="5">
        <v>158.19999999999999</v>
      </c>
      <c r="CP24" s="5">
        <v>158.19999999999999</v>
      </c>
      <c r="CQ24" s="5">
        <v>158.80000000000001</v>
      </c>
      <c r="CR24" s="5">
        <v>159.1</v>
      </c>
      <c r="CS24" s="5">
        <v>159.5</v>
      </c>
      <c r="CT24" s="5">
        <v>160.4</v>
      </c>
      <c r="CU24" s="5">
        <v>161.6</v>
      </c>
      <c r="CV24" s="5">
        <v>162.5</v>
      </c>
      <c r="CW24" s="5">
        <v>164.3</v>
      </c>
      <c r="CX24" s="5">
        <v>164.6</v>
      </c>
      <c r="CY24" s="5">
        <v>165.3</v>
      </c>
      <c r="CZ24" s="5">
        <v>169.1</v>
      </c>
      <c r="DA24" s="5">
        <v>169.7</v>
      </c>
      <c r="DB24" s="5">
        <v>170.4</v>
      </c>
      <c r="DC24" s="5">
        <v>171.1</v>
      </c>
      <c r="DD24" s="5">
        <v>171.9</v>
      </c>
      <c r="DE24" s="5">
        <v>172.5</v>
      </c>
      <c r="DF24" s="5">
        <v>173.4</v>
      </c>
      <c r="DG24" s="5">
        <v>174</v>
      </c>
      <c r="DH24" s="5">
        <v>174.7</v>
      </c>
      <c r="DI24" s="5">
        <v>175.3</v>
      </c>
      <c r="DJ24" s="5">
        <v>176</v>
      </c>
      <c r="DK24" s="5">
        <v>177</v>
      </c>
      <c r="DL24" s="5">
        <v>177.7</v>
      </c>
      <c r="DM24" s="5">
        <v>178.2</v>
      </c>
      <c r="DN24" s="5">
        <v>178.8</v>
      </c>
      <c r="DO24" s="5">
        <v>179.4</v>
      </c>
      <c r="DP24" s="5">
        <v>180.2</v>
      </c>
      <c r="DQ24" s="5">
        <v>181.2</v>
      </c>
      <c r="DR24" s="5">
        <v>182.3</v>
      </c>
      <c r="DS24" s="5">
        <v>183.5</v>
      </c>
      <c r="DT24" s="5">
        <v>184.7</v>
      </c>
      <c r="DU24" s="5">
        <v>186.6</v>
      </c>
      <c r="DV24" s="5">
        <v>186.6</v>
      </c>
      <c r="DW24" s="5">
        <v>187.2</v>
      </c>
      <c r="DX24" s="5">
        <v>187.8</v>
      </c>
      <c r="DY24">
        <f t="shared" si="0"/>
        <v>0</v>
      </c>
    </row>
    <row r="25" spans="1:129" x14ac:dyDescent="0.35">
      <c r="A25" s="34" t="s">
        <v>30</v>
      </c>
      <c r="B25" s="5" t="s">
        <v>24</v>
      </c>
      <c r="C25" s="5" t="s">
        <v>24</v>
      </c>
      <c r="D25" s="5">
        <v>103.3</v>
      </c>
      <c r="E25" s="5">
        <v>103.9</v>
      </c>
      <c r="F25" s="5">
        <v>104.6</v>
      </c>
      <c r="G25" s="5">
        <v>104.4</v>
      </c>
      <c r="H25" s="5">
        <v>104.1</v>
      </c>
      <c r="I25" s="5">
        <v>105</v>
      </c>
      <c r="J25" s="5">
        <v>106.8</v>
      </c>
      <c r="K25" s="5">
        <v>107.8</v>
      </c>
      <c r="L25" s="5">
        <v>109.3</v>
      </c>
      <c r="M25" s="5">
        <v>109.3</v>
      </c>
      <c r="N25" s="5">
        <v>109.6</v>
      </c>
      <c r="O25" s="5">
        <v>109.9</v>
      </c>
      <c r="P25" s="5">
        <v>110.5</v>
      </c>
      <c r="Q25" s="5">
        <v>110.8</v>
      </c>
      <c r="R25" s="5">
        <v>111.2</v>
      </c>
      <c r="S25" s="5">
        <v>111.2</v>
      </c>
      <c r="T25" s="5">
        <v>111.4</v>
      </c>
      <c r="U25" s="5">
        <v>112.2</v>
      </c>
      <c r="V25" s="5">
        <v>113.2</v>
      </c>
      <c r="W25" s="5">
        <v>113.2</v>
      </c>
      <c r="X25" s="5">
        <v>112.8</v>
      </c>
      <c r="Y25" s="5">
        <v>112.6</v>
      </c>
      <c r="Z25" s="5">
        <v>112</v>
      </c>
      <c r="AA25" s="5">
        <v>111.5</v>
      </c>
      <c r="AB25" s="5">
        <v>111</v>
      </c>
      <c r="AC25" s="5">
        <v>110.9</v>
      </c>
      <c r="AD25" s="5">
        <v>111.6</v>
      </c>
      <c r="AE25" s="5">
        <v>111.9</v>
      </c>
      <c r="AF25" s="5">
        <v>113.3</v>
      </c>
      <c r="AG25" s="5">
        <v>114.2</v>
      </c>
      <c r="AH25" s="5">
        <v>114.1</v>
      </c>
      <c r="AI25" s="5">
        <v>113.6</v>
      </c>
      <c r="AJ25" s="5">
        <v>113.8</v>
      </c>
      <c r="AK25" s="5">
        <v>113.8</v>
      </c>
      <c r="AL25" s="5">
        <v>114</v>
      </c>
      <c r="AM25" s="5">
        <v>114</v>
      </c>
      <c r="AN25" s="5">
        <v>113.6</v>
      </c>
      <c r="AO25" s="5">
        <v>113.9</v>
      </c>
      <c r="AP25" s="5">
        <v>113.6</v>
      </c>
      <c r="AQ25" s="5">
        <v>114.4</v>
      </c>
      <c r="AR25" s="5">
        <v>115.1</v>
      </c>
      <c r="AS25" s="5">
        <v>116.3</v>
      </c>
      <c r="AT25" s="5">
        <v>116.4</v>
      </c>
      <c r="AU25" s="5">
        <v>116</v>
      </c>
      <c r="AV25" s="5">
        <v>117</v>
      </c>
      <c r="AW25" s="5">
        <v>117.8</v>
      </c>
      <c r="AX25" s="5">
        <v>118.2</v>
      </c>
      <c r="AY25" s="5">
        <v>118.6</v>
      </c>
      <c r="AZ25" s="5">
        <v>119.1</v>
      </c>
      <c r="BA25" s="5">
        <v>119.5</v>
      </c>
      <c r="BB25" s="5">
        <v>119.8</v>
      </c>
      <c r="BC25" s="5">
        <v>119.2</v>
      </c>
      <c r="BD25" s="5">
        <v>119.4</v>
      </c>
      <c r="BE25" s="5">
        <v>119.4</v>
      </c>
      <c r="BF25" s="5">
        <v>119.1</v>
      </c>
      <c r="BG25" s="5">
        <v>120.3</v>
      </c>
      <c r="BH25" s="5">
        <v>121.2</v>
      </c>
      <c r="BI25" s="5">
        <v>121</v>
      </c>
      <c r="BJ25" s="5">
        <v>121.6</v>
      </c>
      <c r="BK25" s="5">
        <v>122</v>
      </c>
      <c r="BL25" s="5">
        <v>122.7</v>
      </c>
      <c r="BM25" s="5">
        <v>123.3</v>
      </c>
      <c r="BN25" s="5">
        <v>124.6</v>
      </c>
      <c r="BO25" s="5">
        <v>125.3</v>
      </c>
      <c r="BP25" s="5">
        <v>126.4</v>
      </c>
      <c r="BQ25" s="5">
        <v>127.4</v>
      </c>
      <c r="BR25" s="5">
        <v>127.5</v>
      </c>
      <c r="BS25" s="5">
        <v>128.30000000000001</v>
      </c>
      <c r="BT25" s="5">
        <v>129.9</v>
      </c>
      <c r="BU25" s="5">
        <v>130.80000000000001</v>
      </c>
      <c r="BV25" s="5">
        <v>130.30000000000001</v>
      </c>
      <c r="BW25" s="5">
        <v>128.9</v>
      </c>
      <c r="BX25" s="5">
        <v>128.6</v>
      </c>
      <c r="BY25" s="5">
        <v>129.19999999999999</v>
      </c>
      <c r="BZ25" s="5">
        <v>129.9</v>
      </c>
      <c r="CA25" s="75">
        <v>129.875</v>
      </c>
      <c r="CB25" s="5">
        <v>130.19999999999999</v>
      </c>
      <c r="CC25" s="5">
        <v>130.19999999999999</v>
      </c>
      <c r="CD25" s="5">
        <v>131.19999999999999</v>
      </c>
      <c r="CE25" s="5">
        <v>131.4</v>
      </c>
      <c r="CF25" s="5">
        <v>131.6</v>
      </c>
      <c r="CG25" s="5">
        <v>131.69999999999999</v>
      </c>
      <c r="CH25" s="5">
        <v>132.1</v>
      </c>
      <c r="CI25" s="5">
        <v>135</v>
      </c>
      <c r="CJ25" s="5">
        <v>136.30000000000001</v>
      </c>
      <c r="CK25" s="5">
        <v>136</v>
      </c>
      <c r="CL25" s="5">
        <v>135.80000000000001</v>
      </c>
      <c r="CM25" s="5">
        <f t="shared" ref="CM25:CM30" si="4">CL25</f>
        <v>135.80000000000001</v>
      </c>
      <c r="CN25" s="75">
        <v>138.60000000000002</v>
      </c>
      <c r="CO25" s="5">
        <v>141.4</v>
      </c>
      <c r="CP25" s="5">
        <v>141.4</v>
      </c>
      <c r="CQ25" s="5">
        <v>143.6</v>
      </c>
      <c r="CR25" s="5">
        <v>144.6</v>
      </c>
      <c r="CS25" s="5">
        <v>146.4</v>
      </c>
      <c r="CT25" s="5">
        <v>146.1</v>
      </c>
      <c r="CU25" s="5">
        <v>146.4</v>
      </c>
      <c r="CV25" s="5">
        <v>147.5</v>
      </c>
      <c r="CW25" s="5">
        <v>150.19999999999999</v>
      </c>
      <c r="CX25" s="5">
        <v>151.30000000000001</v>
      </c>
      <c r="CY25" s="5">
        <v>151.69999999999999</v>
      </c>
      <c r="CZ25" s="5">
        <v>153.19999999999999</v>
      </c>
      <c r="DA25" s="5">
        <v>154.19999999999999</v>
      </c>
      <c r="DB25" s="5">
        <v>157.1</v>
      </c>
      <c r="DC25" s="5">
        <v>157.69999999999999</v>
      </c>
      <c r="DD25" s="5">
        <v>157.80000000000001</v>
      </c>
      <c r="DE25" s="5">
        <v>159.5</v>
      </c>
      <c r="DF25" s="5">
        <v>158.9</v>
      </c>
      <c r="DG25" s="5">
        <v>160.1</v>
      </c>
      <c r="DH25" s="5">
        <v>160.80000000000001</v>
      </c>
      <c r="DI25" s="5">
        <v>161.19999999999999</v>
      </c>
      <c r="DJ25" s="5">
        <v>162</v>
      </c>
      <c r="DK25" s="5">
        <v>166.2</v>
      </c>
      <c r="DL25" s="5">
        <v>167.1</v>
      </c>
      <c r="DM25" s="5">
        <v>165.5</v>
      </c>
      <c r="DN25" s="5">
        <v>166.3</v>
      </c>
      <c r="DO25" s="5">
        <v>166.6</v>
      </c>
      <c r="DP25" s="5">
        <v>166.9</v>
      </c>
      <c r="DQ25" s="5">
        <v>167.4</v>
      </c>
      <c r="DR25" s="5">
        <v>167.5</v>
      </c>
      <c r="DS25" s="5">
        <v>167.8</v>
      </c>
      <c r="DT25" s="5">
        <v>168.2</v>
      </c>
      <c r="DU25" s="5">
        <v>169</v>
      </c>
      <c r="DV25" s="5">
        <v>169</v>
      </c>
      <c r="DW25" s="5">
        <v>169.4</v>
      </c>
      <c r="DX25" s="5">
        <v>169.7</v>
      </c>
      <c r="DY25">
        <f t="shared" si="0"/>
        <v>0</v>
      </c>
    </row>
    <row r="26" spans="1:129" x14ac:dyDescent="0.35">
      <c r="A26" s="34" t="s">
        <v>30</v>
      </c>
      <c r="B26" s="5" t="s">
        <v>52</v>
      </c>
      <c r="C26" s="5" t="s">
        <v>25</v>
      </c>
      <c r="D26" s="5">
        <v>103.4</v>
      </c>
      <c r="E26" s="5">
        <v>104</v>
      </c>
      <c r="F26" s="5">
        <v>104</v>
      </c>
      <c r="G26" s="5">
        <v>104.5</v>
      </c>
      <c r="H26" s="5">
        <v>105</v>
      </c>
      <c r="I26" s="5">
        <v>105.6</v>
      </c>
      <c r="J26" s="5">
        <v>106.4</v>
      </c>
      <c r="K26" s="5">
        <v>106.8</v>
      </c>
      <c r="L26" s="5">
        <v>107.7</v>
      </c>
      <c r="M26" s="5">
        <v>108.3</v>
      </c>
      <c r="N26" s="5">
        <v>108.7</v>
      </c>
      <c r="O26" s="5">
        <v>109.2</v>
      </c>
      <c r="P26" s="5">
        <v>109.6</v>
      </c>
      <c r="Q26" s="5">
        <v>109.9</v>
      </c>
      <c r="R26" s="5">
        <v>110.2</v>
      </c>
      <c r="S26" s="5">
        <v>110.5</v>
      </c>
      <c r="T26" s="5">
        <v>110.9</v>
      </c>
      <c r="U26" s="5">
        <v>111.4</v>
      </c>
      <c r="V26" s="5">
        <v>111.8</v>
      </c>
      <c r="W26" s="5">
        <v>112.2</v>
      </c>
      <c r="X26" s="5">
        <v>112.6</v>
      </c>
      <c r="Y26" s="5">
        <v>113</v>
      </c>
      <c r="Z26" s="5">
        <v>113.3</v>
      </c>
      <c r="AA26" s="5">
        <v>113.3</v>
      </c>
      <c r="AB26" s="5">
        <v>114</v>
      </c>
      <c r="AC26" s="5">
        <v>114.8</v>
      </c>
      <c r="AD26" s="5">
        <v>115.5</v>
      </c>
      <c r="AE26" s="5">
        <v>116.2</v>
      </c>
      <c r="AF26" s="5">
        <v>116.7</v>
      </c>
      <c r="AG26" s="5">
        <v>117.9</v>
      </c>
      <c r="AH26" s="5">
        <v>118</v>
      </c>
      <c r="AI26" s="5">
        <v>118.5</v>
      </c>
      <c r="AJ26" s="5">
        <v>119.6</v>
      </c>
      <c r="AK26" s="5">
        <v>120.1</v>
      </c>
      <c r="AL26" s="5">
        <v>120.9</v>
      </c>
      <c r="AM26" s="5">
        <v>121.6</v>
      </c>
      <c r="AN26" s="5">
        <v>121.4</v>
      </c>
      <c r="AO26" s="5">
        <v>122.3</v>
      </c>
      <c r="AP26" s="5">
        <v>122.5</v>
      </c>
      <c r="AQ26" s="5">
        <v>123.2</v>
      </c>
      <c r="AR26" s="5">
        <v>123.6</v>
      </c>
      <c r="AS26" s="5">
        <v>124.1</v>
      </c>
      <c r="AT26" s="5">
        <v>125.2</v>
      </c>
      <c r="AU26" s="5">
        <v>125.5</v>
      </c>
      <c r="AV26" s="5">
        <v>125.7</v>
      </c>
      <c r="AW26" s="5">
        <v>126.5</v>
      </c>
      <c r="AX26" s="5">
        <v>126.9</v>
      </c>
      <c r="AY26" s="5">
        <v>127.3</v>
      </c>
      <c r="AZ26" s="5">
        <v>127</v>
      </c>
      <c r="BA26" s="5">
        <v>127.7</v>
      </c>
      <c r="BB26" s="5">
        <v>128.30000000000001</v>
      </c>
      <c r="BC26" s="5">
        <v>128.30000000000001</v>
      </c>
      <c r="BD26" s="5">
        <v>129.4</v>
      </c>
      <c r="BE26" s="5">
        <v>129.80000000000001</v>
      </c>
      <c r="BF26" s="5">
        <v>130.6</v>
      </c>
      <c r="BG26" s="5">
        <v>131.5</v>
      </c>
      <c r="BH26" s="5">
        <v>132.30000000000001</v>
      </c>
      <c r="BI26" s="5">
        <v>133</v>
      </c>
      <c r="BJ26" s="5">
        <v>133.69999999999999</v>
      </c>
      <c r="BK26" s="5">
        <v>133.4</v>
      </c>
      <c r="BL26" s="5">
        <v>134.30000000000001</v>
      </c>
      <c r="BM26" s="5">
        <v>134.30000000000001</v>
      </c>
      <c r="BN26" s="5">
        <v>135.1</v>
      </c>
      <c r="BO26" s="5">
        <v>136</v>
      </c>
      <c r="BP26" s="5">
        <v>136.80000000000001</v>
      </c>
      <c r="BQ26" s="5">
        <v>137.80000000000001</v>
      </c>
      <c r="BR26" s="5">
        <v>138.4</v>
      </c>
      <c r="BS26" s="5">
        <v>138.6</v>
      </c>
      <c r="BT26" s="5">
        <v>140</v>
      </c>
      <c r="BU26" s="5">
        <v>140.1</v>
      </c>
      <c r="BV26" s="5">
        <v>143.1</v>
      </c>
      <c r="BW26" s="5">
        <v>143.30000000000001</v>
      </c>
      <c r="BX26" s="5">
        <v>142.9</v>
      </c>
      <c r="BY26" s="5">
        <v>143.4</v>
      </c>
      <c r="BZ26" s="5">
        <v>143.80000000000001</v>
      </c>
      <c r="CA26" s="75">
        <v>144.875</v>
      </c>
      <c r="CB26" s="5">
        <v>145.9</v>
      </c>
      <c r="CC26" s="5">
        <v>146.4</v>
      </c>
      <c r="CD26" s="5">
        <v>147.5</v>
      </c>
      <c r="CE26" s="5">
        <v>148</v>
      </c>
      <c r="CF26" s="5">
        <v>148.30000000000001</v>
      </c>
      <c r="CG26" s="5">
        <v>148.69999999999999</v>
      </c>
      <c r="CH26" s="5">
        <v>149.1</v>
      </c>
      <c r="CI26" s="5">
        <v>149.5</v>
      </c>
      <c r="CJ26" s="5">
        <v>150.1</v>
      </c>
      <c r="CK26" s="5">
        <v>150.4</v>
      </c>
      <c r="CL26" s="5">
        <v>151.19999999999999</v>
      </c>
      <c r="CM26" s="5">
        <f t="shared" si="4"/>
        <v>151.19999999999999</v>
      </c>
      <c r="CN26" s="75">
        <v>152.19999999999999</v>
      </c>
      <c r="CO26" s="5">
        <v>153.19999999999999</v>
      </c>
      <c r="CP26" s="5">
        <v>153.19999999999999</v>
      </c>
      <c r="CQ26" s="5">
        <v>152.19999999999999</v>
      </c>
      <c r="CR26" s="5">
        <v>152.80000000000001</v>
      </c>
      <c r="CS26" s="5">
        <v>152.4</v>
      </c>
      <c r="CT26" s="5">
        <v>153.6</v>
      </c>
      <c r="CU26" s="5">
        <v>153.9</v>
      </c>
      <c r="CV26" s="5">
        <v>155.1</v>
      </c>
      <c r="CW26" s="5">
        <v>157</v>
      </c>
      <c r="CX26" s="5">
        <v>157.80000000000001</v>
      </c>
      <c r="CY26" s="5">
        <v>158.6</v>
      </c>
      <c r="CZ26" s="5">
        <v>160</v>
      </c>
      <c r="DA26" s="5">
        <v>160.4</v>
      </c>
      <c r="DB26" s="5">
        <v>160.69999999999999</v>
      </c>
      <c r="DC26" s="5">
        <v>161.1</v>
      </c>
      <c r="DD26" s="5">
        <v>162.69999999999999</v>
      </c>
      <c r="DE26" s="5">
        <v>163.19999999999999</v>
      </c>
      <c r="DF26" s="5">
        <v>163.80000000000001</v>
      </c>
      <c r="DG26" s="5">
        <v>164.5</v>
      </c>
      <c r="DH26" s="5">
        <v>164.9</v>
      </c>
      <c r="DI26" s="5">
        <v>165.5</v>
      </c>
      <c r="DJ26" s="5">
        <v>166.6</v>
      </c>
      <c r="DK26" s="5">
        <v>167.2</v>
      </c>
      <c r="DL26" s="5">
        <v>167.6</v>
      </c>
      <c r="DM26" s="5">
        <v>168</v>
      </c>
      <c r="DN26" s="5">
        <v>168.6</v>
      </c>
      <c r="DO26" s="5">
        <v>169.3</v>
      </c>
      <c r="DP26" s="5">
        <v>170</v>
      </c>
      <c r="DQ26" s="5">
        <v>170.6</v>
      </c>
      <c r="DR26" s="5">
        <v>170.8</v>
      </c>
      <c r="DS26" s="5">
        <v>171.2</v>
      </c>
      <c r="DT26" s="5">
        <v>171.8</v>
      </c>
      <c r="DU26" s="5">
        <v>172.8</v>
      </c>
      <c r="DV26" s="5">
        <v>172.8</v>
      </c>
      <c r="DW26" s="5">
        <v>173.2</v>
      </c>
      <c r="DX26" s="5">
        <v>173.8</v>
      </c>
      <c r="DY26">
        <f t="shared" si="0"/>
        <v>0</v>
      </c>
    </row>
    <row r="27" spans="1:129" x14ac:dyDescent="0.35">
      <c r="A27" s="34" t="s">
        <v>30</v>
      </c>
      <c r="B27" s="5" t="s">
        <v>26</v>
      </c>
      <c r="C27" s="5" t="s">
        <v>26</v>
      </c>
      <c r="D27" s="5">
        <v>103.8</v>
      </c>
      <c r="E27" s="5">
        <v>104.1</v>
      </c>
      <c r="F27" s="5">
        <v>104.3</v>
      </c>
      <c r="G27" s="5">
        <v>104.8</v>
      </c>
      <c r="H27" s="5">
        <v>105.5</v>
      </c>
      <c r="I27" s="5">
        <v>106.5</v>
      </c>
      <c r="J27" s="5">
        <v>107.8</v>
      </c>
      <c r="K27" s="5">
        <v>108.7</v>
      </c>
      <c r="L27" s="5">
        <v>109.8</v>
      </c>
      <c r="M27" s="5">
        <v>110.2</v>
      </c>
      <c r="N27" s="5">
        <v>111</v>
      </c>
      <c r="O27" s="5">
        <v>111.6</v>
      </c>
      <c r="P27" s="5">
        <v>111.8</v>
      </c>
      <c r="Q27" s="5">
        <v>112</v>
      </c>
      <c r="R27" s="5">
        <v>112.4</v>
      </c>
      <c r="S27" s="5">
        <v>113</v>
      </c>
      <c r="T27" s="5">
        <v>113.1</v>
      </c>
      <c r="U27" s="5">
        <v>114.3</v>
      </c>
      <c r="V27" s="5">
        <v>115.5</v>
      </c>
      <c r="W27" s="5">
        <v>116.2</v>
      </c>
      <c r="X27" s="5">
        <v>116.6</v>
      </c>
      <c r="Y27" s="5">
        <v>116.9</v>
      </c>
      <c r="Z27" s="5">
        <v>117.2</v>
      </c>
      <c r="AA27" s="5">
        <v>117.7</v>
      </c>
      <c r="AB27" s="5">
        <v>118.2</v>
      </c>
      <c r="AC27" s="5">
        <v>118.7</v>
      </c>
      <c r="AD27" s="5">
        <v>119.4</v>
      </c>
      <c r="AE27" s="5">
        <v>119.9</v>
      </c>
      <c r="AF27" s="5">
        <v>120.5</v>
      </c>
      <c r="AG27" s="5">
        <v>122</v>
      </c>
      <c r="AH27" s="5">
        <v>122.9</v>
      </c>
      <c r="AI27" s="5">
        <v>123.6</v>
      </c>
      <c r="AJ27" s="5">
        <v>124.5</v>
      </c>
      <c r="AK27" s="5">
        <v>125.1</v>
      </c>
      <c r="AL27" s="5">
        <v>125.8</v>
      </c>
      <c r="AM27" s="5">
        <v>125.6</v>
      </c>
      <c r="AN27" s="5">
        <v>126.2</v>
      </c>
      <c r="AO27" s="5">
        <v>127.1</v>
      </c>
      <c r="AP27" s="5">
        <v>127.5</v>
      </c>
      <c r="AQ27" s="5">
        <v>127.9</v>
      </c>
      <c r="AR27" s="5">
        <v>129.1</v>
      </c>
      <c r="AS27" s="5">
        <v>130.19999999999999</v>
      </c>
      <c r="AT27" s="5">
        <v>130.80000000000001</v>
      </c>
      <c r="AU27" s="5">
        <v>131.9</v>
      </c>
      <c r="AV27" s="5">
        <v>132.19999999999999</v>
      </c>
      <c r="AW27" s="5">
        <v>133</v>
      </c>
      <c r="AX27" s="5">
        <v>133.69999999999999</v>
      </c>
      <c r="AY27" s="5">
        <v>134.19999999999999</v>
      </c>
      <c r="AZ27" s="5">
        <v>134.6</v>
      </c>
      <c r="BA27" s="5">
        <v>134.9</v>
      </c>
      <c r="BB27" s="5">
        <v>135.19999999999999</v>
      </c>
      <c r="BC27" s="5">
        <v>135.69999999999999</v>
      </c>
      <c r="BD27" s="5">
        <v>136.30000000000001</v>
      </c>
      <c r="BE27" s="5">
        <v>136.9</v>
      </c>
      <c r="BF27" s="5">
        <v>138.6</v>
      </c>
      <c r="BG27" s="5">
        <v>140.19999999999999</v>
      </c>
      <c r="BH27" s="5">
        <v>139.6</v>
      </c>
      <c r="BI27" s="5">
        <v>140.1</v>
      </c>
      <c r="BJ27" s="5">
        <v>141.5</v>
      </c>
      <c r="BK27" s="5">
        <v>141.1</v>
      </c>
      <c r="BL27" s="5">
        <v>141.6</v>
      </c>
      <c r="BM27" s="5">
        <v>141.5</v>
      </c>
      <c r="BN27" s="5">
        <v>142.69999999999999</v>
      </c>
      <c r="BO27" s="5">
        <v>143.69999999999999</v>
      </c>
      <c r="BP27" s="5">
        <v>144.4</v>
      </c>
      <c r="BQ27" s="5">
        <v>145.1</v>
      </c>
      <c r="BR27" s="5">
        <v>145.80000000000001</v>
      </c>
      <c r="BS27" s="5">
        <v>146.9</v>
      </c>
      <c r="BT27" s="5">
        <v>147.6</v>
      </c>
      <c r="BU27" s="5">
        <v>148</v>
      </c>
      <c r="BV27" s="5">
        <v>150.19999999999999</v>
      </c>
      <c r="BW27" s="5">
        <v>155.1</v>
      </c>
      <c r="BX27" s="5">
        <v>155.19999999999999</v>
      </c>
      <c r="BY27" s="5">
        <v>155.5</v>
      </c>
      <c r="BZ27" s="5">
        <v>155.5</v>
      </c>
      <c r="CA27" s="75">
        <v>156.35</v>
      </c>
      <c r="CB27" s="5">
        <v>156.69999999999999</v>
      </c>
      <c r="CC27" s="5">
        <v>157.69999999999999</v>
      </c>
      <c r="CD27" s="5">
        <v>159.1</v>
      </c>
      <c r="CE27" s="5">
        <v>159.69999999999999</v>
      </c>
      <c r="CF27" s="5">
        <v>160.19999999999999</v>
      </c>
      <c r="CG27" s="5">
        <v>160.69999999999999</v>
      </c>
      <c r="CH27" s="5">
        <v>160.80000000000001</v>
      </c>
      <c r="CI27" s="5">
        <v>161.1</v>
      </c>
      <c r="CJ27" s="5">
        <v>161.69999999999999</v>
      </c>
      <c r="CK27" s="5">
        <v>161.9</v>
      </c>
      <c r="CL27" s="5">
        <v>161.19999999999999</v>
      </c>
      <c r="CM27" s="5">
        <f t="shared" si="4"/>
        <v>161.19999999999999</v>
      </c>
      <c r="CN27" s="75">
        <v>161.5</v>
      </c>
      <c r="CO27" s="5">
        <v>161.80000000000001</v>
      </c>
      <c r="CP27" s="5">
        <v>161.80000000000001</v>
      </c>
      <c r="CQ27" s="5">
        <v>162.69999999999999</v>
      </c>
      <c r="CR27" s="5">
        <v>161.1</v>
      </c>
      <c r="CS27" s="5">
        <v>162.5</v>
      </c>
      <c r="CT27" s="5">
        <v>161.6</v>
      </c>
      <c r="CU27" s="5">
        <v>162.9</v>
      </c>
      <c r="CV27" s="5">
        <v>163.5</v>
      </c>
      <c r="CW27" s="5">
        <v>163.6</v>
      </c>
      <c r="CX27" s="5">
        <v>163.80000000000001</v>
      </c>
      <c r="CY27" s="5">
        <v>164.1</v>
      </c>
      <c r="CZ27" s="5">
        <v>167.6</v>
      </c>
      <c r="DA27" s="5">
        <v>166.8</v>
      </c>
      <c r="DB27" s="5">
        <v>167.2</v>
      </c>
      <c r="DC27" s="5">
        <v>167.5</v>
      </c>
      <c r="DD27" s="5">
        <v>168.5</v>
      </c>
      <c r="DE27" s="5">
        <v>169</v>
      </c>
      <c r="DF27" s="5">
        <v>169.3</v>
      </c>
      <c r="DG27" s="5">
        <v>169.7</v>
      </c>
      <c r="DH27" s="5">
        <v>169.9</v>
      </c>
      <c r="DI27" s="5">
        <v>170.3</v>
      </c>
      <c r="DJ27" s="5">
        <v>170.6</v>
      </c>
      <c r="DK27" s="5">
        <v>170.9</v>
      </c>
      <c r="DL27" s="5">
        <v>171.8</v>
      </c>
      <c r="DM27" s="5">
        <v>172.6</v>
      </c>
      <c r="DN27" s="5">
        <v>174.7</v>
      </c>
      <c r="DO27" s="5">
        <v>175.7</v>
      </c>
      <c r="DP27" s="5">
        <v>176.2</v>
      </c>
      <c r="DQ27" s="5">
        <v>176.5</v>
      </c>
      <c r="DR27" s="5">
        <v>176.9</v>
      </c>
      <c r="DS27" s="5">
        <v>177.3</v>
      </c>
      <c r="DT27" s="5">
        <v>177.8</v>
      </c>
      <c r="DU27" s="5">
        <v>178.5</v>
      </c>
      <c r="DV27" s="5">
        <v>178.5</v>
      </c>
      <c r="DW27" s="5">
        <v>179.4</v>
      </c>
      <c r="DX27" s="5">
        <v>180.3</v>
      </c>
      <c r="DY27">
        <f t="shared" si="0"/>
        <v>0</v>
      </c>
    </row>
    <row r="28" spans="1:129" x14ac:dyDescent="0.35">
      <c r="A28" s="34" t="s">
        <v>30</v>
      </c>
      <c r="B28" s="5" t="s">
        <v>52</v>
      </c>
      <c r="C28" s="5" t="s">
        <v>27</v>
      </c>
      <c r="D28" s="5">
        <v>104.7</v>
      </c>
      <c r="E28" s="5">
        <v>104.6</v>
      </c>
      <c r="F28" s="5">
        <v>104.3</v>
      </c>
      <c r="G28" s="5">
        <v>102.7</v>
      </c>
      <c r="H28" s="5">
        <v>102.1</v>
      </c>
      <c r="I28" s="5">
        <v>102.5</v>
      </c>
      <c r="J28" s="5">
        <v>102.5</v>
      </c>
      <c r="K28" s="5">
        <v>105</v>
      </c>
      <c r="L28" s="5">
        <v>106.7</v>
      </c>
      <c r="M28" s="5">
        <v>107.5</v>
      </c>
      <c r="N28" s="5">
        <v>108.2</v>
      </c>
      <c r="O28" s="5">
        <v>108.1</v>
      </c>
      <c r="P28" s="5">
        <v>108.3</v>
      </c>
      <c r="Q28" s="5">
        <v>108.7</v>
      </c>
      <c r="R28" s="5">
        <v>108.9</v>
      </c>
      <c r="S28" s="5">
        <v>108.9</v>
      </c>
      <c r="T28" s="5">
        <v>108.9</v>
      </c>
      <c r="U28" s="5">
        <v>108</v>
      </c>
      <c r="V28" s="5">
        <v>108.8</v>
      </c>
      <c r="W28" s="5">
        <v>109.4</v>
      </c>
      <c r="X28" s="5">
        <v>109.1</v>
      </c>
      <c r="Y28" s="5">
        <v>109.3</v>
      </c>
      <c r="Z28" s="5">
        <v>108.8</v>
      </c>
      <c r="AA28" s="5">
        <v>109.4</v>
      </c>
      <c r="AB28" s="5">
        <v>110.2</v>
      </c>
      <c r="AC28" s="5">
        <v>110.8</v>
      </c>
      <c r="AD28" s="5">
        <v>110.8</v>
      </c>
      <c r="AE28" s="5">
        <v>111.6</v>
      </c>
      <c r="AF28" s="5">
        <v>112.3</v>
      </c>
      <c r="AG28" s="5">
        <v>113</v>
      </c>
      <c r="AH28" s="5">
        <v>112.7</v>
      </c>
      <c r="AI28" s="5">
        <v>112.5</v>
      </c>
      <c r="AJ28" s="5">
        <v>113.7</v>
      </c>
      <c r="AK28" s="5">
        <v>114.2</v>
      </c>
      <c r="AL28" s="5">
        <v>114.2</v>
      </c>
      <c r="AM28" s="5">
        <v>114.1</v>
      </c>
      <c r="AN28" s="5">
        <v>114.9</v>
      </c>
      <c r="AO28" s="5">
        <v>116.8</v>
      </c>
      <c r="AP28" s="5">
        <v>117.4</v>
      </c>
      <c r="AQ28" s="5">
        <v>118.4</v>
      </c>
      <c r="AR28" s="5">
        <v>119.7</v>
      </c>
      <c r="AS28" s="5">
        <v>119.9</v>
      </c>
      <c r="AT28" s="5">
        <v>120.9</v>
      </c>
      <c r="AU28" s="5">
        <v>122</v>
      </c>
      <c r="AV28" s="5">
        <v>122.8</v>
      </c>
      <c r="AW28" s="5">
        <v>123</v>
      </c>
      <c r="AX28" s="5">
        <v>123.5</v>
      </c>
      <c r="AY28" s="5">
        <v>121.9</v>
      </c>
      <c r="AZ28" s="5">
        <v>122.3</v>
      </c>
      <c r="BA28" s="5">
        <v>123.2</v>
      </c>
      <c r="BB28" s="5">
        <v>123.3</v>
      </c>
      <c r="BC28" s="5">
        <v>123.7</v>
      </c>
      <c r="BD28" s="5">
        <v>123.7</v>
      </c>
      <c r="BE28" s="5">
        <v>124.1</v>
      </c>
      <c r="BF28" s="5">
        <v>124.4</v>
      </c>
      <c r="BG28" s="5">
        <v>125.4</v>
      </c>
      <c r="BH28" s="5">
        <v>126.7</v>
      </c>
      <c r="BI28" s="5">
        <v>127.4</v>
      </c>
      <c r="BJ28" s="5">
        <v>128.1</v>
      </c>
      <c r="BK28" s="5">
        <v>127.8</v>
      </c>
      <c r="BL28" s="5">
        <v>128.6</v>
      </c>
      <c r="BM28" s="5">
        <v>128.80000000000001</v>
      </c>
      <c r="BN28" s="5">
        <v>129.30000000000001</v>
      </c>
      <c r="BO28" s="5">
        <v>130.4</v>
      </c>
      <c r="BP28" s="5">
        <v>131.19999999999999</v>
      </c>
      <c r="BQ28" s="5">
        <v>131.4</v>
      </c>
      <c r="BR28" s="5">
        <v>131.4</v>
      </c>
      <c r="BS28" s="5">
        <v>131.30000000000001</v>
      </c>
      <c r="BT28" s="5">
        <v>132</v>
      </c>
      <c r="BU28" s="5">
        <v>134.4</v>
      </c>
      <c r="BV28" s="5">
        <v>133.1</v>
      </c>
      <c r="BW28" s="5">
        <v>133.19999999999999</v>
      </c>
      <c r="BX28" s="5">
        <v>133.5</v>
      </c>
      <c r="BY28" s="5">
        <v>134.9</v>
      </c>
      <c r="BZ28" s="5">
        <v>134</v>
      </c>
      <c r="CA28" s="75">
        <v>134.4</v>
      </c>
      <c r="CB28" s="5">
        <v>133.9</v>
      </c>
      <c r="CC28" s="5">
        <v>134.80000000000001</v>
      </c>
      <c r="CD28" s="5">
        <v>136.1</v>
      </c>
      <c r="CE28" s="5">
        <v>138.80000000000001</v>
      </c>
      <c r="CF28" s="5">
        <v>140.19999999999999</v>
      </c>
      <c r="CG28" s="5">
        <v>140.30000000000001</v>
      </c>
      <c r="CH28" s="5">
        <v>140.6</v>
      </c>
      <c r="CI28" s="5">
        <v>140.6</v>
      </c>
      <c r="CJ28" s="5">
        <v>142.5</v>
      </c>
      <c r="CK28" s="5">
        <v>143.4</v>
      </c>
      <c r="CL28" s="5">
        <v>145.1</v>
      </c>
      <c r="CM28" s="5">
        <f t="shared" si="4"/>
        <v>145.1</v>
      </c>
      <c r="CN28" s="75">
        <v>148.14999999999998</v>
      </c>
      <c r="CO28" s="5">
        <v>151.19999999999999</v>
      </c>
      <c r="CP28" s="5">
        <v>151.19999999999999</v>
      </c>
      <c r="CQ28" s="5">
        <v>153.6</v>
      </c>
      <c r="CR28" s="5">
        <v>157.4</v>
      </c>
      <c r="CS28" s="5">
        <v>156.19999999999999</v>
      </c>
      <c r="CT28" s="5">
        <v>156.19999999999999</v>
      </c>
      <c r="CU28" s="5">
        <v>156.6</v>
      </c>
      <c r="CV28" s="5">
        <v>156.19999999999999</v>
      </c>
      <c r="CW28" s="5">
        <v>155.19999999999999</v>
      </c>
      <c r="CX28" s="5">
        <v>153.1</v>
      </c>
      <c r="CY28" s="5">
        <v>154.6</v>
      </c>
      <c r="CZ28" s="5">
        <v>159.30000000000001</v>
      </c>
      <c r="DA28" s="5">
        <v>159.4</v>
      </c>
      <c r="DB28" s="5">
        <v>160.4</v>
      </c>
      <c r="DC28" s="5">
        <v>160.30000000000001</v>
      </c>
      <c r="DD28" s="5">
        <v>160.19999999999999</v>
      </c>
      <c r="DE28" s="5">
        <v>161.1</v>
      </c>
      <c r="DF28" s="5">
        <v>162.4</v>
      </c>
      <c r="DG28" s="5">
        <v>162.80000000000001</v>
      </c>
      <c r="DH28" s="5">
        <v>163.19999999999999</v>
      </c>
      <c r="DI28" s="5">
        <v>164.5</v>
      </c>
      <c r="DJ28" s="5">
        <v>167.4</v>
      </c>
      <c r="DK28" s="5">
        <v>169</v>
      </c>
      <c r="DL28" s="5">
        <v>168.5</v>
      </c>
      <c r="DM28" s="5">
        <v>169.5</v>
      </c>
      <c r="DN28" s="5">
        <v>169.7</v>
      </c>
      <c r="DO28" s="5">
        <v>171.1</v>
      </c>
      <c r="DP28" s="5">
        <v>170.8</v>
      </c>
      <c r="DQ28" s="5">
        <v>172</v>
      </c>
      <c r="DR28" s="5">
        <v>173.4</v>
      </c>
      <c r="DS28" s="5">
        <v>175.7</v>
      </c>
      <c r="DT28" s="5">
        <v>178.4</v>
      </c>
      <c r="DU28" s="5">
        <v>180.7</v>
      </c>
      <c r="DV28" s="5">
        <v>180.7</v>
      </c>
      <c r="DW28" s="5">
        <v>183.8</v>
      </c>
      <c r="DX28" s="5">
        <v>184.9</v>
      </c>
      <c r="DY28">
        <f t="shared" si="0"/>
        <v>0</v>
      </c>
    </row>
    <row r="29" spans="1:129" x14ac:dyDescent="0.35">
      <c r="A29" s="34" t="s">
        <v>30</v>
      </c>
      <c r="B29" s="5" t="s">
        <v>28</v>
      </c>
      <c r="C29" s="5" t="s">
        <v>28</v>
      </c>
      <c r="D29" s="5">
        <v>104</v>
      </c>
      <c r="E29" s="5">
        <v>104.4</v>
      </c>
      <c r="F29" s="5">
        <v>104.6</v>
      </c>
      <c r="G29" s="5">
        <v>104.6</v>
      </c>
      <c r="H29" s="5">
        <v>104.8</v>
      </c>
      <c r="I29" s="5">
        <v>105.5</v>
      </c>
      <c r="J29" s="5">
        <v>106.5</v>
      </c>
      <c r="K29" s="5">
        <v>107.5</v>
      </c>
      <c r="L29" s="5">
        <v>108.7</v>
      </c>
      <c r="M29" s="5">
        <v>109.1</v>
      </c>
      <c r="N29" s="5">
        <v>109.8</v>
      </c>
      <c r="O29" s="5">
        <v>110.1</v>
      </c>
      <c r="P29" s="5">
        <v>110.6</v>
      </c>
      <c r="Q29" s="5">
        <v>110.9</v>
      </c>
      <c r="R29" s="5">
        <v>111.3</v>
      </c>
      <c r="S29" s="5">
        <v>111.5</v>
      </c>
      <c r="T29" s="5">
        <v>111.8</v>
      </c>
      <c r="U29" s="5">
        <v>112.3</v>
      </c>
      <c r="V29" s="5">
        <v>113.1</v>
      </c>
      <c r="W29" s="5">
        <v>113.5</v>
      </c>
      <c r="X29" s="5">
        <v>113.7</v>
      </c>
      <c r="Y29" s="5">
        <v>114</v>
      </c>
      <c r="Z29" s="5">
        <v>114.1</v>
      </c>
      <c r="AA29" s="5">
        <v>114.2</v>
      </c>
      <c r="AB29" s="5">
        <v>114.5</v>
      </c>
      <c r="AC29" s="5">
        <v>115</v>
      </c>
      <c r="AD29" s="5">
        <v>115.5</v>
      </c>
      <c r="AE29" s="5">
        <v>116</v>
      </c>
      <c r="AF29" s="5">
        <v>116.9</v>
      </c>
      <c r="AG29" s="5">
        <v>117.9</v>
      </c>
      <c r="AH29" s="5">
        <v>118.1</v>
      </c>
      <c r="AI29" s="5">
        <v>118.2</v>
      </c>
      <c r="AJ29" s="5">
        <v>118.8</v>
      </c>
      <c r="AK29" s="5">
        <v>119.2</v>
      </c>
      <c r="AL29" s="5">
        <v>119.6</v>
      </c>
      <c r="AM29" s="5">
        <v>119.8</v>
      </c>
      <c r="AN29" s="5">
        <v>120.1</v>
      </c>
      <c r="AO29" s="5">
        <v>120.9</v>
      </c>
      <c r="AP29" s="5">
        <v>121.1</v>
      </c>
      <c r="AQ29" s="5">
        <v>121.7</v>
      </c>
      <c r="AR29" s="5">
        <v>122.5</v>
      </c>
      <c r="AS29" s="5">
        <v>123.3</v>
      </c>
      <c r="AT29" s="5">
        <v>123.8</v>
      </c>
      <c r="AU29" s="5">
        <v>124.2</v>
      </c>
      <c r="AV29" s="5">
        <v>124.9</v>
      </c>
      <c r="AW29" s="5">
        <v>125.7</v>
      </c>
      <c r="AX29" s="5">
        <v>126.1</v>
      </c>
      <c r="AY29" s="5">
        <v>126.3</v>
      </c>
      <c r="AZ29" s="5">
        <v>126.6</v>
      </c>
      <c r="BA29" s="5">
        <v>127</v>
      </c>
      <c r="BB29" s="5">
        <v>127.4</v>
      </c>
      <c r="BC29" s="5">
        <v>127.5</v>
      </c>
      <c r="BD29" s="5">
        <v>127.9</v>
      </c>
      <c r="BE29" s="5">
        <v>128.1</v>
      </c>
      <c r="BF29" s="5">
        <v>128.6</v>
      </c>
      <c r="BG29" s="5">
        <v>129.69999999999999</v>
      </c>
      <c r="BH29" s="5">
        <v>130.30000000000001</v>
      </c>
      <c r="BI29" s="5">
        <v>130.69999999999999</v>
      </c>
      <c r="BJ29" s="5">
        <v>131.69999999999999</v>
      </c>
      <c r="BK29" s="5">
        <v>131.9</v>
      </c>
      <c r="BL29" s="5">
        <v>132.30000000000001</v>
      </c>
      <c r="BM29" s="5">
        <v>132.5</v>
      </c>
      <c r="BN29" s="5">
        <v>133.30000000000001</v>
      </c>
      <c r="BO29" s="5">
        <v>134.19999999999999</v>
      </c>
      <c r="BP29" s="5">
        <v>135.1</v>
      </c>
      <c r="BQ29" s="5">
        <v>135.6</v>
      </c>
      <c r="BR29" s="5">
        <v>136</v>
      </c>
      <c r="BS29" s="5">
        <v>136.6</v>
      </c>
      <c r="BT29" s="5">
        <v>137.4</v>
      </c>
      <c r="BU29" s="5">
        <v>139.80000000000001</v>
      </c>
      <c r="BV29" s="5">
        <v>140.1</v>
      </c>
      <c r="BW29" s="5">
        <v>141.6</v>
      </c>
      <c r="BX29" s="5">
        <v>141.69999999999999</v>
      </c>
      <c r="BY29" s="5">
        <v>142.19999999999999</v>
      </c>
      <c r="BZ29" s="5">
        <v>142.4</v>
      </c>
      <c r="CA29" s="75">
        <v>142.70000000000002</v>
      </c>
      <c r="CB29" s="5">
        <v>142.9</v>
      </c>
      <c r="CC29" s="5">
        <v>143.30000000000001</v>
      </c>
      <c r="CD29" s="5">
        <v>144.19999999999999</v>
      </c>
      <c r="CE29" s="5">
        <v>144.9</v>
      </c>
      <c r="CF29" s="5">
        <v>145.4</v>
      </c>
      <c r="CG29" s="5">
        <v>145.69999999999999</v>
      </c>
      <c r="CH29" s="5">
        <v>146.1</v>
      </c>
      <c r="CI29" s="5">
        <v>147.1</v>
      </c>
      <c r="CJ29" s="5">
        <v>148.1</v>
      </c>
      <c r="CK29" s="5">
        <v>148.4</v>
      </c>
      <c r="CL29" s="5">
        <v>148.6</v>
      </c>
      <c r="CM29" s="5">
        <f t="shared" si="4"/>
        <v>148.6</v>
      </c>
      <c r="CN29" s="75">
        <v>150.14999999999998</v>
      </c>
      <c r="CO29" s="5">
        <v>151.69999999999999</v>
      </c>
      <c r="CP29" s="5">
        <v>151.69999999999999</v>
      </c>
      <c r="CQ29" s="5">
        <v>153</v>
      </c>
      <c r="CR29" s="5">
        <v>153.69999999999999</v>
      </c>
      <c r="CS29" s="5">
        <v>154.30000000000001</v>
      </c>
      <c r="CT29" s="5">
        <v>154.5</v>
      </c>
      <c r="CU29" s="5">
        <v>155.19999999999999</v>
      </c>
      <c r="CV29" s="5">
        <v>155.9</v>
      </c>
      <c r="CW29" s="5">
        <v>157.19999999999999</v>
      </c>
      <c r="CX29" s="5">
        <v>157.30000000000001</v>
      </c>
      <c r="CY29" s="5">
        <v>158</v>
      </c>
      <c r="CZ29" s="5">
        <v>161.1</v>
      </c>
      <c r="DA29" s="5">
        <v>161.5</v>
      </c>
      <c r="DB29" s="5">
        <v>162.80000000000001</v>
      </c>
      <c r="DC29" s="5">
        <v>163.30000000000001</v>
      </c>
      <c r="DD29" s="5">
        <v>163.80000000000001</v>
      </c>
      <c r="DE29" s="5">
        <v>164.7</v>
      </c>
      <c r="DF29" s="5">
        <v>165.2</v>
      </c>
      <c r="DG29" s="5">
        <v>166</v>
      </c>
      <c r="DH29" s="5">
        <v>166.6</v>
      </c>
      <c r="DI29" s="5">
        <v>167.3</v>
      </c>
      <c r="DJ29" s="5">
        <v>168.3</v>
      </c>
      <c r="DK29" s="5">
        <v>170.2</v>
      </c>
      <c r="DL29" s="5">
        <v>170.9</v>
      </c>
      <c r="DM29" s="5">
        <v>171</v>
      </c>
      <c r="DN29" s="5">
        <v>171.8</v>
      </c>
      <c r="DO29" s="5">
        <v>172.6</v>
      </c>
      <c r="DP29" s="5">
        <v>173.1</v>
      </c>
      <c r="DQ29" s="5">
        <v>173.9</v>
      </c>
      <c r="DR29" s="5">
        <v>174.6</v>
      </c>
      <c r="DS29" s="5">
        <v>175.5</v>
      </c>
      <c r="DT29" s="5">
        <v>176.5</v>
      </c>
      <c r="DU29" s="5">
        <v>177.9</v>
      </c>
      <c r="DV29" s="5">
        <v>177.9</v>
      </c>
      <c r="DW29" s="5">
        <v>178.9</v>
      </c>
      <c r="DX29" s="5">
        <v>179.5</v>
      </c>
      <c r="DY29">
        <f t="shared" si="0"/>
        <v>0</v>
      </c>
    </row>
    <row r="30" spans="1:129" x14ac:dyDescent="0.35">
      <c r="A30" s="34" t="s">
        <v>30</v>
      </c>
      <c r="B30" s="5" t="s">
        <v>29</v>
      </c>
      <c r="C30" s="5" t="s">
        <v>29</v>
      </c>
      <c r="D30" s="5">
        <v>105.1</v>
      </c>
      <c r="E30" s="5">
        <v>105.8</v>
      </c>
      <c r="F30" s="5">
        <v>106</v>
      </c>
      <c r="G30" s="5">
        <v>106.4</v>
      </c>
      <c r="H30" s="5">
        <v>107.2</v>
      </c>
      <c r="I30" s="5">
        <v>108.9</v>
      </c>
      <c r="J30" s="5">
        <v>110.7</v>
      </c>
      <c r="K30" s="5">
        <v>112.1</v>
      </c>
      <c r="L30" s="5">
        <v>114.2</v>
      </c>
      <c r="M30" s="5">
        <v>115.5</v>
      </c>
      <c r="N30" s="5">
        <v>117.4</v>
      </c>
      <c r="O30" s="5">
        <v>115.5</v>
      </c>
      <c r="P30" s="5">
        <v>114.2</v>
      </c>
      <c r="Q30" s="5">
        <v>114</v>
      </c>
      <c r="R30" s="5">
        <v>114.6</v>
      </c>
      <c r="S30" s="5">
        <v>115.4</v>
      </c>
      <c r="T30" s="5">
        <v>116</v>
      </c>
      <c r="U30" s="5">
        <v>117</v>
      </c>
      <c r="V30" s="5">
        <v>119.5</v>
      </c>
      <c r="W30" s="5">
        <v>120.7</v>
      </c>
      <c r="X30" s="5">
        <v>120.9</v>
      </c>
      <c r="Y30" s="5">
        <v>121</v>
      </c>
      <c r="Z30" s="5">
        <v>121.1</v>
      </c>
      <c r="AA30" s="5">
        <v>120.3</v>
      </c>
      <c r="AB30" s="5">
        <v>120.3</v>
      </c>
      <c r="AC30" s="5">
        <v>120.6</v>
      </c>
      <c r="AD30" s="5">
        <v>121.1</v>
      </c>
      <c r="AE30" s="5">
        <v>121.5</v>
      </c>
      <c r="AF30" s="5">
        <v>122.4</v>
      </c>
      <c r="AG30" s="5">
        <v>124.1</v>
      </c>
      <c r="AH30" s="5">
        <v>124.7</v>
      </c>
      <c r="AI30" s="5">
        <v>126.1</v>
      </c>
      <c r="AJ30" s="5">
        <v>127</v>
      </c>
      <c r="AK30" s="5">
        <v>127.7</v>
      </c>
      <c r="AL30" s="5">
        <v>128.30000000000001</v>
      </c>
      <c r="AM30" s="5">
        <v>127.9</v>
      </c>
      <c r="AN30" s="5">
        <v>128.1</v>
      </c>
      <c r="AO30" s="5">
        <v>127.9</v>
      </c>
      <c r="AP30" s="5">
        <v>128</v>
      </c>
      <c r="AQ30" s="5">
        <v>129</v>
      </c>
      <c r="AR30" s="5">
        <v>130.30000000000001</v>
      </c>
      <c r="AS30" s="5">
        <v>131.9</v>
      </c>
      <c r="AT30" s="5">
        <v>133</v>
      </c>
      <c r="AU30" s="5">
        <v>133.5</v>
      </c>
      <c r="AV30" s="5">
        <v>133.4</v>
      </c>
      <c r="AW30" s="5">
        <v>133.80000000000001</v>
      </c>
      <c r="AX30" s="5">
        <v>133.6</v>
      </c>
      <c r="AY30" s="5">
        <v>132.80000000000001</v>
      </c>
      <c r="AZ30" s="5">
        <v>132.4</v>
      </c>
      <c r="BA30" s="5">
        <v>132.6</v>
      </c>
      <c r="BB30" s="5">
        <v>132.80000000000001</v>
      </c>
      <c r="BC30" s="5">
        <v>132.9</v>
      </c>
      <c r="BD30" s="5">
        <v>133.30000000000001</v>
      </c>
      <c r="BE30" s="5">
        <v>133.9</v>
      </c>
      <c r="BF30" s="5">
        <v>136.19999999999999</v>
      </c>
      <c r="BG30" s="5">
        <v>137.80000000000001</v>
      </c>
      <c r="BH30" s="5">
        <v>137.6</v>
      </c>
      <c r="BI30" s="5">
        <v>138.30000000000001</v>
      </c>
      <c r="BJ30" s="5">
        <v>140</v>
      </c>
      <c r="BK30" s="5">
        <v>139.80000000000001</v>
      </c>
      <c r="BL30" s="5">
        <v>139.30000000000001</v>
      </c>
      <c r="BM30" s="5">
        <v>138.5</v>
      </c>
      <c r="BN30" s="5">
        <v>138.69999999999999</v>
      </c>
      <c r="BO30" s="5">
        <v>139.1</v>
      </c>
      <c r="BP30" s="5">
        <v>139.80000000000001</v>
      </c>
      <c r="BQ30" s="5">
        <v>140.5</v>
      </c>
      <c r="BR30" s="5">
        <v>141.80000000000001</v>
      </c>
      <c r="BS30" s="5">
        <v>142.5</v>
      </c>
      <c r="BT30" s="5">
        <v>142.1</v>
      </c>
      <c r="BU30" s="5">
        <v>142.19999999999999</v>
      </c>
      <c r="BV30" s="5">
        <v>142.4</v>
      </c>
      <c r="BW30" s="5">
        <v>141.9</v>
      </c>
      <c r="BX30" s="5">
        <v>141</v>
      </c>
      <c r="BY30" s="5">
        <v>141</v>
      </c>
      <c r="BZ30" s="5">
        <v>141.19999999999999</v>
      </c>
      <c r="CA30" s="75">
        <v>142.05000000000001</v>
      </c>
      <c r="CB30" s="5">
        <v>142.4</v>
      </c>
      <c r="CC30" s="5">
        <v>143.6</v>
      </c>
      <c r="CD30" s="5">
        <v>144.9</v>
      </c>
      <c r="CE30" s="5">
        <v>145.69999999999999</v>
      </c>
      <c r="CF30" s="5">
        <v>146.69999999999999</v>
      </c>
      <c r="CG30" s="5">
        <v>148.30000000000001</v>
      </c>
      <c r="CH30" s="5">
        <v>149.9</v>
      </c>
      <c r="CI30" s="5">
        <v>152.30000000000001</v>
      </c>
      <c r="CJ30" s="5">
        <v>151.9</v>
      </c>
      <c r="CK30" s="5">
        <v>150.4</v>
      </c>
      <c r="CL30" s="5">
        <v>149.80000000000001</v>
      </c>
      <c r="CM30" s="5">
        <f t="shared" si="4"/>
        <v>149.80000000000001</v>
      </c>
      <c r="CN30" s="75">
        <v>151.25</v>
      </c>
      <c r="CO30" s="5">
        <v>152.69999999999999</v>
      </c>
      <c r="CP30" s="5">
        <v>152.69999999999999</v>
      </c>
      <c r="CQ30" s="5">
        <v>154.69999999999999</v>
      </c>
      <c r="CR30" s="5">
        <v>155.4</v>
      </c>
      <c r="CS30" s="5">
        <v>157.5</v>
      </c>
      <c r="CT30" s="5">
        <v>159.80000000000001</v>
      </c>
      <c r="CU30" s="5">
        <v>160.69999999999999</v>
      </c>
      <c r="CV30" s="5">
        <v>158.5</v>
      </c>
      <c r="CW30" s="5">
        <v>156.69999999999999</v>
      </c>
      <c r="CX30" s="5">
        <v>156.69999999999999</v>
      </c>
      <c r="CY30" s="5">
        <v>157.6</v>
      </c>
      <c r="CZ30" s="5">
        <v>161.1</v>
      </c>
      <c r="DA30" s="5">
        <v>162.1</v>
      </c>
      <c r="DB30" s="5">
        <v>163.19999999999999</v>
      </c>
      <c r="DC30" s="5">
        <v>163.6</v>
      </c>
      <c r="DD30" s="5">
        <v>164</v>
      </c>
      <c r="DE30" s="5">
        <v>166.3</v>
      </c>
      <c r="DF30" s="5">
        <v>167.6</v>
      </c>
      <c r="DG30" s="5">
        <v>167</v>
      </c>
      <c r="DH30" s="5">
        <v>166.4</v>
      </c>
      <c r="DI30" s="5">
        <v>166.7</v>
      </c>
      <c r="DJ30" s="5">
        <v>168.7</v>
      </c>
      <c r="DK30" s="5">
        <v>170.8</v>
      </c>
      <c r="DL30" s="5">
        <v>172.5</v>
      </c>
      <c r="DM30" s="5">
        <v>173.6</v>
      </c>
      <c r="DN30" s="5">
        <v>174.3</v>
      </c>
      <c r="DO30" s="5">
        <v>175.3</v>
      </c>
      <c r="DP30" s="5">
        <v>176.4</v>
      </c>
      <c r="DQ30" s="5">
        <v>177.9</v>
      </c>
      <c r="DR30" s="5">
        <v>177.8</v>
      </c>
      <c r="DS30" s="5">
        <v>177.1</v>
      </c>
      <c r="DT30" s="5">
        <v>177.8</v>
      </c>
      <c r="DU30" s="5">
        <v>178</v>
      </c>
      <c r="DV30" s="5">
        <v>178</v>
      </c>
      <c r="DW30" s="5">
        <v>178.8</v>
      </c>
      <c r="DX30" s="5">
        <v>179.8</v>
      </c>
      <c r="DY30">
        <f t="shared" si="0"/>
        <v>0</v>
      </c>
    </row>
    <row r="31" spans="1:129" x14ac:dyDescent="0.35">
      <c r="A31" s="34" t="s">
        <v>33</v>
      </c>
      <c r="B31" s="5" t="s">
        <v>51</v>
      </c>
      <c r="C31" s="5" t="s">
        <v>3</v>
      </c>
      <c r="D31" s="5">
        <v>110.5</v>
      </c>
      <c r="E31" s="5">
        <v>112.9</v>
      </c>
      <c r="F31" s="5">
        <v>113.9</v>
      </c>
      <c r="G31" s="5">
        <v>114.6</v>
      </c>
      <c r="H31" s="5">
        <v>115.4</v>
      </c>
      <c r="I31" s="5">
        <v>117</v>
      </c>
      <c r="J31" s="5">
        <v>117.8</v>
      </c>
      <c r="K31" s="5">
        <v>118.3</v>
      </c>
      <c r="L31" s="5">
        <v>118.6</v>
      </c>
      <c r="M31" s="5">
        <v>118.9</v>
      </c>
      <c r="N31" s="5">
        <v>119.8</v>
      </c>
      <c r="O31" s="5">
        <v>120.5</v>
      </c>
      <c r="P31" s="5">
        <v>121.2</v>
      </c>
      <c r="Q31" s="5">
        <v>121.9</v>
      </c>
      <c r="R31" s="5">
        <v>122.1</v>
      </c>
      <c r="S31" s="5">
        <v>122.5</v>
      </c>
      <c r="T31" s="5">
        <v>122.7</v>
      </c>
      <c r="U31" s="5">
        <v>123.1</v>
      </c>
      <c r="V31" s="5">
        <v>123.8</v>
      </c>
      <c r="W31" s="5">
        <v>124.8</v>
      </c>
      <c r="X31" s="5">
        <v>124.2</v>
      </c>
      <c r="Y31" s="5">
        <v>124.6</v>
      </c>
      <c r="Z31" s="5">
        <v>124.5</v>
      </c>
      <c r="AA31" s="5">
        <v>124</v>
      </c>
      <c r="AB31" s="5">
        <v>124</v>
      </c>
      <c r="AC31" s="5">
        <v>124.3</v>
      </c>
      <c r="AD31" s="5">
        <v>124</v>
      </c>
      <c r="AE31" s="5">
        <v>123.8</v>
      </c>
      <c r="AF31" s="5">
        <v>123.8</v>
      </c>
      <c r="AG31" s="5">
        <v>123.6</v>
      </c>
      <c r="AH31" s="5">
        <v>123.2</v>
      </c>
      <c r="AI31" s="5">
        <v>123.1</v>
      </c>
      <c r="AJ31" s="5">
        <v>123.4</v>
      </c>
      <c r="AK31" s="5">
        <v>123.6</v>
      </c>
      <c r="AL31" s="5">
        <v>124</v>
      </c>
      <c r="AM31" s="5">
        <v>124.3</v>
      </c>
      <c r="AN31" s="5">
        <v>124.7</v>
      </c>
      <c r="AO31" s="5">
        <v>124.8</v>
      </c>
      <c r="AP31" s="5">
        <v>124.8</v>
      </c>
      <c r="AQ31" s="5">
        <v>124.9</v>
      </c>
      <c r="AR31" s="5">
        <v>125</v>
      </c>
      <c r="AS31" s="5">
        <v>125.9</v>
      </c>
      <c r="AT31" s="5">
        <v>126.8</v>
      </c>
      <c r="AU31" s="5">
        <v>127.6</v>
      </c>
      <c r="AV31" s="5">
        <v>128.1</v>
      </c>
      <c r="AW31" s="5">
        <v>128.69999999999999</v>
      </c>
      <c r="AX31" s="5">
        <v>130.19999999999999</v>
      </c>
      <c r="AY31" s="5">
        <v>131.6</v>
      </c>
      <c r="AZ31" s="5">
        <v>132.19999999999999</v>
      </c>
      <c r="BA31" s="5">
        <v>132.80000000000001</v>
      </c>
      <c r="BB31" s="5">
        <v>132.69999999999999</v>
      </c>
      <c r="BC31" s="5">
        <v>132.69999999999999</v>
      </c>
      <c r="BD31" s="5">
        <v>132.6</v>
      </c>
      <c r="BE31" s="5">
        <v>132.9</v>
      </c>
      <c r="BF31" s="5">
        <v>132.80000000000001</v>
      </c>
      <c r="BG31" s="5">
        <v>133.19999999999999</v>
      </c>
      <c r="BH31" s="5">
        <v>133.6</v>
      </c>
      <c r="BI31" s="5">
        <v>133.9</v>
      </c>
      <c r="BJ31" s="5">
        <v>134.30000000000001</v>
      </c>
      <c r="BK31" s="5">
        <v>134.4</v>
      </c>
      <c r="BL31" s="5">
        <v>134.6</v>
      </c>
      <c r="BM31" s="5">
        <v>134.80000000000001</v>
      </c>
      <c r="BN31" s="5">
        <v>135</v>
      </c>
      <c r="BO31" s="5">
        <v>135</v>
      </c>
      <c r="BP31" s="5">
        <v>135</v>
      </c>
      <c r="BQ31" s="5">
        <v>135.30000000000001</v>
      </c>
      <c r="BR31" s="5">
        <v>135.6</v>
      </c>
      <c r="BS31" s="5">
        <v>136.5</v>
      </c>
      <c r="BT31" s="5">
        <v>137</v>
      </c>
      <c r="BU31" s="5">
        <v>137.6</v>
      </c>
      <c r="BV31" s="5">
        <v>138.1</v>
      </c>
      <c r="BW31" s="5">
        <v>138.5</v>
      </c>
      <c r="BX31" s="5">
        <v>138.30000000000001</v>
      </c>
      <c r="BY31" s="5">
        <v>139.4</v>
      </c>
      <c r="BZ31" s="5">
        <v>139.69999999999999</v>
      </c>
      <c r="CA31" s="75">
        <v>140.05000000000001</v>
      </c>
      <c r="CB31" s="5">
        <v>140.4</v>
      </c>
      <c r="CC31" s="5">
        <v>140.69999999999999</v>
      </c>
      <c r="CD31" s="5">
        <v>141.4</v>
      </c>
      <c r="CE31" s="5">
        <v>142.1</v>
      </c>
      <c r="CF31" s="5">
        <v>142.69999999999999</v>
      </c>
      <c r="CG31" s="5">
        <v>143.5</v>
      </c>
      <c r="CH31" s="5">
        <v>144.1</v>
      </c>
      <c r="CI31" s="5">
        <v>144.9</v>
      </c>
      <c r="CJ31" s="5">
        <v>145.6</v>
      </c>
      <c r="CK31" s="5">
        <v>146.19999999999999</v>
      </c>
      <c r="CL31" s="5">
        <v>146.5</v>
      </c>
      <c r="CM31" s="5">
        <v>151.80000000000001</v>
      </c>
      <c r="CN31" s="75">
        <v>150.92500000000001</v>
      </c>
      <c r="CO31" s="5">
        <v>152.69999999999999</v>
      </c>
      <c r="CP31" s="5">
        <v>152.69999999999999</v>
      </c>
      <c r="CQ31" s="5">
        <v>151.6</v>
      </c>
      <c r="CR31" s="5">
        <v>151.5</v>
      </c>
      <c r="CS31" s="5">
        <v>150.6</v>
      </c>
      <c r="CT31" s="5">
        <v>149.69999999999999</v>
      </c>
      <c r="CU31" s="5">
        <v>149</v>
      </c>
      <c r="CV31" s="5">
        <v>148</v>
      </c>
      <c r="CW31" s="5">
        <v>147.6</v>
      </c>
      <c r="CX31" s="5">
        <v>147.5</v>
      </c>
      <c r="CY31" s="5">
        <v>147.6</v>
      </c>
      <c r="CZ31" s="5">
        <v>148.80000000000001</v>
      </c>
      <c r="DA31" s="5">
        <v>149.19999999999999</v>
      </c>
      <c r="DB31" s="5">
        <v>149.1</v>
      </c>
      <c r="DC31" s="5">
        <v>149.30000000000001</v>
      </c>
      <c r="DD31" s="5">
        <v>149.30000000000001</v>
      </c>
      <c r="DE31" s="5">
        <v>150.1</v>
      </c>
      <c r="DF31" s="5">
        <v>151</v>
      </c>
      <c r="DG31" s="5">
        <v>151.6</v>
      </c>
      <c r="DH31" s="5">
        <v>152.19999999999999</v>
      </c>
      <c r="DI31" s="5">
        <v>152.5</v>
      </c>
      <c r="DJ31" s="5">
        <v>153.69999999999999</v>
      </c>
      <c r="DK31" s="5">
        <v>155.4</v>
      </c>
      <c r="DL31" s="5">
        <v>156.69999999999999</v>
      </c>
      <c r="DM31" s="5">
        <v>157.5</v>
      </c>
      <c r="DN31" s="5">
        <v>159.30000000000001</v>
      </c>
      <c r="DO31" s="5">
        <v>162.1</v>
      </c>
      <c r="DP31" s="5">
        <v>164.9</v>
      </c>
      <c r="DQ31" s="5">
        <v>166.4</v>
      </c>
      <c r="DR31" s="5">
        <v>168.4</v>
      </c>
      <c r="DS31" s="5">
        <v>170.2</v>
      </c>
      <c r="DT31" s="5">
        <v>173.3</v>
      </c>
      <c r="DU31" s="5">
        <v>174.7</v>
      </c>
      <c r="DV31" s="5">
        <v>174.7</v>
      </c>
      <c r="DW31" s="5">
        <v>174.8</v>
      </c>
      <c r="DX31" s="5">
        <v>174.7</v>
      </c>
      <c r="DY31">
        <f t="shared" si="0"/>
        <v>0</v>
      </c>
    </row>
    <row r="32" spans="1:129" x14ac:dyDescent="0.35">
      <c r="A32" s="34" t="s">
        <v>33</v>
      </c>
      <c r="B32" s="5" t="s">
        <v>51</v>
      </c>
      <c r="C32" s="5" t="s">
        <v>4</v>
      </c>
      <c r="D32" s="5">
        <v>109.1</v>
      </c>
      <c r="E32" s="5">
        <v>112.9</v>
      </c>
      <c r="F32" s="5">
        <v>111.4</v>
      </c>
      <c r="G32" s="5">
        <v>113.4</v>
      </c>
      <c r="H32" s="5">
        <v>114.2</v>
      </c>
      <c r="I32" s="5">
        <v>120.1</v>
      </c>
      <c r="J32" s="5">
        <v>119.2</v>
      </c>
      <c r="K32" s="5">
        <v>120.4</v>
      </c>
      <c r="L32" s="5">
        <v>119.1</v>
      </c>
      <c r="M32" s="5">
        <v>118.1</v>
      </c>
      <c r="N32" s="5">
        <v>116.3</v>
      </c>
      <c r="O32" s="5">
        <v>118.1</v>
      </c>
      <c r="P32" s="5">
        <v>122</v>
      </c>
      <c r="Q32" s="5">
        <v>122</v>
      </c>
      <c r="R32" s="5">
        <v>121.4</v>
      </c>
      <c r="S32" s="5">
        <v>121.7</v>
      </c>
      <c r="T32" s="5">
        <v>124.1</v>
      </c>
      <c r="U32" s="5">
        <v>125.9</v>
      </c>
      <c r="V32" s="5">
        <v>126.4</v>
      </c>
      <c r="W32" s="5">
        <v>127.3</v>
      </c>
      <c r="X32" s="5">
        <v>125.4</v>
      </c>
      <c r="Y32" s="5">
        <v>126.1</v>
      </c>
      <c r="Z32" s="5">
        <v>125.6</v>
      </c>
      <c r="AA32" s="5">
        <v>124.7</v>
      </c>
      <c r="AB32" s="5">
        <v>125.5</v>
      </c>
      <c r="AC32" s="5">
        <v>126.5</v>
      </c>
      <c r="AD32" s="5">
        <v>126.7</v>
      </c>
      <c r="AE32" s="5">
        <v>128.19999999999999</v>
      </c>
      <c r="AF32" s="5">
        <v>129.69999999999999</v>
      </c>
      <c r="AG32" s="5">
        <v>134.4</v>
      </c>
      <c r="AH32" s="5">
        <v>134.30000000000001</v>
      </c>
      <c r="AI32" s="5">
        <v>131.69999999999999</v>
      </c>
      <c r="AJ32" s="5">
        <v>129</v>
      </c>
      <c r="AK32" s="5">
        <v>128.6</v>
      </c>
      <c r="AL32" s="5">
        <v>129.80000000000001</v>
      </c>
      <c r="AM32" s="5">
        <v>131.69999999999999</v>
      </c>
      <c r="AN32" s="5">
        <v>135.9</v>
      </c>
      <c r="AO32" s="5">
        <v>135.1</v>
      </c>
      <c r="AP32" s="5">
        <v>136.30000000000001</v>
      </c>
      <c r="AQ32" s="5">
        <v>139.30000000000001</v>
      </c>
      <c r="AR32" s="5">
        <v>142.1</v>
      </c>
      <c r="AS32" s="5">
        <v>143.9</v>
      </c>
      <c r="AT32" s="5">
        <v>144.19999999999999</v>
      </c>
      <c r="AU32" s="5">
        <v>140.30000000000001</v>
      </c>
      <c r="AV32" s="5">
        <v>137.69999999999999</v>
      </c>
      <c r="AW32" s="5">
        <v>138.4</v>
      </c>
      <c r="AX32" s="5">
        <v>138.5</v>
      </c>
      <c r="AY32" s="5">
        <v>138.19999999999999</v>
      </c>
      <c r="AZ32" s="5">
        <v>138.9</v>
      </c>
      <c r="BA32" s="5">
        <v>139.80000000000001</v>
      </c>
      <c r="BB32" s="5">
        <v>139.4</v>
      </c>
      <c r="BC32" s="5">
        <v>140.6</v>
      </c>
      <c r="BD32" s="5">
        <v>144.1</v>
      </c>
      <c r="BE32" s="5">
        <v>148.69999999999999</v>
      </c>
      <c r="BF32" s="5">
        <v>148.4</v>
      </c>
      <c r="BG32" s="5">
        <v>143.9</v>
      </c>
      <c r="BH32" s="5">
        <v>143</v>
      </c>
      <c r="BI32" s="5">
        <v>142.80000000000001</v>
      </c>
      <c r="BJ32" s="5">
        <v>142.1</v>
      </c>
      <c r="BK32" s="5">
        <v>142.6</v>
      </c>
      <c r="BL32" s="5">
        <v>143.69999999999999</v>
      </c>
      <c r="BM32" s="5">
        <v>143</v>
      </c>
      <c r="BN32" s="5">
        <v>143.1</v>
      </c>
      <c r="BO32" s="5">
        <v>144.30000000000001</v>
      </c>
      <c r="BP32" s="5">
        <v>148.19999999999999</v>
      </c>
      <c r="BQ32" s="5">
        <v>149.69999999999999</v>
      </c>
      <c r="BR32" s="5">
        <v>148.6</v>
      </c>
      <c r="BS32" s="5">
        <v>146.4</v>
      </c>
      <c r="BT32" s="5">
        <v>143.1</v>
      </c>
      <c r="BU32" s="5">
        <v>144.9</v>
      </c>
      <c r="BV32" s="5">
        <v>146.30000000000001</v>
      </c>
      <c r="BW32" s="5">
        <v>147.80000000000001</v>
      </c>
      <c r="BX32" s="5">
        <v>149.4</v>
      </c>
      <c r="BY32" s="5">
        <v>150.1</v>
      </c>
      <c r="BZ32" s="5">
        <v>151.1</v>
      </c>
      <c r="CA32" s="75">
        <v>154.375</v>
      </c>
      <c r="CB32" s="5">
        <v>156.69999999999999</v>
      </c>
      <c r="CC32" s="5">
        <v>159.6</v>
      </c>
      <c r="CD32" s="5">
        <v>160.19999999999999</v>
      </c>
      <c r="CE32" s="5">
        <v>158.30000000000001</v>
      </c>
      <c r="CF32" s="5">
        <v>158.69999999999999</v>
      </c>
      <c r="CG32" s="5">
        <v>159.80000000000001</v>
      </c>
      <c r="CH32" s="5">
        <v>162.4</v>
      </c>
      <c r="CI32" s="5">
        <v>164.5</v>
      </c>
      <c r="CJ32" s="5">
        <v>167.6</v>
      </c>
      <c r="CK32" s="5">
        <v>167.6</v>
      </c>
      <c r="CL32" s="5">
        <v>167.5</v>
      </c>
      <c r="CM32" s="5">
        <f>CL32</f>
        <v>167.5</v>
      </c>
      <c r="CN32" s="75">
        <v>182.25</v>
      </c>
      <c r="CO32" s="5">
        <v>197</v>
      </c>
      <c r="CP32" s="5">
        <v>197</v>
      </c>
      <c r="CQ32" s="5">
        <v>197.8</v>
      </c>
      <c r="CR32" s="5">
        <v>193.1</v>
      </c>
      <c r="CS32" s="5">
        <v>193.7</v>
      </c>
      <c r="CT32" s="5">
        <v>195.5</v>
      </c>
      <c r="CU32" s="5">
        <v>195.7</v>
      </c>
      <c r="CV32" s="5">
        <v>194.8</v>
      </c>
      <c r="CW32" s="5">
        <v>191.2</v>
      </c>
      <c r="CX32" s="5">
        <v>197.5</v>
      </c>
      <c r="CY32" s="5">
        <v>202.5</v>
      </c>
      <c r="CZ32" s="5">
        <v>204.3</v>
      </c>
      <c r="DA32" s="5">
        <v>205.5</v>
      </c>
      <c r="DB32" s="5">
        <v>210.9</v>
      </c>
      <c r="DC32" s="5">
        <v>207.4</v>
      </c>
      <c r="DD32" s="5">
        <v>207.4</v>
      </c>
      <c r="DE32" s="5">
        <v>208.4</v>
      </c>
      <c r="DF32" s="5">
        <v>204.9</v>
      </c>
      <c r="DG32" s="5">
        <v>202.2</v>
      </c>
      <c r="DH32" s="5">
        <v>202.1</v>
      </c>
      <c r="DI32" s="5">
        <v>205.2</v>
      </c>
      <c r="DJ32" s="5">
        <v>215.8</v>
      </c>
      <c r="DK32" s="5">
        <v>215.8</v>
      </c>
      <c r="DL32" s="5">
        <v>221.2</v>
      </c>
      <c r="DM32" s="5">
        <v>223.4</v>
      </c>
      <c r="DN32" s="5">
        <v>217.1</v>
      </c>
      <c r="DO32" s="5">
        <v>210.9</v>
      </c>
      <c r="DP32" s="5">
        <v>213.7</v>
      </c>
      <c r="DQ32" s="5">
        <v>214.9</v>
      </c>
      <c r="DR32" s="5">
        <v>213.4</v>
      </c>
      <c r="DS32" s="5">
        <v>212.9</v>
      </c>
      <c r="DT32" s="5">
        <v>215.2</v>
      </c>
      <c r="DU32" s="5">
        <v>212.2</v>
      </c>
      <c r="DV32" s="5">
        <v>212.2</v>
      </c>
      <c r="DW32" s="5">
        <v>213.7</v>
      </c>
      <c r="DX32" s="5">
        <v>219.4</v>
      </c>
      <c r="DY32">
        <f t="shared" si="0"/>
        <v>0</v>
      </c>
    </row>
    <row r="33" spans="1:129" x14ac:dyDescent="0.35">
      <c r="A33" s="34" t="s">
        <v>33</v>
      </c>
      <c r="B33" s="5" t="s">
        <v>51</v>
      </c>
      <c r="C33" s="5" t="s">
        <v>5</v>
      </c>
      <c r="D33" s="5">
        <v>113</v>
      </c>
      <c r="E33" s="5">
        <v>116.9</v>
      </c>
      <c r="F33" s="5">
        <v>113.2</v>
      </c>
      <c r="G33" s="5">
        <v>106</v>
      </c>
      <c r="H33" s="5">
        <v>102.7</v>
      </c>
      <c r="I33" s="5">
        <v>112.5</v>
      </c>
      <c r="J33" s="5">
        <v>114</v>
      </c>
      <c r="K33" s="5">
        <v>112.7</v>
      </c>
      <c r="L33" s="5">
        <v>113.2</v>
      </c>
      <c r="M33" s="5">
        <v>114.5</v>
      </c>
      <c r="N33" s="5">
        <v>122.6</v>
      </c>
      <c r="O33" s="5">
        <v>128.5</v>
      </c>
      <c r="P33" s="5">
        <v>129.9</v>
      </c>
      <c r="Q33" s="5">
        <v>124.5</v>
      </c>
      <c r="R33" s="5">
        <v>121.5</v>
      </c>
      <c r="S33" s="5">
        <v>113.3</v>
      </c>
      <c r="T33" s="5">
        <v>114.2</v>
      </c>
      <c r="U33" s="5">
        <v>115.4</v>
      </c>
      <c r="V33" s="5">
        <v>118</v>
      </c>
      <c r="W33" s="5">
        <v>116.5</v>
      </c>
      <c r="X33" s="5">
        <v>116.4</v>
      </c>
      <c r="Y33" s="5">
        <v>117.8</v>
      </c>
      <c r="Z33" s="5">
        <v>122.7</v>
      </c>
      <c r="AA33" s="5">
        <v>126.3</v>
      </c>
      <c r="AB33" s="5">
        <v>126.6</v>
      </c>
      <c r="AC33" s="5">
        <v>119.5</v>
      </c>
      <c r="AD33" s="5">
        <v>113.5</v>
      </c>
      <c r="AE33" s="5">
        <v>110</v>
      </c>
      <c r="AF33" s="5">
        <v>111.3</v>
      </c>
      <c r="AG33" s="5">
        <v>120.9</v>
      </c>
      <c r="AH33" s="5">
        <v>119.5</v>
      </c>
      <c r="AI33" s="5">
        <v>118.1</v>
      </c>
      <c r="AJ33" s="5">
        <v>115.6</v>
      </c>
      <c r="AK33" s="5">
        <v>115.9</v>
      </c>
      <c r="AL33" s="5">
        <v>121.5</v>
      </c>
      <c r="AM33" s="5">
        <v>127.1</v>
      </c>
      <c r="AN33" s="5">
        <v>132</v>
      </c>
      <c r="AO33" s="5">
        <v>130.30000000000001</v>
      </c>
      <c r="AP33" s="5">
        <v>123.7</v>
      </c>
      <c r="AQ33" s="5">
        <v>119.9</v>
      </c>
      <c r="AR33" s="5">
        <v>127</v>
      </c>
      <c r="AS33" s="5">
        <v>130.9</v>
      </c>
      <c r="AT33" s="5">
        <v>136.6</v>
      </c>
      <c r="AU33" s="5">
        <v>133.69999999999999</v>
      </c>
      <c r="AV33" s="5">
        <v>130.6</v>
      </c>
      <c r="AW33" s="5">
        <v>130.30000000000001</v>
      </c>
      <c r="AX33" s="5">
        <v>134.1</v>
      </c>
      <c r="AY33" s="5">
        <v>134.9</v>
      </c>
      <c r="AZ33" s="5">
        <v>132.6</v>
      </c>
      <c r="BA33" s="5">
        <v>129.30000000000001</v>
      </c>
      <c r="BB33" s="5">
        <v>128.4</v>
      </c>
      <c r="BC33" s="5">
        <v>124.5</v>
      </c>
      <c r="BD33" s="5">
        <v>125.6</v>
      </c>
      <c r="BE33" s="5">
        <v>128.30000000000001</v>
      </c>
      <c r="BF33" s="5">
        <v>129.4</v>
      </c>
      <c r="BG33" s="5">
        <v>128.30000000000001</v>
      </c>
      <c r="BH33" s="5">
        <v>129.69999999999999</v>
      </c>
      <c r="BI33" s="5">
        <v>131.4</v>
      </c>
      <c r="BJ33" s="5">
        <v>146.69999999999999</v>
      </c>
      <c r="BK33" s="5">
        <v>145.9</v>
      </c>
      <c r="BL33" s="5">
        <v>143.6</v>
      </c>
      <c r="BM33" s="5">
        <v>139.9</v>
      </c>
      <c r="BN33" s="5">
        <v>135.5</v>
      </c>
      <c r="BO33" s="5">
        <v>130.80000000000001</v>
      </c>
      <c r="BP33" s="5">
        <v>130.5</v>
      </c>
      <c r="BQ33" s="5">
        <v>133.9</v>
      </c>
      <c r="BR33" s="5">
        <v>139.1</v>
      </c>
      <c r="BS33" s="5">
        <v>136.6</v>
      </c>
      <c r="BT33" s="5">
        <v>132.80000000000001</v>
      </c>
      <c r="BU33" s="5">
        <v>133.5</v>
      </c>
      <c r="BV33" s="5">
        <v>137.80000000000001</v>
      </c>
      <c r="BW33" s="5">
        <v>141.1</v>
      </c>
      <c r="BX33" s="5">
        <v>143.5</v>
      </c>
      <c r="BY33" s="5">
        <v>145.30000000000001</v>
      </c>
      <c r="BZ33" s="5">
        <v>142.9</v>
      </c>
      <c r="CA33" s="75">
        <v>141.72500000000002</v>
      </c>
      <c r="CB33" s="5">
        <v>138.30000000000001</v>
      </c>
      <c r="CC33" s="5">
        <v>140.4</v>
      </c>
      <c r="CD33" s="5">
        <v>142.5</v>
      </c>
      <c r="CE33" s="5">
        <v>140.80000000000001</v>
      </c>
      <c r="CF33" s="5">
        <v>141.6</v>
      </c>
      <c r="CG33" s="5">
        <v>144.69999999999999</v>
      </c>
      <c r="CH33" s="5">
        <v>148.4</v>
      </c>
      <c r="CI33" s="5">
        <v>153.69999999999999</v>
      </c>
      <c r="CJ33" s="5">
        <v>157</v>
      </c>
      <c r="CK33" s="5">
        <v>153.1</v>
      </c>
      <c r="CL33" s="5">
        <v>148.9</v>
      </c>
      <c r="CM33" s="5">
        <v>151.9</v>
      </c>
      <c r="CN33" s="75">
        <v>152.5</v>
      </c>
      <c r="CO33" s="5">
        <v>154.6</v>
      </c>
      <c r="CP33" s="5">
        <v>154.6</v>
      </c>
      <c r="CQ33" s="5">
        <v>154.5</v>
      </c>
      <c r="CR33" s="5">
        <v>157.30000000000001</v>
      </c>
      <c r="CS33" s="5">
        <v>164.8</v>
      </c>
      <c r="CT33" s="5">
        <v>176.9</v>
      </c>
      <c r="CU33" s="5">
        <v>178.3</v>
      </c>
      <c r="CV33" s="5">
        <v>178.4</v>
      </c>
      <c r="CW33" s="5">
        <v>169.9</v>
      </c>
      <c r="CX33" s="5">
        <v>164.7</v>
      </c>
      <c r="CY33" s="5">
        <v>166.4</v>
      </c>
      <c r="CZ33" s="5">
        <v>173</v>
      </c>
      <c r="DA33" s="5">
        <v>182.8</v>
      </c>
      <c r="DB33" s="5">
        <v>185</v>
      </c>
      <c r="DC33" s="5">
        <v>174.1</v>
      </c>
      <c r="DD33" s="5">
        <v>174.1</v>
      </c>
      <c r="DE33" s="5">
        <v>173</v>
      </c>
      <c r="DF33" s="5">
        <v>175.4</v>
      </c>
      <c r="DG33" s="5">
        <v>180</v>
      </c>
      <c r="DH33" s="5">
        <v>180.1</v>
      </c>
      <c r="DI33" s="5">
        <v>176.4</v>
      </c>
      <c r="DJ33" s="5">
        <v>167.7</v>
      </c>
      <c r="DK33" s="5">
        <v>164.6</v>
      </c>
      <c r="DL33" s="5">
        <v>164.1</v>
      </c>
      <c r="DM33" s="5">
        <v>172.8</v>
      </c>
      <c r="DN33" s="5">
        <v>176.6</v>
      </c>
      <c r="DO33" s="5">
        <v>170.6</v>
      </c>
      <c r="DP33" s="5">
        <v>170.9</v>
      </c>
      <c r="DQ33" s="5">
        <v>171.9</v>
      </c>
      <c r="DR33" s="5">
        <v>183.2</v>
      </c>
      <c r="DS33" s="5">
        <v>191.9</v>
      </c>
      <c r="DT33" s="5">
        <v>197</v>
      </c>
      <c r="DU33" s="5">
        <v>177.2</v>
      </c>
      <c r="DV33" s="5">
        <v>177.2</v>
      </c>
      <c r="DW33" s="5">
        <v>172.4</v>
      </c>
      <c r="DX33" s="5">
        <v>176.7</v>
      </c>
      <c r="DY33">
        <f t="shared" si="0"/>
        <v>0</v>
      </c>
    </row>
    <row r="34" spans="1:129" x14ac:dyDescent="0.35">
      <c r="A34" s="34" t="s">
        <v>33</v>
      </c>
      <c r="B34" s="5" t="s">
        <v>51</v>
      </c>
      <c r="C34" s="5" t="s">
        <v>6</v>
      </c>
      <c r="D34" s="5">
        <v>103.6</v>
      </c>
      <c r="E34" s="5">
        <v>104</v>
      </c>
      <c r="F34" s="5">
        <v>104.3</v>
      </c>
      <c r="G34" s="5">
        <v>104.7</v>
      </c>
      <c r="H34" s="5">
        <v>105.5</v>
      </c>
      <c r="I34" s="5">
        <v>107.3</v>
      </c>
      <c r="J34" s="5">
        <v>108.3</v>
      </c>
      <c r="K34" s="5">
        <v>108.9</v>
      </c>
      <c r="L34" s="5">
        <v>109.6</v>
      </c>
      <c r="M34" s="5">
        <v>110.4</v>
      </c>
      <c r="N34" s="5">
        <v>112</v>
      </c>
      <c r="O34" s="5">
        <v>112.8</v>
      </c>
      <c r="P34" s="5">
        <v>113.6</v>
      </c>
      <c r="Q34" s="5">
        <v>115.2</v>
      </c>
      <c r="R34" s="5">
        <v>116.2</v>
      </c>
      <c r="S34" s="5">
        <v>117</v>
      </c>
      <c r="T34" s="5">
        <v>119.1</v>
      </c>
      <c r="U34" s="5">
        <v>120.4</v>
      </c>
      <c r="V34" s="5">
        <v>121.6</v>
      </c>
      <c r="W34" s="5">
        <v>122.2</v>
      </c>
      <c r="X34" s="5">
        <v>122.7</v>
      </c>
      <c r="Y34" s="5">
        <v>123.1</v>
      </c>
      <c r="Z34" s="5">
        <v>124.6</v>
      </c>
      <c r="AA34" s="5">
        <v>124.9</v>
      </c>
      <c r="AB34" s="5">
        <v>125.2</v>
      </c>
      <c r="AC34" s="5">
        <v>125.6</v>
      </c>
      <c r="AD34" s="5">
        <v>125.9</v>
      </c>
      <c r="AE34" s="5">
        <v>126.3</v>
      </c>
      <c r="AF34" s="5">
        <v>126.6</v>
      </c>
      <c r="AG34" s="5">
        <v>127.3</v>
      </c>
      <c r="AH34" s="5">
        <v>127.7</v>
      </c>
      <c r="AI34" s="5">
        <v>128</v>
      </c>
      <c r="AJ34" s="5">
        <v>128.30000000000001</v>
      </c>
      <c r="AK34" s="5">
        <v>128.5</v>
      </c>
      <c r="AL34" s="5">
        <v>128.6</v>
      </c>
      <c r="AM34" s="5">
        <v>128.6</v>
      </c>
      <c r="AN34" s="5">
        <v>129.19999999999999</v>
      </c>
      <c r="AO34" s="5">
        <v>129.6</v>
      </c>
      <c r="AP34" s="5">
        <v>129.69999999999999</v>
      </c>
      <c r="AQ34" s="5">
        <v>130.19999999999999</v>
      </c>
      <c r="AR34" s="5">
        <v>130.4</v>
      </c>
      <c r="AS34" s="5">
        <v>131</v>
      </c>
      <c r="AT34" s="5">
        <v>131.80000000000001</v>
      </c>
      <c r="AU34" s="5">
        <v>132.19999999999999</v>
      </c>
      <c r="AV34" s="5">
        <v>132.6</v>
      </c>
      <c r="AW34" s="5">
        <v>132.69999999999999</v>
      </c>
      <c r="AX34" s="5">
        <v>132.9</v>
      </c>
      <c r="AY34" s="5">
        <v>133.1</v>
      </c>
      <c r="AZ34" s="5">
        <v>133.1</v>
      </c>
      <c r="BA34" s="5">
        <v>133.5</v>
      </c>
      <c r="BB34" s="5">
        <v>134.9</v>
      </c>
      <c r="BC34" s="5">
        <v>136.30000000000001</v>
      </c>
      <c r="BD34" s="5">
        <v>136.80000000000001</v>
      </c>
      <c r="BE34" s="5">
        <v>137.30000000000001</v>
      </c>
      <c r="BF34" s="5">
        <v>137.69999999999999</v>
      </c>
      <c r="BG34" s="5">
        <v>138.30000000000001</v>
      </c>
      <c r="BH34" s="5">
        <v>138.69999999999999</v>
      </c>
      <c r="BI34" s="5">
        <v>139.1</v>
      </c>
      <c r="BJ34" s="5">
        <v>139.5</v>
      </c>
      <c r="BK34" s="5">
        <v>139.5</v>
      </c>
      <c r="BL34" s="5">
        <v>139.6</v>
      </c>
      <c r="BM34" s="5">
        <v>139.9</v>
      </c>
      <c r="BN34" s="5">
        <v>139.9</v>
      </c>
      <c r="BO34" s="5">
        <v>140.30000000000001</v>
      </c>
      <c r="BP34" s="5">
        <v>140.69999999999999</v>
      </c>
      <c r="BQ34" s="5">
        <v>140.80000000000001</v>
      </c>
      <c r="BR34" s="5">
        <v>141</v>
      </c>
      <c r="BS34" s="5">
        <v>141.19999999999999</v>
      </c>
      <c r="BT34" s="5">
        <v>141.5</v>
      </c>
      <c r="BU34" s="5">
        <v>141.5</v>
      </c>
      <c r="BV34" s="5">
        <v>141.6</v>
      </c>
      <c r="BW34" s="5">
        <v>141.6</v>
      </c>
      <c r="BX34" s="5">
        <v>141.69999999999999</v>
      </c>
      <c r="BY34" s="5">
        <v>141.69999999999999</v>
      </c>
      <c r="BZ34" s="5">
        <v>141.9</v>
      </c>
      <c r="CA34" s="75">
        <v>142.35000000000002</v>
      </c>
      <c r="CB34" s="5">
        <v>142.4</v>
      </c>
      <c r="CC34" s="5">
        <v>143.4</v>
      </c>
      <c r="CD34" s="5">
        <v>144.1</v>
      </c>
      <c r="CE34" s="5">
        <v>144.9</v>
      </c>
      <c r="CF34" s="5">
        <v>144.9</v>
      </c>
      <c r="CG34" s="5">
        <v>145.6</v>
      </c>
      <c r="CH34" s="5">
        <v>145.9</v>
      </c>
      <c r="CI34" s="5">
        <v>147.5</v>
      </c>
      <c r="CJ34" s="5">
        <v>149.30000000000001</v>
      </c>
      <c r="CK34" s="5">
        <v>150.69999999999999</v>
      </c>
      <c r="CL34" s="5">
        <v>151.1</v>
      </c>
      <c r="CM34" s="5">
        <v>155.5</v>
      </c>
      <c r="CN34" s="75">
        <v>153.35000000000002</v>
      </c>
      <c r="CO34" s="5">
        <v>153.4</v>
      </c>
      <c r="CP34" s="5">
        <v>153.4</v>
      </c>
      <c r="CQ34" s="5">
        <v>153.4</v>
      </c>
      <c r="CR34" s="5">
        <v>153.9</v>
      </c>
      <c r="CS34" s="5">
        <v>153.69999999999999</v>
      </c>
      <c r="CT34" s="5">
        <v>153.9</v>
      </c>
      <c r="CU34" s="5">
        <v>154.19999999999999</v>
      </c>
      <c r="CV34" s="5">
        <v>154.4</v>
      </c>
      <c r="CW34" s="5">
        <v>155.1</v>
      </c>
      <c r="CX34" s="5">
        <v>155.6</v>
      </c>
      <c r="CY34" s="5">
        <v>156</v>
      </c>
      <c r="CZ34" s="5">
        <v>156.5</v>
      </c>
      <c r="DA34" s="5">
        <v>156.5</v>
      </c>
      <c r="DB34" s="5">
        <v>158.19999999999999</v>
      </c>
      <c r="DC34" s="5">
        <v>159.19999999999999</v>
      </c>
      <c r="DD34" s="5">
        <v>159.1</v>
      </c>
      <c r="DE34" s="5">
        <v>159.19999999999999</v>
      </c>
      <c r="DF34" s="5">
        <v>159.6</v>
      </c>
      <c r="DG34" s="5">
        <v>160</v>
      </c>
      <c r="DH34" s="5">
        <v>160.4</v>
      </c>
      <c r="DI34" s="5">
        <v>160.6</v>
      </c>
      <c r="DJ34" s="5">
        <v>162.6</v>
      </c>
      <c r="DK34" s="5">
        <v>164.2</v>
      </c>
      <c r="DL34" s="5">
        <v>165.4</v>
      </c>
      <c r="DM34" s="5">
        <v>166.4</v>
      </c>
      <c r="DN34" s="5">
        <v>167.1</v>
      </c>
      <c r="DO34" s="5">
        <v>168.4</v>
      </c>
      <c r="DP34" s="5">
        <v>170.1</v>
      </c>
      <c r="DQ34" s="5">
        <v>171</v>
      </c>
      <c r="DR34" s="5">
        <v>172.3</v>
      </c>
      <c r="DS34" s="5">
        <v>173.9</v>
      </c>
      <c r="DT34" s="5">
        <v>175.2</v>
      </c>
      <c r="DU34" s="5">
        <v>177.9</v>
      </c>
      <c r="DV34" s="5">
        <v>177.9</v>
      </c>
      <c r="DW34" s="5">
        <v>178.8</v>
      </c>
      <c r="DX34" s="5">
        <v>179.4</v>
      </c>
      <c r="DY34">
        <f t="shared" si="0"/>
        <v>0</v>
      </c>
    </row>
    <row r="35" spans="1:129" x14ac:dyDescent="0.35">
      <c r="A35" s="34" t="s">
        <v>33</v>
      </c>
      <c r="B35" s="5" t="s">
        <v>51</v>
      </c>
      <c r="C35" s="5" t="s">
        <v>7</v>
      </c>
      <c r="D35" s="5">
        <v>103.4</v>
      </c>
      <c r="E35" s="5">
        <v>103.5</v>
      </c>
      <c r="F35" s="5">
        <v>102.7</v>
      </c>
      <c r="G35" s="5">
        <v>102.1</v>
      </c>
      <c r="H35" s="5">
        <v>101.5</v>
      </c>
      <c r="I35" s="5">
        <v>101.3</v>
      </c>
      <c r="J35" s="5">
        <v>101.1</v>
      </c>
      <c r="K35" s="5">
        <v>101.1</v>
      </c>
      <c r="L35" s="5">
        <v>101.7</v>
      </c>
      <c r="M35" s="5">
        <v>102.3</v>
      </c>
      <c r="N35" s="5">
        <v>103.2</v>
      </c>
      <c r="O35" s="5">
        <v>103.4</v>
      </c>
      <c r="P35" s="5">
        <v>102.9</v>
      </c>
      <c r="Q35" s="5">
        <v>102.5</v>
      </c>
      <c r="R35" s="5">
        <v>102.8</v>
      </c>
      <c r="S35" s="5">
        <v>103.1</v>
      </c>
      <c r="T35" s="5">
        <v>103.5</v>
      </c>
      <c r="U35" s="5">
        <v>103.4</v>
      </c>
      <c r="V35" s="5">
        <v>103.5</v>
      </c>
      <c r="W35" s="5">
        <v>103.6</v>
      </c>
      <c r="X35" s="5">
        <v>103.5</v>
      </c>
      <c r="Y35" s="5">
        <v>103.5</v>
      </c>
      <c r="Z35" s="5">
        <v>103.2</v>
      </c>
      <c r="AA35" s="5">
        <v>103</v>
      </c>
      <c r="AB35" s="5">
        <v>104.3</v>
      </c>
      <c r="AC35" s="5">
        <v>104.9</v>
      </c>
      <c r="AD35" s="5">
        <v>104.8</v>
      </c>
      <c r="AE35" s="5">
        <v>104.5</v>
      </c>
      <c r="AF35" s="5">
        <v>105.2</v>
      </c>
      <c r="AG35" s="5">
        <v>106</v>
      </c>
      <c r="AH35" s="5">
        <v>106.3</v>
      </c>
      <c r="AI35" s="5">
        <v>106.8</v>
      </c>
      <c r="AJ35" s="5">
        <v>107</v>
      </c>
      <c r="AK35" s="5">
        <v>109</v>
      </c>
      <c r="AL35" s="5">
        <v>110</v>
      </c>
      <c r="AM35" s="5">
        <v>110</v>
      </c>
      <c r="AN35" s="5">
        <v>109.7</v>
      </c>
      <c r="AO35" s="5">
        <v>108.4</v>
      </c>
      <c r="AP35" s="5">
        <v>107.9</v>
      </c>
      <c r="AQ35" s="5">
        <v>108.9</v>
      </c>
      <c r="AR35" s="5">
        <v>109.6</v>
      </c>
      <c r="AS35" s="5">
        <v>110.2</v>
      </c>
      <c r="AT35" s="5">
        <v>111</v>
      </c>
      <c r="AU35" s="5">
        <v>111.8</v>
      </c>
      <c r="AV35" s="5">
        <v>111.9</v>
      </c>
      <c r="AW35" s="5">
        <v>112.5</v>
      </c>
      <c r="AX35" s="5">
        <v>112.6</v>
      </c>
      <c r="AY35" s="5">
        <v>113.5</v>
      </c>
      <c r="AZ35" s="5">
        <v>114</v>
      </c>
      <c r="BA35" s="5">
        <v>114.3</v>
      </c>
      <c r="BB35" s="5">
        <v>114</v>
      </c>
      <c r="BC35" s="5">
        <v>113.5</v>
      </c>
      <c r="BD35" s="5">
        <v>113.4</v>
      </c>
      <c r="BE35" s="5">
        <v>113.5</v>
      </c>
      <c r="BF35" s="5">
        <v>113.4</v>
      </c>
      <c r="BG35" s="5">
        <v>114.1</v>
      </c>
      <c r="BH35" s="5">
        <v>114.5</v>
      </c>
      <c r="BI35" s="5">
        <v>114.9</v>
      </c>
      <c r="BJ35" s="5">
        <v>115.2</v>
      </c>
      <c r="BK35" s="5">
        <v>115.9</v>
      </c>
      <c r="BL35" s="5">
        <v>116.4</v>
      </c>
      <c r="BM35" s="5">
        <v>116.2</v>
      </c>
      <c r="BN35" s="5">
        <v>116.5</v>
      </c>
      <c r="BO35" s="5">
        <v>116.6</v>
      </c>
      <c r="BP35" s="5">
        <v>116.4</v>
      </c>
      <c r="BQ35" s="5">
        <v>116.6</v>
      </c>
      <c r="BR35" s="5">
        <v>116.7</v>
      </c>
      <c r="BS35" s="5">
        <v>117.4</v>
      </c>
      <c r="BT35" s="5">
        <v>117.8</v>
      </c>
      <c r="BU35" s="5">
        <v>118</v>
      </c>
      <c r="BV35" s="5">
        <v>118.1</v>
      </c>
      <c r="BW35" s="5">
        <v>118.1</v>
      </c>
      <c r="BX35" s="5">
        <v>118.1</v>
      </c>
      <c r="BY35" s="5">
        <v>118.4</v>
      </c>
      <c r="BZ35" s="5">
        <v>118.4</v>
      </c>
      <c r="CA35" s="75">
        <v>118.5</v>
      </c>
      <c r="CB35" s="5">
        <v>118.6</v>
      </c>
      <c r="CC35" s="5">
        <v>118.6</v>
      </c>
      <c r="CD35" s="5">
        <v>119.3</v>
      </c>
      <c r="CE35" s="5">
        <v>119.9</v>
      </c>
      <c r="CF35" s="5">
        <v>120.8</v>
      </c>
      <c r="CG35" s="5">
        <v>121.1</v>
      </c>
      <c r="CH35" s="5">
        <v>121.5</v>
      </c>
      <c r="CI35" s="5">
        <v>122.7</v>
      </c>
      <c r="CJ35" s="5">
        <v>126.3</v>
      </c>
      <c r="CK35" s="5">
        <v>127.4</v>
      </c>
      <c r="CL35" s="5">
        <v>127.5</v>
      </c>
      <c r="CM35" s="5">
        <v>131.6</v>
      </c>
      <c r="CN35" s="75">
        <v>131.22500000000002</v>
      </c>
      <c r="CO35" s="5">
        <v>132.9</v>
      </c>
      <c r="CP35" s="5">
        <v>132.9</v>
      </c>
      <c r="CQ35" s="5">
        <v>133.4</v>
      </c>
      <c r="CR35" s="5">
        <v>134.4</v>
      </c>
      <c r="CS35" s="5">
        <v>135.69999999999999</v>
      </c>
      <c r="CT35" s="5">
        <v>138</v>
      </c>
      <c r="CU35" s="5">
        <v>140.69999999999999</v>
      </c>
      <c r="CV35" s="5">
        <v>144.1</v>
      </c>
      <c r="CW35" s="5">
        <v>151.4</v>
      </c>
      <c r="CX35" s="5">
        <v>156.4</v>
      </c>
      <c r="CY35" s="5">
        <v>161.4</v>
      </c>
      <c r="CZ35" s="5">
        <v>168.8</v>
      </c>
      <c r="DA35" s="5">
        <v>172.2</v>
      </c>
      <c r="DB35" s="5">
        <v>170.6</v>
      </c>
      <c r="DC35" s="5">
        <v>175</v>
      </c>
      <c r="DD35" s="5">
        <v>175</v>
      </c>
      <c r="DE35" s="5">
        <v>176.6</v>
      </c>
      <c r="DF35" s="5">
        <v>175.8</v>
      </c>
      <c r="DG35" s="5">
        <v>173.5</v>
      </c>
      <c r="DH35" s="5">
        <v>171</v>
      </c>
      <c r="DI35" s="5">
        <v>171.5</v>
      </c>
      <c r="DJ35" s="5">
        <v>180</v>
      </c>
      <c r="DK35" s="5">
        <v>186</v>
      </c>
      <c r="DL35" s="5">
        <v>189.5</v>
      </c>
      <c r="DM35" s="5">
        <v>188.6</v>
      </c>
      <c r="DN35" s="5">
        <v>184.8</v>
      </c>
      <c r="DO35" s="5">
        <v>182.5</v>
      </c>
      <c r="DP35" s="5">
        <v>179.3</v>
      </c>
      <c r="DQ35" s="5">
        <v>177.7</v>
      </c>
      <c r="DR35" s="5">
        <v>180</v>
      </c>
      <c r="DS35" s="5">
        <v>179.1</v>
      </c>
      <c r="DT35" s="5">
        <v>178</v>
      </c>
      <c r="DU35" s="5">
        <v>172.2</v>
      </c>
      <c r="DV35" s="5">
        <v>172.2</v>
      </c>
      <c r="DW35" s="5">
        <v>168.7</v>
      </c>
      <c r="DX35" s="5">
        <v>164.4</v>
      </c>
      <c r="DY35">
        <f t="shared" si="0"/>
        <v>0</v>
      </c>
    </row>
    <row r="36" spans="1:129" x14ac:dyDescent="0.35">
      <c r="A36" s="34" t="s">
        <v>33</v>
      </c>
      <c r="B36" s="5" t="s">
        <v>51</v>
      </c>
      <c r="C36" s="5" t="s">
        <v>8</v>
      </c>
      <c r="D36" s="5">
        <v>102.3</v>
      </c>
      <c r="E36" s="5">
        <v>103.1</v>
      </c>
      <c r="F36" s="5">
        <v>104.9</v>
      </c>
      <c r="G36" s="5">
        <v>109.5</v>
      </c>
      <c r="H36" s="5">
        <v>110.6</v>
      </c>
      <c r="I36" s="5">
        <v>112.4</v>
      </c>
      <c r="J36" s="5">
        <v>113.2</v>
      </c>
      <c r="K36" s="5">
        <v>108.7</v>
      </c>
      <c r="L36" s="5">
        <v>103.2</v>
      </c>
      <c r="M36" s="5">
        <v>106.2</v>
      </c>
      <c r="N36" s="5">
        <v>110</v>
      </c>
      <c r="O36" s="5">
        <v>110.7</v>
      </c>
      <c r="P36" s="5">
        <v>112.1</v>
      </c>
      <c r="Q36" s="5">
        <v>114.1</v>
      </c>
      <c r="R36" s="5">
        <v>117.7</v>
      </c>
      <c r="S36" s="5">
        <v>126.7</v>
      </c>
      <c r="T36" s="5">
        <v>129.19999999999999</v>
      </c>
      <c r="U36" s="5">
        <v>131.19999999999999</v>
      </c>
      <c r="V36" s="5">
        <v>133.69999999999999</v>
      </c>
      <c r="W36" s="5">
        <v>132.69999999999999</v>
      </c>
      <c r="X36" s="5">
        <v>124.5</v>
      </c>
      <c r="Y36" s="5">
        <v>123.5</v>
      </c>
      <c r="Z36" s="5">
        <v>122.2</v>
      </c>
      <c r="AA36" s="5">
        <v>122.3</v>
      </c>
      <c r="AB36" s="5">
        <v>121.3</v>
      </c>
      <c r="AC36" s="5">
        <v>121.6</v>
      </c>
      <c r="AD36" s="5">
        <v>123.8</v>
      </c>
      <c r="AE36" s="5">
        <v>130.6</v>
      </c>
      <c r="AF36" s="5">
        <v>130.80000000000001</v>
      </c>
      <c r="AG36" s="5">
        <v>132.30000000000001</v>
      </c>
      <c r="AH36" s="5">
        <v>132.80000000000001</v>
      </c>
      <c r="AI36" s="5">
        <v>130.1</v>
      </c>
      <c r="AJ36" s="5">
        <v>124</v>
      </c>
      <c r="AK36" s="5">
        <v>124.1</v>
      </c>
      <c r="AL36" s="5">
        <v>123.7</v>
      </c>
      <c r="AM36" s="5">
        <v>120.8</v>
      </c>
      <c r="AN36" s="5">
        <v>119</v>
      </c>
      <c r="AO36" s="5">
        <v>118.6</v>
      </c>
      <c r="AP36" s="5">
        <v>119.9</v>
      </c>
      <c r="AQ36" s="5">
        <v>131.1</v>
      </c>
      <c r="AR36" s="5">
        <v>133.5</v>
      </c>
      <c r="AS36" s="5">
        <v>135.5</v>
      </c>
      <c r="AT36" s="5">
        <v>137</v>
      </c>
      <c r="AU36" s="5">
        <v>135.80000000000001</v>
      </c>
      <c r="AV36" s="5">
        <v>132.5</v>
      </c>
      <c r="AW36" s="5">
        <v>130.4</v>
      </c>
      <c r="AX36" s="5">
        <v>130.80000000000001</v>
      </c>
      <c r="AY36" s="5">
        <v>129.30000000000001</v>
      </c>
      <c r="AZ36" s="5">
        <v>129.6</v>
      </c>
      <c r="BA36" s="5">
        <v>131.4</v>
      </c>
      <c r="BB36" s="5">
        <v>136.80000000000001</v>
      </c>
      <c r="BC36" s="5">
        <v>137.69999999999999</v>
      </c>
      <c r="BD36" s="5">
        <v>135.19999999999999</v>
      </c>
      <c r="BE36" s="5">
        <v>137.19999999999999</v>
      </c>
      <c r="BF36" s="5">
        <v>139.4</v>
      </c>
      <c r="BG36" s="5">
        <v>142.69999999999999</v>
      </c>
      <c r="BH36" s="5">
        <v>137.5</v>
      </c>
      <c r="BI36" s="5">
        <v>135.6</v>
      </c>
      <c r="BJ36" s="5">
        <v>136.4</v>
      </c>
      <c r="BK36" s="5">
        <v>135</v>
      </c>
      <c r="BL36" s="5">
        <v>133.80000000000001</v>
      </c>
      <c r="BM36" s="5">
        <v>135.5</v>
      </c>
      <c r="BN36" s="5">
        <v>138.5</v>
      </c>
      <c r="BO36" s="5">
        <v>150.1</v>
      </c>
      <c r="BP36" s="5">
        <v>151.30000000000001</v>
      </c>
      <c r="BQ36" s="5">
        <v>152.19999999999999</v>
      </c>
      <c r="BR36" s="5">
        <v>149.69999999999999</v>
      </c>
      <c r="BS36" s="5">
        <v>146.30000000000001</v>
      </c>
      <c r="BT36" s="5">
        <v>140</v>
      </c>
      <c r="BU36" s="5">
        <v>139.5</v>
      </c>
      <c r="BV36" s="5">
        <v>141.5</v>
      </c>
      <c r="BW36" s="5">
        <v>138.5</v>
      </c>
      <c r="BX36" s="5">
        <v>135.19999999999999</v>
      </c>
      <c r="BY36" s="5">
        <v>137</v>
      </c>
      <c r="BZ36" s="5">
        <v>139.4</v>
      </c>
      <c r="CA36" s="75">
        <v>144.25</v>
      </c>
      <c r="CB36" s="5">
        <v>149.69999999999999</v>
      </c>
      <c r="CC36" s="5">
        <v>150.9</v>
      </c>
      <c r="CD36" s="5">
        <v>154.69999999999999</v>
      </c>
      <c r="CE36" s="5">
        <v>153.9</v>
      </c>
      <c r="CF36" s="5">
        <v>149.80000000000001</v>
      </c>
      <c r="CG36" s="5">
        <v>150.6</v>
      </c>
      <c r="CH36" s="5">
        <v>148.80000000000001</v>
      </c>
      <c r="CI36" s="5">
        <v>147.19999999999999</v>
      </c>
      <c r="CJ36" s="5">
        <v>144.4</v>
      </c>
      <c r="CK36" s="5">
        <v>143.1</v>
      </c>
      <c r="CL36" s="5">
        <v>143.30000000000001</v>
      </c>
      <c r="CM36" s="5">
        <v>152.9</v>
      </c>
      <c r="CN36" s="75">
        <v>149.95000000000002</v>
      </c>
      <c r="CO36" s="5">
        <v>151.80000000000001</v>
      </c>
      <c r="CP36" s="5">
        <v>151.80000000000001</v>
      </c>
      <c r="CQ36" s="5">
        <v>154.5</v>
      </c>
      <c r="CR36" s="5">
        <v>155.4</v>
      </c>
      <c r="CS36" s="5">
        <v>155.69999999999999</v>
      </c>
      <c r="CT36" s="5">
        <v>150.5</v>
      </c>
      <c r="CU36" s="5">
        <v>149.69999999999999</v>
      </c>
      <c r="CV36" s="5">
        <v>152.6</v>
      </c>
      <c r="CW36" s="5">
        <v>154</v>
      </c>
      <c r="CX36" s="5">
        <v>157.30000000000001</v>
      </c>
      <c r="CY36" s="5">
        <v>168.8</v>
      </c>
      <c r="CZ36" s="5">
        <v>172.5</v>
      </c>
      <c r="DA36" s="5">
        <v>171.5</v>
      </c>
      <c r="DB36" s="5">
        <v>170.9</v>
      </c>
      <c r="DC36" s="5">
        <v>161.30000000000001</v>
      </c>
      <c r="DD36" s="5">
        <v>161.19999999999999</v>
      </c>
      <c r="DE36" s="5">
        <v>159.30000000000001</v>
      </c>
      <c r="DF36" s="5">
        <v>160.30000000000001</v>
      </c>
      <c r="DG36" s="5">
        <v>158.30000000000001</v>
      </c>
      <c r="DH36" s="5">
        <v>156.5</v>
      </c>
      <c r="DI36" s="5">
        <v>156.4</v>
      </c>
      <c r="DJ36" s="5">
        <v>159.6</v>
      </c>
      <c r="DK36" s="5">
        <v>175.9</v>
      </c>
      <c r="DL36" s="5">
        <v>174.5</v>
      </c>
      <c r="DM36" s="5">
        <v>174.1</v>
      </c>
      <c r="DN36" s="5">
        <v>179.5</v>
      </c>
      <c r="DO36" s="5">
        <v>177.1</v>
      </c>
      <c r="DP36" s="5">
        <v>167.5</v>
      </c>
      <c r="DQ36" s="5">
        <v>165.7</v>
      </c>
      <c r="DR36" s="5">
        <v>162.6</v>
      </c>
      <c r="DS36" s="5">
        <v>159.5</v>
      </c>
      <c r="DT36" s="5">
        <v>160.5</v>
      </c>
      <c r="DU36" s="5">
        <v>172.1</v>
      </c>
      <c r="DV36" s="5">
        <v>172.1</v>
      </c>
      <c r="DW36" s="5">
        <v>179.2</v>
      </c>
      <c r="DX36" s="5">
        <v>175.8</v>
      </c>
      <c r="DY36">
        <f t="shared" si="0"/>
        <v>0</v>
      </c>
    </row>
    <row r="37" spans="1:129" x14ac:dyDescent="0.35">
      <c r="A37" s="34" t="s">
        <v>33</v>
      </c>
      <c r="B37" s="5" t="s">
        <v>51</v>
      </c>
      <c r="C37" s="5" t="s">
        <v>9</v>
      </c>
      <c r="D37" s="5">
        <v>102.9</v>
      </c>
      <c r="E37" s="5">
        <v>104.9</v>
      </c>
      <c r="F37" s="5">
        <v>103.8</v>
      </c>
      <c r="G37" s="5">
        <v>109.7</v>
      </c>
      <c r="H37" s="5">
        <v>123.7</v>
      </c>
      <c r="I37" s="5">
        <v>143.6</v>
      </c>
      <c r="J37" s="5">
        <v>160.9</v>
      </c>
      <c r="K37" s="5">
        <v>177</v>
      </c>
      <c r="L37" s="5">
        <v>174.3</v>
      </c>
      <c r="M37" s="5">
        <v>183.5</v>
      </c>
      <c r="N37" s="5">
        <v>192.8</v>
      </c>
      <c r="O37" s="5">
        <v>144.80000000000001</v>
      </c>
      <c r="P37" s="5">
        <v>118.9</v>
      </c>
      <c r="Q37" s="5">
        <v>111.5</v>
      </c>
      <c r="R37" s="5">
        <v>113.3</v>
      </c>
      <c r="S37" s="5">
        <v>121.2</v>
      </c>
      <c r="T37" s="5">
        <v>127</v>
      </c>
      <c r="U37" s="5">
        <v>137.5</v>
      </c>
      <c r="V37" s="5">
        <v>172.4</v>
      </c>
      <c r="W37" s="5">
        <v>181.9</v>
      </c>
      <c r="X37" s="5">
        <v>168.6</v>
      </c>
      <c r="Y37" s="5">
        <v>159.6</v>
      </c>
      <c r="Z37" s="5">
        <v>153.19999999999999</v>
      </c>
      <c r="AA37" s="5">
        <v>141</v>
      </c>
      <c r="AB37" s="5">
        <v>134.4</v>
      </c>
      <c r="AC37" s="5">
        <v>131.80000000000001</v>
      </c>
      <c r="AD37" s="5">
        <v>131.4</v>
      </c>
      <c r="AE37" s="5">
        <v>130.80000000000001</v>
      </c>
      <c r="AF37" s="5">
        <v>135.6</v>
      </c>
      <c r="AG37" s="5">
        <v>146.69999999999999</v>
      </c>
      <c r="AH37" s="5">
        <v>153.5</v>
      </c>
      <c r="AI37" s="5">
        <v>165.5</v>
      </c>
      <c r="AJ37" s="5">
        <v>168.5</v>
      </c>
      <c r="AK37" s="5">
        <v>165.8</v>
      </c>
      <c r="AL37" s="5">
        <v>164.6</v>
      </c>
      <c r="AM37" s="5">
        <v>149</v>
      </c>
      <c r="AN37" s="5">
        <v>144.1</v>
      </c>
      <c r="AO37" s="5">
        <v>129.19999999999999</v>
      </c>
      <c r="AP37" s="5">
        <v>128.1</v>
      </c>
      <c r="AQ37" s="5">
        <v>136.80000000000001</v>
      </c>
      <c r="AR37" s="5">
        <v>151.4</v>
      </c>
      <c r="AS37" s="5">
        <v>173.7</v>
      </c>
      <c r="AT37" s="5">
        <v>179.5</v>
      </c>
      <c r="AU37" s="5">
        <v>163.5</v>
      </c>
      <c r="AV37" s="5">
        <v>152.9</v>
      </c>
      <c r="AW37" s="5">
        <v>155.1</v>
      </c>
      <c r="AX37" s="5">
        <v>142</v>
      </c>
      <c r="AY37" s="5">
        <v>121.1</v>
      </c>
      <c r="AZ37" s="5">
        <v>118.7</v>
      </c>
      <c r="BA37" s="5">
        <v>120.2</v>
      </c>
      <c r="BB37" s="5">
        <v>122.2</v>
      </c>
      <c r="BC37" s="5">
        <v>127.1</v>
      </c>
      <c r="BD37" s="5">
        <v>129.19999999999999</v>
      </c>
      <c r="BE37" s="5">
        <v>142.19999999999999</v>
      </c>
      <c r="BF37" s="5">
        <v>175.1</v>
      </c>
      <c r="BG37" s="5">
        <v>179.8</v>
      </c>
      <c r="BH37" s="5">
        <v>160.69999999999999</v>
      </c>
      <c r="BI37" s="5">
        <v>173.2</v>
      </c>
      <c r="BJ37" s="5">
        <v>185.2</v>
      </c>
      <c r="BK37" s="5">
        <v>163.19999999999999</v>
      </c>
      <c r="BL37" s="5">
        <v>150.5</v>
      </c>
      <c r="BM37" s="5">
        <v>136.9</v>
      </c>
      <c r="BN37" s="5">
        <v>128</v>
      </c>
      <c r="BO37" s="5">
        <v>127.6</v>
      </c>
      <c r="BP37" s="5">
        <v>131.4</v>
      </c>
      <c r="BQ37" s="5">
        <v>144</v>
      </c>
      <c r="BR37" s="5">
        <v>159.19999999999999</v>
      </c>
      <c r="BS37" s="5">
        <v>157.30000000000001</v>
      </c>
      <c r="BT37" s="5">
        <v>151.30000000000001</v>
      </c>
      <c r="BU37" s="5">
        <v>153</v>
      </c>
      <c r="BV37" s="5">
        <v>145.19999999999999</v>
      </c>
      <c r="BW37" s="5">
        <v>132.4</v>
      </c>
      <c r="BX37" s="5">
        <v>130.5</v>
      </c>
      <c r="BY37" s="5">
        <v>131.6</v>
      </c>
      <c r="BZ37" s="5">
        <v>141.19999999999999</v>
      </c>
      <c r="CA37" s="75">
        <v>151.04999999999998</v>
      </c>
      <c r="CB37" s="5">
        <v>161.6</v>
      </c>
      <c r="CC37" s="5">
        <v>169.8</v>
      </c>
      <c r="CD37" s="5">
        <v>180.1</v>
      </c>
      <c r="CE37" s="5">
        <v>189.1</v>
      </c>
      <c r="CF37" s="5">
        <v>192.4</v>
      </c>
      <c r="CG37" s="5">
        <v>207.2</v>
      </c>
      <c r="CH37" s="5">
        <v>215.7</v>
      </c>
      <c r="CI37" s="5">
        <v>231.5</v>
      </c>
      <c r="CJ37" s="5">
        <v>207.8</v>
      </c>
      <c r="CK37" s="5">
        <v>181.7</v>
      </c>
      <c r="CL37" s="5">
        <v>167</v>
      </c>
      <c r="CM37" s="5">
        <v>180</v>
      </c>
      <c r="CN37" s="75">
        <v>172.35</v>
      </c>
      <c r="CO37" s="5">
        <v>171.2</v>
      </c>
      <c r="CP37" s="5">
        <v>171.2</v>
      </c>
      <c r="CQ37" s="5">
        <v>191.9</v>
      </c>
      <c r="CR37" s="5">
        <v>202</v>
      </c>
      <c r="CS37" s="5">
        <v>226</v>
      </c>
      <c r="CT37" s="5">
        <v>245.3</v>
      </c>
      <c r="CU37" s="5">
        <v>240.9</v>
      </c>
      <c r="CV37" s="5">
        <v>206.8</v>
      </c>
      <c r="CW37" s="5">
        <v>180.2</v>
      </c>
      <c r="CX37" s="5">
        <v>166.1</v>
      </c>
      <c r="CY37" s="5">
        <v>161.6</v>
      </c>
      <c r="CZ37" s="5">
        <v>166.5</v>
      </c>
      <c r="DA37" s="5">
        <v>176.2</v>
      </c>
      <c r="DB37" s="5">
        <v>186.4</v>
      </c>
      <c r="DC37" s="5">
        <v>183.3</v>
      </c>
      <c r="DD37" s="5">
        <v>183.5</v>
      </c>
      <c r="DE37" s="5">
        <v>214.4</v>
      </c>
      <c r="DF37" s="5">
        <v>229.1</v>
      </c>
      <c r="DG37" s="5">
        <v>219.5</v>
      </c>
      <c r="DH37" s="5">
        <v>203.6</v>
      </c>
      <c r="DI37" s="5">
        <v>198</v>
      </c>
      <c r="DJ37" s="5">
        <v>188.4</v>
      </c>
      <c r="DK37" s="5">
        <v>190.7</v>
      </c>
      <c r="DL37" s="5">
        <v>203.2</v>
      </c>
      <c r="DM37" s="5">
        <v>211.5</v>
      </c>
      <c r="DN37" s="5">
        <v>208.5</v>
      </c>
      <c r="DO37" s="5">
        <v>213.1</v>
      </c>
      <c r="DP37" s="5">
        <v>220.8</v>
      </c>
      <c r="DQ37" s="5">
        <v>228.6</v>
      </c>
      <c r="DR37" s="5">
        <v>205.5</v>
      </c>
      <c r="DS37" s="5">
        <v>178.7</v>
      </c>
      <c r="DT37" s="5">
        <v>175.3</v>
      </c>
      <c r="DU37" s="5">
        <v>175.8</v>
      </c>
      <c r="DV37" s="5">
        <v>175.9</v>
      </c>
      <c r="DW37" s="5">
        <v>179.9</v>
      </c>
      <c r="DX37" s="5">
        <v>185</v>
      </c>
      <c r="DY37">
        <f t="shared" si="0"/>
        <v>0</v>
      </c>
    </row>
    <row r="38" spans="1:129" x14ac:dyDescent="0.35">
      <c r="A38" s="34" t="s">
        <v>33</v>
      </c>
      <c r="B38" s="5" t="s">
        <v>51</v>
      </c>
      <c r="C38" s="5" t="s">
        <v>10</v>
      </c>
      <c r="D38" s="5">
        <v>105.8</v>
      </c>
      <c r="E38" s="5">
        <v>104.1</v>
      </c>
      <c r="F38" s="5">
        <v>103.5</v>
      </c>
      <c r="G38" s="5">
        <v>104.6</v>
      </c>
      <c r="H38" s="5">
        <v>105.2</v>
      </c>
      <c r="I38" s="5">
        <v>105.4</v>
      </c>
      <c r="J38" s="5">
        <v>105.1</v>
      </c>
      <c r="K38" s="5">
        <v>104.7</v>
      </c>
      <c r="L38" s="5">
        <v>105.1</v>
      </c>
      <c r="M38" s="5">
        <v>105.3</v>
      </c>
      <c r="N38" s="5">
        <v>106.3</v>
      </c>
      <c r="O38" s="5">
        <v>107.1</v>
      </c>
      <c r="P38" s="5">
        <v>107.5</v>
      </c>
      <c r="Q38" s="5">
        <v>108.2</v>
      </c>
      <c r="R38" s="5">
        <v>108.9</v>
      </c>
      <c r="S38" s="5">
        <v>111</v>
      </c>
      <c r="T38" s="5">
        <v>112.6</v>
      </c>
      <c r="U38" s="5">
        <v>112.8</v>
      </c>
      <c r="V38" s="5">
        <v>113.1</v>
      </c>
      <c r="W38" s="5">
        <v>115.2</v>
      </c>
      <c r="X38" s="5">
        <v>116.9</v>
      </c>
      <c r="Y38" s="5">
        <v>117.4</v>
      </c>
      <c r="Z38" s="5">
        <v>119.3</v>
      </c>
      <c r="AA38" s="5">
        <v>120.1</v>
      </c>
      <c r="AB38" s="5">
        <v>122.9</v>
      </c>
      <c r="AC38" s="5">
        <v>125.1</v>
      </c>
      <c r="AD38" s="5">
        <v>127.2</v>
      </c>
      <c r="AE38" s="5">
        <v>131.30000000000001</v>
      </c>
      <c r="AF38" s="5">
        <v>142.6</v>
      </c>
      <c r="AG38" s="5">
        <v>148.1</v>
      </c>
      <c r="AH38" s="5">
        <v>149.5</v>
      </c>
      <c r="AI38" s="5">
        <v>156</v>
      </c>
      <c r="AJ38" s="5">
        <v>165.4</v>
      </c>
      <c r="AK38" s="5">
        <v>187.2</v>
      </c>
      <c r="AL38" s="5">
        <v>191.6</v>
      </c>
      <c r="AM38" s="5">
        <v>190.1</v>
      </c>
      <c r="AN38" s="5">
        <v>184.2</v>
      </c>
      <c r="AO38" s="5">
        <v>176.4</v>
      </c>
      <c r="AP38" s="5">
        <v>170.3</v>
      </c>
      <c r="AQ38" s="5">
        <v>176.9</v>
      </c>
      <c r="AR38" s="5">
        <v>182.8</v>
      </c>
      <c r="AS38" s="5">
        <v>184.4</v>
      </c>
      <c r="AT38" s="5">
        <v>188.4</v>
      </c>
      <c r="AU38" s="5">
        <v>182.3</v>
      </c>
      <c r="AV38" s="5">
        <v>173.6</v>
      </c>
      <c r="AW38" s="5">
        <v>175.7</v>
      </c>
      <c r="AX38" s="5">
        <v>174.9</v>
      </c>
      <c r="AY38" s="5">
        <v>170.3</v>
      </c>
      <c r="AZ38" s="5">
        <v>155.1</v>
      </c>
      <c r="BA38" s="5">
        <v>143.1</v>
      </c>
      <c r="BB38" s="5">
        <v>135.80000000000001</v>
      </c>
      <c r="BC38" s="5">
        <v>133.80000000000001</v>
      </c>
      <c r="BD38" s="5">
        <v>131.5</v>
      </c>
      <c r="BE38" s="5">
        <v>128.19999999999999</v>
      </c>
      <c r="BF38" s="5">
        <v>124.7</v>
      </c>
      <c r="BG38" s="5">
        <v>123.5</v>
      </c>
      <c r="BH38" s="5">
        <v>124.5</v>
      </c>
      <c r="BI38" s="5">
        <v>124.1</v>
      </c>
      <c r="BJ38" s="5">
        <v>122.2</v>
      </c>
      <c r="BK38" s="5">
        <v>119.8</v>
      </c>
      <c r="BL38" s="5">
        <v>118.4</v>
      </c>
      <c r="BM38" s="5">
        <v>117</v>
      </c>
      <c r="BN38" s="5">
        <v>115.5</v>
      </c>
      <c r="BO38" s="5">
        <v>114</v>
      </c>
      <c r="BP38" s="5">
        <v>112.8</v>
      </c>
      <c r="BQ38" s="5">
        <v>112.3</v>
      </c>
      <c r="BR38" s="5">
        <v>112.6</v>
      </c>
      <c r="BS38" s="5">
        <v>113.6</v>
      </c>
      <c r="BT38" s="5">
        <v>113.5</v>
      </c>
      <c r="BU38" s="5">
        <v>113.2</v>
      </c>
      <c r="BV38" s="5">
        <v>115.3</v>
      </c>
      <c r="BW38" s="5">
        <v>117.5</v>
      </c>
      <c r="BX38" s="5">
        <v>118.2</v>
      </c>
      <c r="BY38" s="5">
        <v>119.9</v>
      </c>
      <c r="BZ38" s="5">
        <v>120.7</v>
      </c>
      <c r="CA38" s="75">
        <v>123.10000000000001</v>
      </c>
      <c r="CB38" s="5">
        <v>124.4</v>
      </c>
      <c r="CC38" s="5">
        <v>127.4</v>
      </c>
      <c r="CD38" s="5">
        <v>128.9</v>
      </c>
      <c r="CE38" s="5">
        <v>129.80000000000001</v>
      </c>
      <c r="CF38" s="5">
        <v>130.30000000000001</v>
      </c>
      <c r="CG38" s="5">
        <v>131.19999999999999</v>
      </c>
      <c r="CH38" s="5">
        <v>134.6</v>
      </c>
      <c r="CI38" s="5">
        <v>137.19999999999999</v>
      </c>
      <c r="CJ38" s="5">
        <v>139.1</v>
      </c>
      <c r="CK38" s="5">
        <v>139.6</v>
      </c>
      <c r="CL38" s="5">
        <v>139.69999999999999</v>
      </c>
      <c r="CM38" s="5">
        <v>150.80000000000001</v>
      </c>
      <c r="CN38" s="75">
        <v>148.625</v>
      </c>
      <c r="CO38" s="5">
        <v>152</v>
      </c>
      <c r="CP38" s="5">
        <v>152</v>
      </c>
      <c r="CQ38" s="5">
        <v>151.30000000000001</v>
      </c>
      <c r="CR38" s="5">
        <v>150.80000000000001</v>
      </c>
      <c r="CS38" s="5">
        <v>152.19999999999999</v>
      </c>
      <c r="CT38" s="5">
        <v>158.69999999999999</v>
      </c>
      <c r="CU38" s="5">
        <v>161.5</v>
      </c>
      <c r="CV38" s="5">
        <v>162.1</v>
      </c>
      <c r="CW38" s="5">
        <v>159.80000000000001</v>
      </c>
      <c r="CX38" s="5">
        <v>161.1</v>
      </c>
      <c r="CY38" s="5">
        <v>162.80000000000001</v>
      </c>
      <c r="CZ38" s="5">
        <v>165.9</v>
      </c>
      <c r="DA38" s="5">
        <v>166.9</v>
      </c>
      <c r="DB38" s="5">
        <v>164.7</v>
      </c>
      <c r="DC38" s="5">
        <v>164.5</v>
      </c>
      <c r="DD38" s="5">
        <v>164.5</v>
      </c>
      <c r="DE38" s="5">
        <v>165.3</v>
      </c>
      <c r="DF38" s="5">
        <v>165.1</v>
      </c>
      <c r="DG38" s="5">
        <v>164.2</v>
      </c>
      <c r="DH38" s="5">
        <v>163.80000000000001</v>
      </c>
      <c r="DI38" s="5">
        <v>163.19999999999999</v>
      </c>
      <c r="DJ38" s="5">
        <v>163.4</v>
      </c>
      <c r="DK38" s="5">
        <v>164</v>
      </c>
      <c r="DL38" s="5">
        <v>164.1</v>
      </c>
      <c r="DM38" s="5">
        <v>163.6</v>
      </c>
      <c r="DN38" s="5">
        <v>164</v>
      </c>
      <c r="DO38" s="5">
        <v>167.3</v>
      </c>
      <c r="DP38" s="5">
        <v>169.2</v>
      </c>
      <c r="DQ38" s="5">
        <v>169.9</v>
      </c>
      <c r="DR38" s="5">
        <v>171</v>
      </c>
      <c r="DS38" s="5">
        <v>171.3</v>
      </c>
      <c r="DT38" s="5">
        <v>171.2</v>
      </c>
      <c r="DU38" s="5">
        <v>172.2</v>
      </c>
      <c r="DV38" s="5">
        <v>172.2</v>
      </c>
      <c r="DW38" s="5">
        <v>174.7</v>
      </c>
      <c r="DX38" s="5">
        <v>176.9</v>
      </c>
      <c r="DY38">
        <f t="shared" si="0"/>
        <v>0</v>
      </c>
    </row>
    <row r="39" spans="1:129" x14ac:dyDescent="0.35">
      <c r="A39" s="34" t="s">
        <v>33</v>
      </c>
      <c r="B39" s="5" t="s">
        <v>51</v>
      </c>
      <c r="C39" s="5" t="s">
        <v>11</v>
      </c>
      <c r="D39" s="5">
        <v>105.1</v>
      </c>
      <c r="E39" s="5">
        <v>103.8</v>
      </c>
      <c r="F39" s="5">
        <v>102.6</v>
      </c>
      <c r="G39" s="5">
        <v>102</v>
      </c>
      <c r="H39" s="5">
        <v>101.9</v>
      </c>
      <c r="I39" s="5">
        <v>101.4</v>
      </c>
      <c r="J39" s="5">
        <v>101.3</v>
      </c>
      <c r="K39" s="5">
        <v>101</v>
      </c>
      <c r="L39" s="5">
        <v>100.8</v>
      </c>
      <c r="M39" s="5">
        <v>100.2</v>
      </c>
      <c r="N39" s="5">
        <v>99.5</v>
      </c>
      <c r="O39" s="5">
        <v>98.6</v>
      </c>
      <c r="P39" s="5">
        <v>96.9</v>
      </c>
      <c r="Q39" s="5">
        <v>95.4</v>
      </c>
      <c r="R39" s="5">
        <v>96.3</v>
      </c>
      <c r="S39" s="5">
        <v>100.3</v>
      </c>
      <c r="T39" s="5">
        <v>101.3</v>
      </c>
      <c r="U39" s="5">
        <v>101.4</v>
      </c>
      <c r="V39" s="5">
        <v>102.7</v>
      </c>
      <c r="W39" s="5">
        <v>102.7</v>
      </c>
      <c r="X39" s="5">
        <v>101.9</v>
      </c>
      <c r="Y39" s="5">
        <v>101.2</v>
      </c>
      <c r="Z39" s="5">
        <v>99.8</v>
      </c>
      <c r="AA39" s="5">
        <v>97.8</v>
      </c>
      <c r="AB39" s="5">
        <v>96.1</v>
      </c>
      <c r="AC39" s="5">
        <v>95</v>
      </c>
      <c r="AD39" s="5">
        <v>93.2</v>
      </c>
      <c r="AE39" s="5">
        <v>91.6</v>
      </c>
      <c r="AF39" s="5">
        <v>90.8</v>
      </c>
      <c r="AG39" s="5">
        <v>89.8</v>
      </c>
      <c r="AH39" s="5">
        <v>85.7</v>
      </c>
      <c r="AI39" s="5">
        <v>85.3</v>
      </c>
      <c r="AJ39" s="5">
        <v>86.3</v>
      </c>
      <c r="AK39" s="5">
        <v>89.4</v>
      </c>
      <c r="AL39" s="5">
        <v>90.8</v>
      </c>
      <c r="AM39" s="5">
        <v>92.7</v>
      </c>
      <c r="AN39" s="5">
        <v>96.7</v>
      </c>
      <c r="AO39" s="5">
        <v>99.1</v>
      </c>
      <c r="AP39" s="5">
        <v>101.8</v>
      </c>
      <c r="AQ39" s="5">
        <v>109.1</v>
      </c>
      <c r="AR39" s="5">
        <v>111.1</v>
      </c>
      <c r="AS39" s="5">
        <v>112</v>
      </c>
      <c r="AT39" s="5">
        <v>113.3</v>
      </c>
      <c r="AU39" s="5">
        <v>114.6</v>
      </c>
      <c r="AV39" s="5">
        <v>115.1</v>
      </c>
      <c r="AW39" s="5">
        <v>115.4</v>
      </c>
      <c r="AX39" s="5">
        <v>115.6</v>
      </c>
      <c r="AY39" s="5">
        <v>115.5</v>
      </c>
      <c r="AZ39" s="5">
        <v>117.3</v>
      </c>
      <c r="BA39" s="5">
        <v>119.5</v>
      </c>
      <c r="BB39" s="5">
        <v>120.3</v>
      </c>
      <c r="BC39" s="5">
        <v>120.8</v>
      </c>
      <c r="BD39" s="5">
        <v>121</v>
      </c>
      <c r="BE39" s="5">
        <v>120.9</v>
      </c>
      <c r="BF39" s="5">
        <v>121.5</v>
      </c>
      <c r="BG39" s="5">
        <v>122.1</v>
      </c>
      <c r="BH39" s="5">
        <v>122.4</v>
      </c>
      <c r="BI39" s="5">
        <v>122.6</v>
      </c>
      <c r="BJ39" s="5">
        <v>123.9</v>
      </c>
      <c r="BK39" s="5">
        <v>120.7</v>
      </c>
      <c r="BL39" s="5">
        <v>117.3</v>
      </c>
      <c r="BM39" s="5">
        <v>115.4</v>
      </c>
      <c r="BN39" s="5">
        <v>114.2</v>
      </c>
      <c r="BO39" s="5">
        <v>110.6</v>
      </c>
      <c r="BP39" s="5">
        <v>105.3</v>
      </c>
      <c r="BQ39" s="5">
        <v>108.4</v>
      </c>
      <c r="BR39" s="5">
        <v>111.8</v>
      </c>
      <c r="BS39" s="5">
        <v>113.3</v>
      </c>
      <c r="BT39" s="5">
        <v>112.3</v>
      </c>
      <c r="BU39" s="5">
        <v>112.8</v>
      </c>
      <c r="BV39" s="5">
        <v>112.5</v>
      </c>
      <c r="BW39" s="5">
        <v>111</v>
      </c>
      <c r="BX39" s="5">
        <v>110.4</v>
      </c>
      <c r="BY39" s="5">
        <v>110.4</v>
      </c>
      <c r="BZ39" s="5">
        <v>110.4</v>
      </c>
      <c r="CA39" s="75">
        <v>110.95</v>
      </c>
      <c r="CB39" s="5">
        <v>111.2</v>
      </c>
      <c r="CC39" s="5">
        <v>111.8</v>
      </c>
      <c r="CD39" s="5">
        <v>111.8</v>
      </c>
      <c r="CE39" s="5">
        <v>112.7</v>
      </c>
      <c r="CF39" s="5">
        <v>114</v>
      </c>
      <c r="CG39" s="5">
        <v>114.8</v>
      </c>
      <c r="CH39" s="5">
        <v>115</v>
      </c>
      <c r="CI39" s="5">
        <v>114.7</v>
      </c>
      <c r="CJ39" s="5">
        <v>114.8</v>
      </c>
      <c r="CK39" s="5">
        <v>114.6</v>
      </c>
      <c r="CL39" s="5">
        <v>114.4</v>
      </c>
      <c r="CM39" s="5">
        <v>121.2</v>
      </c>
      <c r="CN39" s="75">
        <v>117.05000000000001</v>
      </c>
      <c r="CO39" s="5">
        <v>116.3</v>
      </c>
      <c r="CP39" s="5">
        <v>116.3</v>
      </c>
      <c r="CQ39" s="5">
        <v>116.8</v>
      </c>
      <c r="CR39" s="5">
        <v>118.9</v>
      </c>
      <c r="CS39" s="5">
        <v>118.1</v>
      </c>
      <c r="CT39" s="5">
        <v>117.2</v>
      </c>
      <c r="CU39" s="5">
        <v>117.1</v>
      </c>
      <c r="CV39" s="5">
        <v>116.3</v>
      </c>
      <c r="CW39" s="5">
        <v>114.9</v>
      </c>
      <c r="CX39" s="5">
        <v>114.3</v>
      </c>
      <c r="CY39" s="5">
        <v>114.8</v>
      </c>
      <c r="CZ39" s="5">
        <v>115.9</v>
      </c>
      <c r="DA39" s="5">
        <v>116.1</v>
      </c>
      <c r="DB39" s="5">
        <v>115.7</v>
      </c>
      <c r="DC39" s="5">
        <v>120.4</v>
      </c>
      <c r="DD39" s="5">
        <v>120.4</v>
      </c>
      <c r="DE39" s="5">
        <v>122.5</v>
      </c>
      <c r="DF39" s="5">
        <v>123.1</v>
      </c>
      <c r="DG39" s="5">
        <v>121.9</v>
      </c>
      <c r="DH39" s="5">
        <v>121.3</v>
      </c>
      <c r="DI39" s="5">
        <v>120.6</v>
      </c>
      <c r="DJ39" s="5">
        <v>120.3</v>
      </c>
      <c r="DK39" s="5">
        <v>120.5</v>
      </c>
      <c r="DL39" s="5">
        <v>121.2</v>
      </c>
      <c r="DM39" s="5">
        <v>121.4</v>
      </c>
      <c r="DN39" s="5">
        <v>121.5</v>
      </c>
      <c r="DO39" s="5">
        <v>122.2</v>
      </c>
      <c r="DP39" s="5">
        <v>123.1</v>
      </c>
      <c r="DQ39" s="5">
        <v>123.4</v>
      </c>
      <c r="DR39" s="5">
        <v>123.4</v>
      </c>
      <c r="DS39" s="5">
        <v>123.1</v>
      </c>
      <c r="DT39" s="5">
        <v>122.7</v>
      </c>
      <c r="DU39" s="5">
        <v>121.9</v>
      </c>
      <c r="DV39" s="5">
        <v>121.9</v>
      </c>
      <c r="DW39" s="5">
        <v>123.1</v>
      </c>
      <c r="DX39" s="5">
        <v>124.2</v>
      </c>
      <c r="DY39">
        <f t="shared" si="0"/>
        <v>0</v>
      </c>
    </row>
    <row r="40" spans="1:129" x14ac:dyDescent="0.35">
      <c r="A40" s="34" t="s">
        <v>33</v>
      </c>
      <c r="B40" s="5" t="s">
        <v>51</v>
      </c>
      <c r="C40" s="5" t="s">
        <v>12</v>
      </c>
      <c r="D40" s="5">
        <v>101.8</v>
      </c>
      <c r="E40" s="5">
        <v>102.3</v>
      </c>
      <c r="F40" s="5">
        <v>102.4</v>
      </c>
      <c r="G40" s="5">
        <v>103.5</v>
      </c>
      <c r="H40" s="5">
        <v>105</v>
      </c>
      <c r="I40" s="5">
        <v>106.4</v>
      </c>
      <c r="J40" s="5">
        <v>107.5</v>
      </c>
      <c r="K40" s="5">
        <v>108.5</v>
      </c>
      <c r="L40" s="5">
        <v>109.1</v>
      </c>
      <c r="M40" s="5">
        <v>109.6</v>
      </c>
      <c r="N40" s="5">
        <v>110.3</v>
      </c>
      <c r="O40" s="5">
        <v>111.9</v>
      </c>
      <c r="P40" s="5">
        <v>112.7</v>
      </c>
      <c r="Q40" s="5">
        <v>113.5</v>
      </c>
      <c r="R40" s="5">
        <v>114.1</v>
      </c>
      <c r="S40" s="5">
        <v>115.3</v>
      </c>
      <c r="T40" s="5">
        <v>117</v>
      </c>
      <c r="U40" s="5">
        <v>118.3</v>
      </c>
      <c r="V40" s="5">
        <v>120</v>
      </c>
      <c r="W40" s="5">
        <v>122.1</v>
      </c>
      <c r="X40" s="5">
        <v>122.9</v>
      </c>
      <c r="Y40" s="5">
        <v>123.8</v>
      </c>
      <c r="Z40" s="5">
        <v>124.6</v>
      </c>
      <c r="AA40" s="5">
        <v>125.4</v>
      </c>
      <c r="AB40" s="5">
        <v>126.6</v>
      </c>
      <c r="AC40" s="5">
        <v>127.7</v>
      </c>
      <c r="AD40" s="5">
        <v>127.4</v>
      </c>
      <c r="AE40" s="5">
        <v>127.7</v>
      </c>
      <c r="AF40" s="5">
        <v>128.80000000000001</v>
      </c>
      <c r="AG40" s="5">
        <v>130.5</v>
      </c>
      <c r="AH40" s="5">
        <v>131.5</v>
      </c>
      <c r="AI40" s="5">
        <v>132.69999999999999</v>
      </c>
      <c r="AJ40" s="5">
        <v>134.4</v>
      </c>
      <c r="AK40" s="5">
        <v>135.80000000000001</v>
      </c>
      <c r="AL40" s="5">
        <v>137.1</v>
      </c>
      <c r="AM40" s="5">
        <v>138.6</v>
      </c>
      <c r="AN40" s="5">
        <v>139.5</v>
      </c>
      <c r="AO40" s="5">
        <v>139.69999999999999</v>
      </c>
      <c r="AP40" s="5">
        <v>140.1</v>
      </c>
      <c r="AQ40" s="5">
        <v>140.4</v>
      </c>
      <c r="AR40" s="5">
        <v>141.5</v>
      </c>
      <c r="AS40" s="5">
        <v>142.80000000000001</v>
      </c>
      <c r="AT40" s="5">
        <v>143.9</v>
      </c>
      <c r="AU40" s="5">
        <v>144.6</v>
      </c>
      <c r="AV40" s="5">
        <v>144.80000000000001</v>
      </c>
      <c r="AW40" s="5">
        <v>145.30000000000001</v>
      </c>
      <c r="AX40" s="5">
        <v>145.4</v>
      </c>
      <c r="AY40" s="5">
        <v>145.5</v>
      </c>
      <c r="AZ40" s="5">
        <v>144.9</v>
      </c>
      <c r="BA40" s="5">
        <v>144</v>
      </c>
      <c r="BB40" s="5">
        <v>142.6</v>
      </c>
      <c r="BC40" s="5">
        <v>141.30000000000001</v>
      </c>
      <c r="BD40" s="5">
        <v>139.9</v>
      </c>
      <c r="BE40" s="5">
        <v>138.80000000000001</v>
      </c>
      <c r="BF40" s="5">
        <v>137.80000000000001</v>
      </c>
      <c r="BG40" s="5">
        <v>137.5</v>
      </c>
      <c r="BH40" s="5">
        <v>137.30000000000001</v>
      </c>
      <c r="BI40" s="5">
        <v>137.80000000000001</v>
      </c>
      <c r="BJ40" s="5">
        <v>138.30000000000001</v>
      </c>
      <c r="BK40" s="5">
        <v>139.69999999999999</v>
      </c>
      <c r="BL40" s="5">
        <v>140.5</v>
      </c>
      <c r="BM40" s="5">
        <v>140.69999999999999</v>
      </c>
      <c r="BN40" s="5">
        <v>140.69999999999999</v>
      </c>
      <c r="BO40" s="5">
        <v>140.19999999999999</v>
      </c>
      <c r="BP40" s="5">
        <v>139.6</v>
      </c>
      <c r="BQ40" s="5">
        <v>140</v>
      </c>
      <c r="BR40" s="5">
        <v>140.30000000000001</v>
      </c>
      <c r="BS40" s="5">
        <v>141.1</v>
      </c>
      <c r="BT40" s="5">
        <v>141.19999999999999</v>
      </c>
      <c r="BU40" s="5">
        <v>141.1</v>
      </c>
      <c r="BV40" s="5">
        <v>141.4</v>
      </c>
      <c r="BW40" s="5">
        <v>141.5</v>
      </c>
      <c r="BX40" s="5">
        <v>140.4</v>
      </c>
      <c r="BY40" s="5">
        <v>140.80000000000001</v>
      </c>
      <c r="BZ40" s="5">
        <v>140.69999999999999</v>
      </c>
      <c r="CA40" s="75">
        <v>140.875</v>
      </c>
      <c r="CB40" s="5">
        <v>141</v>
      </c>
      <c r="CC40" s="5">
        <v>141</v>
      </c>
      <c r="CD40" s="5">
        <v>141.6</v>
      </c>
      <c r="CE40" s="5">
        <v>142.5</v>
      </c>
      <c r="CF40" s="5">
        <v>143.80000000000001</v>
      </c>
      <c r="CG40" s="5">
        <v>145.19999999999999</v>
      </c>
      <c r="CH40" s="5">
        <v>146.30000000000001</v>
      </c>
      <c r="CI40" s="5">
        <v>148</v>
      </c>
      <c r="CJ40" s="5">
        <v>149.5</v>
      </c>
      <c r="CK40" s="5">
        <v>150.4</v>
      </c>
      <c r="CL40" s="5">
        <v>151.5</v>
      </c>
      <c r="CM40" s="5">
        <v>154</v>
      </c>
      <c r="CN40" s="75">
        <v>155.77500000000001</v>
      </c>
      <c r="CO40" s="5">
        <v>158.80000000000001</v>
      </c>
      <c r="CP40" s="5">
        <v>158.80000000000001</v>
      </c>
      <c r="CQ40" s="5">
        <v>160</v>
      </c>
      <c r="CR40" s="5">
        <v>160.9</v>
      </c>
      <c r="CS40" s="5">
        <v>161.30000000000001</v>
      </c>
      <c r="CT40" s="5">
        <v>161.4</v>
      </c>
      <c r="CU40" s="5">
        <v>161.9</v>
      </c>
      <c r="CV40" s="5">
        <v>163</v>
      </c>
      <c r="CW40" s="5">
        <v>162.5</v>
      </c>
      <c r="CX40" s="5">
        <v>162.6</v>
      </c>
      <c r="CY40" s="5">
        <v>162.80000000000001</v>
      </c>
      <c r="CZ40" s="5">
        <v>165.2</v>
      </c>
      <c r="DA40" s="5">
        <v>165.5</v>
      </c>
      <c r="DB40" s="5">
        <v>165.5</v>
      </c>
      <c r="DC40" s="5">
        <v>166.2</v>
      </c>
      <c r="DD40" s="5">
        <v>166.2</v>
      </c>
      <c r="DE40" s="5">
        <v>166.8</v>
      </c>
      <c r="DF40" s="5">
        <v>167.2</v>
      </c>
      <c r="DG40" s="5">
        <v>168.2</v>
      </c>
      <c r="DH40" s="5">
        <v>169.8</v>
      </c>
      <c r="DI40" s="5">
        <v>172.2</v>
      </c>
      <c r="DJ40" s="5">
        <v>174.7</v>
      </c>
      <c r="DK40" s="5">
        <v>178</v>
      </c>
      <c r="DL40" s="5">
        <v>181.4</v>
      </c>
      <c r="DM40" s="5">
        <v>183.5</v>
      </c>
      <c r="DN40" s="5">
        <v>186.3</v>
      </c>
      <c r="DO40" s="5">
        <v>189.7</v>
      </c>
      <c r="DP40" s="5">
        <v>193.6</v>
      </c>
      <c r="DQ40" s="5">
        <v>196.4</v>
      </c>
      <c r="DR40" s="5">
        <v>198.8</v>
      </c>
      <c r="DS40" s="5">
        <v>200.5</v>
      </c>
      <c r="DT40" s="5">
        <v>204.3</v>
      </c>
      <c r="DU40" s="5">
        <v>204.8</v>
      </c>
      <c r="DV40" s="5">
        <v>204.8</v>
      </c>
      <c r="DW40" s="5">
        <v>207.8</v>
      </c>
      <c r="DX40" s="5">
        <v>211.9</v>
      </c>
      <c r="DY40">
        <f t="shared" si="0"/>
        <v>0</v>
      </c>
    </row>
    <row r="41" spans="1:129" x14ac:dyDescent="0.35">
      <c r="A41" s="34" t="s">
        <v>33</v>
      </c>
      <c r="B41" s="5" t="s">
        <v>51</v>
      </c>
      <c r="C41" s="5" t="s">
        <v>13</v>
      </c>
      <c r="D41" s="5">
        <v>105.1</v>
      </c>
      <c r="E41" s="5">
        <v>106</v>
      </c>
      <c r="F41" s="5">
        <v>107</v>
      </c>
      <c r="G41" s="5">
        <v>108.2</v>
      </c>
      <c r="H41" s="5">
        <v>109.1</v>
      </c>
      <c r="I41" s="5">
        <v>110</v>
      </c>
      <c r="J41" s="5">
        <v>110.4</v>
      </c>
      <c r="K41" s="5">
        <v>110.9</v>
      </c>
      <c r="L41" s="5">
        <v>111.1</v>
      </c>
      <c r="M41" s="5">
        <v>111.4</v>
      </c>
      <c r="N41" s="5">
        <v>111.8</v>
      </c>
      <c r="O41" s="5">
        <v>112.1</v>
      </c>
      <c r="P41" s="5">
        <v>112.1</v>
      </c>
      <c r="Q41" s="5">
        <v>112.1</v>
      </c>
      <c r="R41" s="5">
        <v>112.2</v>
      </c>
      <c r="S41" s="5">
        <v>112.7</v>
      </c>
      <c r="T41" s="5">
        <v>112.9</v>
      </c>
      <c r="U41" s="5">
        <v>113.2</v>
      </c>
      <c r="V41" s="5">
        <v>113.8</v>
      </c>
      <c r="W41" s="5">
        <v>114.4</v>
      </c>
      <c r="X41" s="5">
        <v>114.8</v>
      </c>
      <c r="Y41" s="5">
        <v>115.2</v>
      </c>
      <c r="Z41" s="5">
        <v>115.8</v>
      </c>
      <c r="AA41" s="5">
        <v>116.1</v>
      </c>
      <c r="AB41" s="5">
        <v>116.5</v>
      </c>
      <c r="AC41" s="5">
        <v>116.8</v>
      </c>
      <c r="AD41" s="5">
        <v>117</v>
      </c>
      <c r="AE41" s="5">
        <v>117.2</v>
      </c>
      <c r="AF41" s="5">
        <v>117.7</v>
      </c>
      <c r="AG41" s="5">
        <v>118</v>
      </c>
      <c r="AH41" s="5">
        <v>118.3</v>
      </c>
      <c r="AI41" s="5">
        <v>118.8</v>
      </c>
      <c r="AJ41" s="5">
        <v>119.1</v>
      </c>
      <c r="AK41" s="5">
        <v>119.4</v>
      </c>
      <c r="AL41" s="5">
        <v>119.8</v>
      </c>
      <c r="AM41" s="5">
        <v>120.2</v>
      </c>
      <c r="AN41" s="5">
        <v>120.5</v>
      </c>
      <c r="AO41" s="5">
        <v>120.6</v>
      </c>
      <c r="AP41" s="5">
        <v>120.7</v>
      </c>
      <c r="AQ41" s="5">
        <v>121.1</v>
      </c>
      <c r="AR41" s="5">
        <v>121.5</v>
      </c>
      <c r="AS41" s="5">
        <v>121.6</v>
      </c>
      <c r="AT41" s="5">
        <v>121.7</v>
      </c>
      <c r="AU41" s="5">
        <v>121.9</v>
      </c>
      <c r="AV41" s="5">
        <v>122.1</v>
      </c>
      <c r="AW41" s="5">
        <v>122.5</v>
      </c>
      <c r="AX41" s="5">
        <v>122.7</v>
      </c>
      <c r="AY41" s="5">
        <v>123.1</v>
      </c>
      <c r="AZ41" s="5">
        <v>123.2</v>
      </c>
      <c r="BA41" s="5">
        <v>123.4</v>
      </c>
      <c r="BB41" s="5">
        <v>123.6</v>
      </c>
      <c r="BC41" s="5">
        <v>123.8</v>
      </c>
      <c r="BD41" s="5">
        <v>123.8</v>
      </c>
      <c r="BE41" s="5">
        <v>124.2</v>
      </c>
      <c r="BF41" s="5">
        <v>124.4</v>
      </c>
      <c r="BG41" s="5">
        <v>124.6</v>
      </c>
      <c r="BH41" s="5">
        <v>124.8</v>
      </c>
      <c r="BI41" s="5">
        <v>125.1</v>
      </c>
      <c r="BJ41" s="5">
        <v>125.4</v>
      </c>
      <c r="BK41" s="5">
        <v>125.7</v>
      </c>
      <c r="BL41" s="5">
        <v>125.9</v>
      </c>
      <c r="BM41" s="5">
        <v>125.9</v>
      </c>
      <c r="BN41" s="5">
        <v>126.2</v>
      </c>
      <c r="BO41" s="5">
        <v>126.5</v>
      </c>
      <c r="BP41" s="5">
        <v>126.6</v>
      </c>
      <c r="BQ41" s="5">
        <v>126.7</v>
      </c>
      <c r="BR41" s="5">
        <v>126.8</v>
      </c>
      <c r="BS41" s="5">
        <v>127.4</v>
      </c>
      <c r="BT41" s="5">
        <v>127.7</v>
      </c>
      <c r="BU41" s="5">
        <v>127.6</v>
      </c>
      <c r="BV41" s="5">
        <v>128</v>
      </c>
      <c r="BW41" s="5">
        <v>128.1</v>
      </c>
      <c r="BX41" s="5">
        <v>128.1</v>
      </c>
      <c r="BY41" s="5">
        <v>128.30000000000001</v>
      </c>
      <c r="BZ41" s="5">
        <v>128.5</v>
      </c>
      <c r="CA41" s="75">
        <v>128.67500000000001</v>
      </c>
      <c r="CB41" s="5">
        <v>128.9</v>
      </c>
      <c r="CC41" s="5">
        <v>129</v>
      </c>
      <c r="CD41" s="5">
        <v>129.5</v>
      </c>
      <c r="CE41" s="5">
        <v>129.80000000000001</v>
      </c>
      <c r="CF41" s="5">
        <v>130</v>
      </c>
      <c r="CG41" s="5">
        <v>130.19999999999999</v>
      </c>
      <c r="CH41" s="5">
        <v>130.5</v>
      </c>
      <c r="CI41" s="5">
        <v>130.80000000000001</v>
      </c>
      <c r="CJ41" s="5">
        <v>131.1</v>
      </c>
      <c r="CK41" s="5">
        <v>131.5</v>
      </c>
      <c r="CL41" s="5">
        <v>131.9</v>
      </c>
      <c r="CM41" s="5">
        <v>133.5</v>
      </c>
      <c r="CN41" s="75">
        <v>134.14999999999998</v>
      </c>
      <c r="CO41" s="5">
        <v>135.6</v>
      </c>
      <c r="CP41" s="5">
        <v>135.6</v>
      </c>
      <c r="CQ41" s="5">
        <v>136.5</v>
      </c>
      <c r="CR41" s="5">
        <v>137.69999999999999</v>
      </c>
      <c r="CS41" s="5">
        <v>139.19999999999999</v>
      </c>
      <c r="CT41" s="5">
        <v>141.5</v>
      </c>
      <c r="CU41" s="5">
        <v>143.30000000000001</v>
      </c>
      <c r="CV41" s="5">
        <v>145.9</v>
      </c>
      <c r="CW41" s="5">
        <v>149.19999999999999</v>
      </c>
      <c r="CX41" s="5">
        <v>150.69999999999999</v>
      </c>
      <c r="CY41" s="5">
        <v>151.5</v>
      </c>
      <c r="CZ41" s="5">
        <v>152</v>
      </c>
      <c r="DA41" s="5">
        <v>152.30000000000001</v>
      </c>
      <c r="DB41" s="5">
        <v>153.4</v>
      </c>
      <c r="DC41" s="5">
        <v>154.80000000000001</v>
      </c>
      <c r="DD41" s="5">
        <v>154.80000000000001</v>
      </c>
      <c r="DE41" s="5">
        <v>155.4</v>
      </c>
      <c r="DF41" s="5">
        <v>156.1</v>
      </c>
      <c r="DG41" s="5">
        <v>156.5</v>
      </c>
      <c r="DH41" s="5">
        <v>156.6</v>
      </c>
      <c r="DI41" s="5">
        <v>156.69999999999999</v>
      </c>
      <c r="DJ41" s="5">
        <v>157.1</v>
      </c>
      <c r="DK41" s="5">
        <v>157.5</v>
      </c>
      <c r="DL41" s="5">
        <v>158.5</v>
      </c>
      <c r="DM41" s="5">
        <v>159.1</v>
      </c>
      <c r="DN41" s="5">
        <v>159.80000000000001</v>
      </c>
      <c r="DO41" s="5">
        <v>160.5</v>
      </c>
      <c r="DP41" s="5">
        <v>161.1</v>
      </c>
      <c r="DQ41" s="5">
        <v>161.6</v>
      </c>
      <c r="DR41" s="5">
        <v>162.1</v>
      </c>
      <c r="DS41" s="5">
        <v>162.80000000000001</v>
      </c>
      <c r="DT41" s="5">
        <v>163.69999999999999</v>
      </c>
      <c r="DU41" s="5">
        <v>164.9</v>
      </c>
      <c r="DV41" s="5">
        <v>164.9</v>
      </c>
      <c r="DW41" s="5">
        <v>165.5</v>
      </c>
      <c r="DX41" s="5">
        <v>165.9</v>
      </c>
      <c r="DY41">
        <f t="shared" si="0"/>
        <v>0</v>
      </c>
    </row>
    <row r="42" spans="1:129" x14ac:dyDescent="0.35">
      <c r="A42" s="34" t="s">
        <v>33</v>
      </c>
      <c r="B42" s="5" t="s">
        <v>51</v>
      </c>
      <c r="C42" s="5" t="s">
        <v>14</v>
      </c>
      <c r="D42" s="5">
        <v>107.9</v>
      </c>
      <c r="E42" s="5">
        <v>109</v>
      </c>
      <c r="F42" s="5">
        <v>109.8</v>
      </c>
      <c r="G42" s="5">
        <v>110.6</v>
      </c>
      <c r="H42" s="5">
        <v>111.3</v>
      </c>
      <c r="I42" s="5">
        <v>112.2</v>
      </c>
      <c r="J42" s="5">
        <v>113.1</v>
      </c>
      <c r="K42" s="5">
        <v>114.3</v>
      </c>
      <c r="L42" s="5">
        <v>115.4</v>
      </c>
      <c r="M42" s="5">
        <v>116</v>
      </c>
      <c r="N42" s="5">
        <v>117.1</v>
      </c>
      <c r="O42" s="5">
        <v>118.1</v>
      </c>
      <c r="P42" s="5">
        <v>119</v>
      </c>
      <c r="Q42" s="5">
        <v>119.9</v>
      </c>
      <c r="R42" s="5">
        <v>120.5</v>
      </c>
      <c r="S42" s="5">
        <v>121</v>
      </c>
      <c r="T42" s="5">
        <v>121.7</v>
      </c>
      <c r="U42" s="5">
        <v>122.4</v>
      </c>
      <c r="V42" s="5">
        <v>123.4</v>
      </c>
      <c r="W42" s="5">
        <v>124.7</v>
      </c>
      <c r="X42" s="5">
        <v>125.2</v>
      </c>
      <c r="Y42" s="5">
        <v>125.9</v>
      </c>
      <c r="Z42" s="5">
        <v>126.9</v>
      </c>
      <c r="AA42" s="5">
        <v>127.6</v>
      </c>
      <c r="AB42" s="5">
        <v>128</v>
      </c>
      <c r="AC42" s="5">
        <v>128.6</v>
      </c>
      <c r="AD42" s="5">
        <v>129.19999999999999</v>
      </c>
      <c r="AE42" s="5">
        <v>129.5</v>
      </c>
      <c r="AF42" s="5">
        <v>129.9</v>
      </c>
      <c r="AG42" s="5">
        <v>130.5</v>
      </c>
      <c r="AH42" s="5">
        <v>131.1</v>
      </c>
      <c r="AI42" s="5">
        <v>131.69999999999999</v>
      </c>
      <c r="AJ42" s="5">
        <v>132.30000000000001</v>
      </c>
      <c r="AK42" s="5">
        <v>132.9</v>
      </c>
      <c r="AL42" s="5">
        <v>133.69999999999999</v>
      </c>
      <c r="AM42" s="5">
        <v>134.19999999999999</v>
      </c>
      <c r="AN42" s="5">
        <v>134.69999999999999</v>
      </c>
      <c r="AO42" s="5">
        <v>135.19999999999999</v>
      </c>
      <c r="AP42" s="5">
        <v>135.4</v>
      </c>
      <c r="AQ42" s="5">
        <v>135.9</v>
      </c>
      <c r="AR42" s="5">
        <v>136.30000000000001</v>
      </c>
      <c r="AS42" s="5">
        <v>136.9</v>
      </c>
      <c r="AT42" s="5">
        <v>137.5</v>
      </c>
      <c r="AU42" s="5">
        <v>138.1</v>
      </c>
      <c r="AV42" s="5">
        <v>138.80000000000001</v>
      </c>
      <c r="AW42" s="5">
        <v>139.6</v>
      </c>
      <c r="AX42" s="5">
        <v>140.30000000000001</v>
      </c>
      <c r="AY42" s="5">
        <v>140.9</v>
      </c>
      <c r="AZ42" s="5">
        <v>141.6</v>
      </c>
      <c r="BA42" s="5">
        <v>141.9</v>
      </c>
      <c r="BB42" s="5">
        <v>142.4</v>
      </c>
      <c r="BC42" s="5">
        <v>142.6</v>
      </c>
      <c r="BD42" s="5">
        <v>142.9</v>
      </c>
      <c r="BE42" s="5">
        <v>143.1</v>
      </c>
      <c r="BF42" s="5">
        <v>143.69999999999999</v>
      </c>
      <c r="BG42" s="5">
        <v>144.5</v>
      </c>
      <c r="BH42" s="5">
        <v>145</v>
      </c>
      <c r="BI42" s="5">
        <v>145.5</v>
      </c>
      <c r="BJ42" s="5">
        <v>146</v>
      </c>
      <c r="BK42" s="5">
        <v>146.30000000000001</v>
      </c>
      <c r="BL42" s="5">
        <v>146.80000000000001</v>
      </c>
      <c r="BM42" s="5">
        <v>147.1</v>
      </c>
      <c r="BN42" s="5">
        <v>147.6</v>
      </c>
      <c r="BO42" s="5">
        <v>148.30000000000001</v>
      </c>
      <c r="BP42" s="5">
        <v>148.69999999999999</v>
      </c>
      <c r="BQ42" s="5">
        <v>149</v>
      </c>
      <c r="BR42" s="5">
        <v>149.4</v>
      </c>
      <c r="BS42" s="5">
        <v>150.4</v>
      </c>
      <c r="BT42" s="5">
        <v>151.30000000000001</v>
      </c>
      <c r="BU42" s="5">
        <v>152</v>
      </c>
      <c r="BV42" s="5">
        <v>152.6</v>
      </c>
      <c r="BW42" s="5">
        <v>152.9</v>
      </c>
      <c r="BX42" s="5">
        <v>153.19999999999999</v>
      </c>
      <c r="BY42" s="5">
        <v>153.5</v>
      </c>
      <c r="BZ42" s="5">
        <v>153.9</v>
      </c>
      <c r="CA42" s="75">
        <v>154.25</v>
      </c>
      <c r="CB42" s="5">
        <v>154.5</v>
      </c>
      <c r="CC42" s="5">
        <v>155.1</v>
      </c>
      <c r="CD42" s="5">
        <v>155.6</v>
      </c>
      <c r="CE42" s="5">
        <v>156.19999999999999</v>
      </c>
      <c r="CF42" s="5">
        <v>156.4</v>
      </c>
      <c r="CG42" s="5">
        <v>156.80000000000001</v>
      </c>
      <c r="CH42" s="5">
        <v>157.19999999999999</v>
      </c>
      <c r="CI42" s="5">
        <v>157.69999999999999</v>
      </c>
      <c r="CJ42" s="5">
        <v>158.5</v>
      </c>
      <c r="CK42" s="5">
        <v>159</v>
      </c>
      <c r="CL42" s="5">
        <v>159.1</v>
      </c>
      <c r="CM42" s="5">
        <f>CL42</f>
        <v>159.1</v>
      </c>
      <c r="CN42" s="75">
        <v>160.39999999999998</v>
      </c>
      <c r="CO42" s="5">
        <v>161.69999999999999</v>
      </c>
      <c r="CP42" s="5">
        <v>161.69999999999999</v>
      </c>
      <c r="CQ42" s="5">
        <v>163.30000000000001</v>
      </c>
      <c r="CR42" s="5">
        <v>164.4</v>
      </c>
      <c r="CS42" s="5">
        <v>164.8</v>
      </c>
      <c r="CT42" s="5">
        <v>165.1</v>
      </c>
      <c r="CU42" s="5">
        <v>166.1</v>
      </c>
      <c r="CV42" s="5">
        <v>167.2</v>
      </c>
      <c r="CW42" s="5">
        <v>169.4</v>
      </c>
      <c r="CX42" s="5">
        <v>170.3</v>
      </c>
      <c r="CY42" s="5">
        <v>171.4</v>
      </c>
      <c r="CZ42" s="5">
        <v>171.1</v>
      </c>
      <c r="DA42" s="5">
        <v>173.3</v>
      </c>
      <c r="DB42" s="5">
        <v>173.5</v>
      </c>
      <c r="DC42" s="5">
        <v>175.1</v>
      </c>
      <c r="DD42" s="5">
        <v>175.1</v>
      </c>
      <c r="DE42" s="5">
        <v>175.9</v>
      </c>
      <c r="DF42" s="5">
        <v>176.8</v>
      </c>
      <c r="DG42" s="5">
        <v>178.2</v>
      </c>
      <c r="DH42" s="5">
        <v>179</v>
      </c>
      <c r="DI42" s="5">
        <v>180</v>
      </c>
      <c r="DJ42" s="5">
        <v>181.5</v>
      </c>
      <c r="DK42" s="5">
        <v>183.3</v>
      </c>
      <c r="DL42" s="5">
        <v>184.9</v>
      </c>
      <c r="DM42" s="5">
        <v>186.3</v>
      </c>
      <c r="DN42" s="5">
        <v>187.7</v>
      </c>
      <c r="DO42" s="5">
        <v>188.9</v>
      </c>
      <c r="DP42" s="5">
        <v>190.4</v>
      </c>
      <c r="DQ42" s="5">
        <v>191.5</v>
      </c>
      <c r="DR42" s="5">
        <v>192.4</v>
      </c>
      <c r="DS42" s="5">
        <v>193.3</v>
      </c>
      <c r="DT42" s="5">
        <v>194.3</v>
      </c>
      <c r="DU42" s="5">
        <v>196.6</v>
      </c>
      <c r="DV42" s="5">
        <v>196.6</v>
      </c>
      <c r="DW42" s="5">
        <v>197</v>
      </c>
      <c r="DX42" s="5">
        <v>197.7</v>
      </c>
      <c r="DY42">
        <f t="shared" si="0"/>
        <v>0</v>
      </c>
    </row>
    <row r="43" spans="1:129" x14ac:dyDescent="0.35">
      <c r="A43" s="34" t="s">
        <v>33</v>
      </c>
      <c r="B43" s="5" t="s">
        <v>51</v>
      </c>
      <c r="C43" s="5" t="s">
        <v>15</v>
      </c>
      <c r="D43" s="5">
        <v>105.9</v>
      </c>
      <c r="E43" s="5">
        <v>107.2</v>
      </c>
      <c r="F43" s="5">
        <v>107.3</v>
      </c>
      <c r="G43" s="5">
        <v>108.8</v>
      </c>
      <c r="H43" s="5">
        <v>111.1</v>
      </c>
      <c r="I43" s="5">
        <v>115</v>
      </c>
      <c r="J43" s="5">
        <v>117.5</v>
      </c>
      <c r="K43" s="5">
        <v>119.6</v>
      </c>
      <c r="L43" s="5">
        <v>119.2</v>
      </c>
      <c r="M43" s="5">
        <v>120.8</v>
      </c>
      <c r="N43" s="5">
        <v>122.9</v>
      </c>
      <c r="O43" s="5">
        <v>117.8</v>
      </c>
      <c r="P43" s="5">
        <v>115.5</v>
      </c>
      <c r="Q43" s="5">
        <v>115.2</v>
      </c>
      <c r="R43" s="5">
        <v>116</v>
      </c>
      <c r="S43" s="5">
        <v>118.2</v>
      </c>
      <c r="T43" s="5">
        <v>120</v>
      </c>
      <c r="U43" s="5">
        <v>122</v>
      </c>
      <c r="V43" s="5">
        <v>127.1</v>
      </c>
      <c r="W43" s="5">
        <v>128.9</v>
      </c>
      <c r="X43" s="5">
        <v>126.7</v>
      </c>
      <c r="Y43" s="5">
        <v>125.8</v>
      </c>
      <c r="Z43" s="5">
        <v>125.4</v>
      </c>
      <c r="AA43" s="5">
        <v>124</v>
      </c>
      <c r="AB43" s="5">
        <v>123.5</v>
      </c>
      <c r="AC43" s="5">
        <v>123.7</v>
      </c>
      <c r="AD43" s="5">
        <v>123.9</v>
      </c>
      <c r="AE43" s="5">
        <v>124.6</v>
      </c>
      <c r="AF43" s="5">
        <v>126.1</v>
      </c>
      <c r="AG43" s="5">
        <v>128.5</v>
      </c>
      <c r="AH43" s="5">
        <v>129.5</v>
      </c>
      <c r="AI43" s="5">
        <v>131.1</v>
      </c>
      <c r="AJ43" s="5">
        <v>131.5</v>
      </c>
      <c r="AK43" s="5">
        <v>132.6</v>
      </c>
      <c r="AL43" s="5">
        <v>133.30000000000001</v>
      </c>
      <c r="AM43" s="5">
        <v>131.5</v>
      </c>
      <c r="AN43" s="5">
        <v>131.19999999999999</v>
      </c>
      <c r="AO43" s="5">
        <v>129.1</v>
      </c>
      <c r="AP43" s="5">
        <v>128.9</v>
      </c>
      <c r="AQ43" s="5">
        <v>131.80000000000001</v>
      </c>
      <c r="AR43" s="5">
        <v>134.6</v>
      </c>
      <c r="AS43" s="5">
        <v>138.19999999999999</v>
      </c>
      <c r="AT43" s="5">
        <v>139.80000000000001</v>
      </c>
      <c r="AU43" s="5">
        <v>137.6</v>
      </c>
      <c r="AV43" s="5">
        <v>135.69999999999999</v>
      </c>
      <c r="AW43" s="5">
        <v>136.30000000000001</v>
      </c>
      <c r="AX43" s="5">
        <v>135.19999999999999</v>
      </c>
      <c r="AY43" s="5">
        <v>132.80000000000001</v>
      </c>
      <c r="AZ43" s="5">
        <v>132</v>
      </c>
      <c r="BA43" s="5">
        <v>132.1</v>
      </c>
      <c r="BB43" s="5">
        <v>132.6</v>
      </c>
      <c r="BC43" s="5">
        <v>133.4</v>
      </c>
      <c r="BD43" s="5">
        <v>133.6</v>
      </c>
      <c r="BE43" s="5">
        <v>135.69999999999999</v>
      </c>
      <c r="BF43" s="5">
        <v>139.80000000000001</v>
      </c>
      <c r="BG43" s="5">
        <v>140.5</v>
      </c>
      <c r="BH43" s="5">
        <v>138</v>
      </c>
      <c r="BI43" s="5">
        <v>139.69999999999999</v>
      </c>
      <c r="BJ43" s="5">
        <v>141.5</v>
      </c>
      <c r="BK43" s="5">
        <v>138.80000000000001</v>
      </c>
      <c r="BL43" s="5">
        <v>137.19999999999999</v>
      </c>
      <c r="BM43" s="5">
        <v>135.6</v>
      </c>
      <c r="BN43" s="5">
        <v>134.80000000000001</v>
      </c>
      <c r="BO43" s="5">
        <v>135.69999999999999</v>
      </c>
      <c r="BP43" s="5">
        <v>136.4</v>
      </c>
      <c r="BQ43" s="5">
        <v>138.4</v>
      </c>
      <c r="BR43" s="5">
        <v>140.30000000000001</v>
      </c>
      <c r="BS43" s="5">
        <v>140.1</v>
      </c>
      <c r="BT43" s="5">
        <v>138.9</v>
      </c>
      <c r="BU43" s="5">
        <v>139.4</v>
      </c>
      <c r="BV43" s="5">
        <v>139.1</v>
      </c>
      <c r="BW43" s="5">
        <v>137.6</v>
      </c>
      <c r="BX43" s="5">
        <v>137.30000000000001</v>
      </c>
      <c r="BY43" s="5">
        <v>138</v>
      </c>
      <c r="BZ43" s="5">
        <v>139.6</v>
      </c>
      <c r="CA43" s="75">
        <v>141.75</v>
      </c>
      <c r="CB43" s="5">
        <v>143.80000000000001</v>
      </c>
      <c r="CC43" s="5">
        <v>145.6</v>
      </c>
      <c r="CD43" s="5">
        <v>147.69999999999999</v>
      </c>
      <c r="CE43" s="5">
        <v>149.1</v>
      </c>
      <c r="CF43" s="5">
        <v>149.5</v>
      </c>
      <c r="CG43" s="5">
        <v>151.9</v>
      </c>
      <c r="CH43" s="5">
        <v>153.6</v>
      </c>
      <c r="CI43" s="5">
        <v>156.30000000000001</v>
      </c>
      <c r="CJ43" s="5">
        <v>154.4</v>
      </c>
      <c r="CK43" s="5">
        <v>151.69999999999999</v>
      </c>
      <c r="CL43" s="5">
        <v>150.1</v>
      </c>
      <c r="CM43" s="5">
        <v>153.5</v>
      </c>
      <c r="CN43" s="75">
        <v>154.4</v>
      </c>
      <c r="CO43" s="5">
        <v>157</v>
      </c>
      <c r="CP43" s="5">
        <v>157</v>
      </c>
      <c r="CQ43" s="5">
        <v>159.9</v>
      </c>
      <c r="CR43" s="5">
        <v>161.30000000000001</v>
      </c>
      <c r="CS43" s="5">
        <v>164.4</v>
      </c>
      <c r="CT43" s="5">
        <v>167</v>
      </c>
      <c r="CU43" s="5">
        <v>167</v>
      </c>
      <c r="CV43" s="5">
        <v>163.4</v>
      </c>
      <c r="CW43" s="5">
        <v>160.80000000000001</v>
      </c>
      <c r="CX43" s="5">
        <v>160.4</v>
      </c>
      <c r="CY43" s="5">
        <v>162</v>
      </c>
      <c r="CZ43" s="5">
        <v>164.2</v>
      </c>
      <c r="DA43" s="5">
        <v>166.2</v>
      </c>
      <c r="DB43" s="5">
        <v>167.9</v>
      </c>
      <c r="DC43" s="5">
        <v>167.3</v>
      </c>
      <c r="DD43" s="5">
        <v>167.3</v>
      </c>
      <c r="DE43" s="5">
        <v>171.5</v>
      </c>
      <c r="DF43" s="5">
        <v>173.5</v>
      </c>
      <c r="DG43" s="5">
        <v>172.2</v>
      </c>
      <c r="DH43" s="5">
        <v>170.3</v>
      </c>
      <c r="DI43" s="5">
        <v>170.2</v>
      </c>
      <c r="DJ43" s="5">
        <v>171.5</v>
      </c>
      <c r="DK43" s="5">
        <v>174.5</v>
      </c>
      <c r="DL43" s="5">
        <v>177.5</v>
      </c>
      <c r="DM43" s="5">
        <v>179.3</v>
      </c>
      <c r="DN43" s="5">
        <v>179.4</v>
      </c>
      <c r="DO43" s="5">
        <v>180.4</v>
      </c>
      <c r="DP43" s="5">
        <v>181.8</v>
      </c>
      <c r="DQ43" s="5">
        <v>183.3</v>
      </c>
      <c r="DR43" s="5">
        <v>181.3</v>
      </c>
      <c r="DS43" s="5">
        <v>178.6</v>
      </c>
      <c r="DT43" s="5">
        <v>179.5</v>
      </c>
      <c r="DU43" s="5">
        <v>180.7</v>
      </c>
      <c r="DV43" s="5">
        <v>180.8</v>
      </c>
      <c r="DW43" s="5">
        <v>182.1</v>
      </c>
      <c r="DX43" s="5">
        <v>183.1</v>
      </c>
      <c r="DY43">
        <f t="shared" si="0"/>
        <v>0</v>
      </c>
    </row>
    <row r="44" spans="1:129" x14ac:dyDescent="0.35">
      <c r="A44" s="34" t="s">
        <v>33</v>
      </c>
      <c r="B44" s="5" t="s">
        <v>52</v>
      </c>
      <c r="C44" s="5" t="s">
        <v>16</v>
      </c>
      <c r="D44" s="5">
        <v>105.2</v>
      </c>
      <c r="E44" s="5">
        <v>106</v>
      </c>
      <c r="F44" s="5">
        <v>106.8</v>
      </c>
      <c r="G44" s="5">
        <v>108.5</v>
      </c>
      <c r="H44" s="5">
        <v>109.8</v>
      </c>
      <c r="I44" s="5">
        <v>110.9</v>
      </c>
      <c r="J44" s="5">
        <v>111.7</v>
      </c>
      <c r="K44" s="5">
        <v>112.4</v>
      </c>
      <c r="L44" s="5">
        <v>112.9</v>
      </c>
      <c r="M44" s="5">
        <v>113.5</v>
      </c>
      <c r="N44" s="5">
        <v>114.1</v>
      </c>
      <c r="O44" s="5">
        <v>115</v>
      </c>
      <c r="P44" s="5">
        <v>115.7</v>
      </c>
      <c r="Q44" s="5">
        <v>116.2</v>
      </c>
      <c r="R44" s="5">
        <v>116.7</v>
      </c>
      <c r="S44" s="5">
        <v>117.6</v>
      </c>
      <c r="T44" s="5">
        <v>118.3</v>
      </c>
      <c r="U44" s="5">
        <v>119</v>
      </c>
      <c r="V44" s="5">
        <v>121</v>
      </c>
      <c r="W44" s="5">
        <v>123</v>
      </c>
      <c r="X44" s="5">
        <v>124.3</v>
      </c>
      <c r="Y44" s="5">
        <v>124.3</v>
      </c>
      <c r="Z44" s="5">
        <v>125.8</v>
      </c>
      <c r="AA44" s="5">
        <v>126.4</v>
      </c>
      <c r="AB44" s="5">
        <v>127.4</v>
      </c>
      <c r="AC44" s="5">
        <v>128.1</v>
      </c>
      <c r="AD44" s="5">
        <v>128.80000000000001</v>
      </c>
      <c r="AE44" s="5">
        <v>130.1</v>
      </c>
      <c r="AF44" s="5">
        <v>131.30000000000001</v>
      </c>
      <c r="AG44" s="5">
        <v>132.1</v>
      </c>
      <c r="AH44" s="5">
        <v>133.1</v>
      </c>
      <c r="AI44" s="5">
        <v>134.19999999999999</v>
      </c>
      <c r="AJ44" s="5">
        <v>134.69999999999999</v>
      </c>
      <c r="AK44" s="5">
        <v>135.30000000000001</v>
      </c>
      <c r="AL44" s="5">
        <v>137.6</v>
      </c>
      <c r="AM44" s="5">
        <v>138.19999999999999</v>
      </c>
      <c r="AN44" s="5">
        <v>139.5</v>
      </c>
      <c r="AO44" s="5">
        <v>140</v>
      </c>
      <c r="AP44" s="5">
        <v>140.6</v>
      </c>
      <c r="AQ44" s="5">
        <v>141.5</v>
      </c>
      <c r="AR44" s="5">
        <v>142.19999999999999</v>
      </c>
      <c r="AS44" s="5">
        <v>142.69999999999999</v>
      </c>
      <c r="AT44" s="5">
        <v>142.9</v>
      </c>
      <c r="AU44" s="5">
        <v>143.6</v>
      </c>
      <c r="AV44" s="5">
        <v>143.9</v>
      </c>
      <c r="AW44" s="5">
        <v>144.30000000000001</v>
      </c>
      <c r="AX44" s="5">
        <v>144.30000000000001</v>
      </c>
      <c r="AY44" s="5">
        <v>145</v>
      </c>
      <c r="AZ44" s="5">
        <v>145.6</v>
      </c>
      <c r="BA44" s="5">
        <v>146.30000000000001</v>
      </c>
      <c r="BB44" s="5">
        <v>147.5</v>
      </c>
      <c r="BC44" s="5">
        <v>148</v>
      </c>
      <c r="BD44" s="5">
        <v>148.30000000000001</v>
      </c>
      <c r="BE44" s="5">
        <v>148.6</v>
      </c>
      <c r="BF44" s="5">
        <v>150.5</v>
      </c>
      <c r="BG44" s="5">
        <v>152.1</v>
      </c>
      <c r="BH44" s="5">
        <v>153.6</v>
      </c>
      <c r="BI44" s="5">
        <v>154.6</v>
      </c>
      <c r="BJ44" s="5">
        <v>156.19999999999999</v>
      </c>
      <c r="BK44" s="5">
        <v>157</v>
      </c>
      <c r="BL44" s="5">
        <v>157.69999999999999</v>
      </c>
      <c r="BM44" s="5">
        <v>159.30000000000001</v>
      </c>
      <c r="BN44" s="5">
        <v>159.69999999999999</v>
      </c>
      <c r="BO44" s="5">
        <v>159.19999999999999</v>
      </c>
      <c r="BP44" s="5">
        <v>160.30000000000001</v>
      </c>
      <c r="BQ44" s="5">
        <v>161</v>
      </c>
      <c r="BR44" s="5">
        <v>161.4</v>
      </c>
      <c r="BS44" s="5">
        <v>162.1</v>
      </c>
      <c r="BT44" s="5">
        <v>163.30000000000001</v>
      </c>
      <c r="BU44" s="5">
        <v>164</v>
      </c>
      <c r="BV44" s="5">
        <v>164.4</v>
      </c>
      <c r="BW44" s="5">
        <v>164.6</v>
      </c>
      <c r="BX44" s="5">
        <v>164.7</v>
      </c>
      <c r="BY44" s="5">
        <v>164.9</v>
      </c>
      <c r="BZ44" s="5">
        <v>165.3</v>
      </c>
      <c r="CA44" s="75">
        <v>165.77500000000001</v>
      </c>
      <c r="CB44" s="5">
        <v>166.2</v>
      </c>
      <c r="CC44" s="5">
        <v>166.7</v>
      </c>
      <c r="CD44" s="5">
        <v>167.2</v>
      </c>
      <c r="CE44" s="5">
        <v>167.9</v>
      </c>
      <c r="CF44" s="5">
        <v>168.6</v>
      </c>
      <c r="CG44" s="5">
        <v>169.3</v>
      </c>
      <c r="CH44" s="5">
        <v>169.9</v>
      </c>
      <c r="CI44" s="5">
        <v>170.4</v>
      </c>
      <c r="CJ44" s="5">
        <v>170.8</v>
      </c>
      <c r="CK44" s="5">
        <v>172</v>
      </c>
      <c r="CL44" s="5">
        <v>173.3</v>
      </c>
      <c r="CM44" s="5">
        <f t="shared" ref="CM44:CM47" si="5">CL44</f>
        <v>173.3</v>
      </c>
      <c r="CN44" s="75">
        <v>180</v>
      </c>
      <c r="CO44" s="5">
        <v>186.7</v>
      </c>
      <c r="CP44" s="5">
        <v>186.7</v>
      </c>
      <c r="CQ44" s="5">
        <v>187.2</v>
      </c>
      <c r="CR44" s="5">
        <v>188.7</v>
      </c>
      <c r="CS44" s="5">
        <v>188.7</v>
      </c>
      <c r="CT44" s="5">
        <v>188.8</v>
      </c>
      <c r="CU44" s="5">
        <v>190.2</v>
      </c>
      <c r="CV44" s="5">
        <v>191.8</v>
      </c>
      <c r="CW44" s="5">
        <v>193.3</v>
      </c>
      <c r="CX44" s="5">
        <v>193.5</v>
      </c>
      <c r="CY44" s="5">
        <v>194.4</v>
      </c>
      <c r="CZ44" s="5">
        <v>198.2</v>
      </c>
      <c r="DA44" s="5">
        <v>195.6</v>
      </c>
      <c r="DB44" s="5">
        <v>195.5</v>
      </c>
      <c r="DC44" s="5">
        <v>196.5</v>
      </c>
      <c r="DD44" s="5">
        <v>196.5</v>
      </c>
      <c r="DE44" s="5">
        <v>197</v>
      </c>
      <c r="DF44" s="5">
        <v>197</v>
      </c>
      <c r="DG44" s="5">
        <v>196.8</v>
      </c>
      <c r="DH44" s="5">
        <v>196.4</v>
      </c>
      <c r="DI44" s="5">
        <v>196.5</v>
      </c>
      <c r="DJ44" s="5">
        <v>197.5</v>
      </c>
      <c r="DK44" s="5">
        <v>197.1</v>
      </c>
      <c r="DL44" s="5">
        <v>197.5</v>
      </c>
      <c r="DM44" s="5">
        <v>198.3</v>
      </c>
      <c r="DN44" s="5">
        <v>198.6</v>
      </c>
      <c r="DO44" s="5">
        <v>198.7</v>
      </c>
      <c r="DP44" s="5">
        <v>199.7</v>
      </c>
      <c r="DQ44" s="5">
        <v>200.1</v>
      </c>
      <c r="DR44" s="5">
        <v>200.6</v>
      </c>
      <c r="DS44" s="5">
        <v>201.1</v>
      </c>
      <c r="DT44" s="5">
        <v>201.6</v>
      </c>
      <c r="DU44" s="5">
        <v>202.7</v>
      </c>
      <c r="DV44" s="5">
        <v>202.7</v>
      </c>
      <c r="DW44" s="5">
        <v>203.5</v>
      </c>
      <c r="DX44" s="5">
        <v>204.2</v>
      </c>
      <c r="DY44">
        <f t="shared" si="0"/>
        <v>0</v>
      </c>
    </row>
    <row r="45" spans="1:129" x14ac:dyDescent="0.35">
      <c r="A45" s="34" t="s">
        <v>33</v>
      </c>
      <c r="B45" s="5" t="s">
        <v>53</v>
      </c>
      <c r="C45" s="5" t="s">
        <v>17</v>
      </c>
      <c r="D45" s="5">
        <v>105.9</v>
      </c>
      <c r="E45" s="5">
        <v>106.6</v>
      </c>
      <c r="F45" s="5">
        <v>107.2</v>
      </c>
      <c r="G45" s="5">
        <v>107.9</v>
      </c>
      <c r="H45" s="5">
        <v>108.5</v>
      </c>
      <c r="I45" s="5">
        <v>109.2</v>
      </c>
      <c r="J45" s="5">
        <v>109.8</v>
      </c>
      <c r="K45" s="5">
        <v>110.6</v>
      </c>
      <c r="L45" s="5">
        <v>111.4</v>
      </c>
      <c r="M45" s="5">
        <v>112.5</v>
      </c>
      <c r="N45" s="5">
        <v>113.5</v>
      </c>
      <c r="O45" s="5">
        <v>114.2</v>
      </c>
      <c r="P45" s="5">
        <v>114.8</v>
      </c>
      <c r="Q45" s="5">
        <v>115.3</v>
      </c>
      <c r="R45" s="5">
        <v>115.8</v>
      </c>
      <c r="S45" s="5">
        <v>116.3</v>
      </c>
      <c r="T45" s="5">
        <v>116.8</v>
      </c>
      <c r="U45" s="5">
        <v>117.4</v>
      </c>
      <c r="V45" s="5">
        <v>118</v>
      </c>
      <c r="W45" s="5">
        <v>118.6</v>
      </c>
      <c r="X45" s="5">
        <v>119.2</v>
      </c>
      <c r="Y45" s="5">
        <v>119.6</v>
      </c>
      <c r="Z45" s="5">
        <v>120.3</v>
      </c>
      <c r="AA45" s="5">
        <v>120.7</v>
      </c>
      <c r="AB45" s="5">
        <v>121</v>
      </c>
      <c r="AC45" s="5">
        <v>121.3</v>
      </c>
      <c r="AD45" s="5">
        <v>121.7</v>
      </c>
      <c r="AE45" s="5">
        <v>122.1</v>
      </c>
      <c r="AF45" s="5">
        <v>122.4</v>
      </c>
      <c r="AG45" s="5">
        <v>123.2</v>
      </c>
      <c r="AH45" s="5">
        <v>123.5</v>
      </c>
      <c r="AI45" s="5">
        <v>123.7</v>
      </c>
      <c r="AJ45" s="5">
        <v>124</v>
      </c>
      <c r="AK45" s="5">
        <v>124.4</v>
      </c>
      <c r="AL45" s="5">
        <v>125</v>
      </c>
      <c r="AM45" s="5">
        <v>125.4</v>
      </c>
      <c r="AN45" s="5">
        <v>125.8</v>
      </c>
      <c r="AO45" s="5">
        <v>126.2</v>
      </c>
      <c r="AP45" s="5">
        <v>126.4</v>
      </c>
      <c r="AQ45" s="5">
        <v>126.8</v>
      </c>
      <c r="AR45" s="5">
        <v>127.2</v>
      </c>
      <c r="AS45" s="5">
        <v>127.6</v>
      </c>
      <c r="AT45" s="5">
        <v>127.9</v>
      </c>
      <c r="AU45" s="5">
        <v>128.30000000000001</v>
      </c>
      <c r="AV45" s="5">
        <v>128.69999999999999</v>
      </c>
      <c r="AW45" s="5">
        <v>129.1</v>
      </c>
      <c r="AX45" s="5">
        <v>129.6</v>
      </c>
      <c r="AY45" s="5">
        <v>130</v>
      </c>
      <c r="AZ45" s="5">
        <v>130.19999999999999</v>
      </c>
      <c r="BA45" s="5">
        <v>130.5</v>
      </c>
      <c r="BB45" s="5">
        <v>130.80000000000001</v>
      </c>
      <c r="BC45" s="5">
        <v>131.19999999999999</v>
      </c>
      <c r="BD45" s="5">
        <v>131.5</v>
      </c>
      <c r="BE45" s="5">
        <v>131.5</v>
      </c>
      <c r="BF45" s="5">
        <v>131.6</v>
      </c>
      <c r="BG45" s="5">
        <v>132.69999999999999</v>
      </c>
      <c r="BH45" s="5">
        <v>133.30000000000001</v>
      </c>
      <c r="BI45" s="5">
        <v>134</v>
      </c>
      <c r="BJ45" s="5">
        <v>135</v>
      </c>
      <c r="BK45" s="5">
        <v>135.6</v>
      </c>
      <c r="BL45" s="5">
        <v>136</v>
      </c>
      <c r="BM45" s="5">
        <v>136.30000000000001</v>
      </c>
      <c r="BN45" s="5">
        <v>136.69999999999999</v>
      </c>
      <c r="BO45" s="5">
        <v>137.80000000000001</v>
      </c>
      <c r="BP45" s="5">
        <v>138.6</v>
      </c>
      <c r="BQ45" s="5">
        <v>138.9</v>
      </c>
      <c r="BR45" s="5">
        <v>139.6</v>
      </c>
      <c r="BS45" s="5">
        <v>140</v>
      </c>
      <c r="BT45" s="5">
        <v>140.80000000000001</v>
      </c>
      <c r="BU45" s="5">
        <v>141.5</v>
      </c>
      <c r="BV45" s="5">
        <v>142.4</v>
      </c>
      <c r="BW45" s="5">
        <v>142.69999999999999</v>
      </c>
      <c r="BX45" s="5">
        <v>143</v>
      </c>
      <c r="BY45" s="5">
        <v>143.30000000000001</v>
      </c>
      <c r="BZ45" s="5">
        <v>143.5</v>
      </c>
      <c r="CA45" s="75">
        <v>143.77500000000001</v>
      </c>
      <c r="CB45" s="5">
        <v>144</v>
      </c>
      <c r="CC45" s="5">
        <v>144.30000000000001</v>
      </c>
      <c r="CD45" s="5">
        <v>144.69999999999999</v>
      </c>
      <c r="CE45" s="5">
        <v>145</v>
      </c>
      <c r="CF45" s="5">
        <v>145.30000000000001</v>
      </c>
      <c r="CG45" s="5">
        <v>145.9</v>
      </c>
      <c r="CH45" s="5">
        <v>146.30000000000001</v>
      </c>
      <c r="CI45" s="5">
        <v>146.80000000000001</v>
      </c>
      <c r="CJ45" s="5">
        <v>147</v>
      </c>
      <c r="CK45" s="5">
        <v>147.30000000000001</v>
      </c>
      <c r="CL45" s="5">
        <v>147.69999999999999</v>
      </c>
      <c r="CM45" s="5">
        <f t="shared" si="5"/>
        <v>147.69999999999999</v>
      </c>
      <c r="CN45" s="75">
        <v>148.39999999999998</v>
      </c>
      <c r="CO45" s="5">
        <v>149.1</v>
      </c>
      <c r="CP45" s="5">
        <v>149.1</v>
      </c>
      <c r="CQ45" s="5">
        <v>150</v>
      </c>
      <c r="CR45" s="5">
        <v>150.19999999999999</v>
      </c>
      <c r="CS45" s="5">
        <v>150.5</v>
      </c>
      <c r="CT45" s="5">
        <v>151.1</v>
      </c>
      <c r="CU45" s="5">
        <v>151.9</v>
      </c>
      <c r="CV45" s="5">
        <v>152.5</v>
      </c>
      <c r="CW45" s="5">
        <v>154.19999999999999</v>
      </c>
      <c r="CX45" s="5">
        <v>155.1</v>
      </c>
      <c r="CY45" s="5">
        <v>155.9</v>
      </c>
      <c r="CZ45" s="5">
        <v>156.5</v>
      </c>
      <c r="DA45" s="5">
        <v>157.30000000000001</v>
      </c>
      <c r="DB45" s="5">
        <v>157.9</v>
      </c>
      <c r="DC45" s="5">
        <v>159.80000000000001</v>
      </c>
      <c r="DD45" s="5">
        <v>159.80000000000001</v>
      </c>
      <c r="DE45" s="5">
        <v>160.80000000000001</v>
      </c>
      <c r="DF45" s="5">
        <v>162.30000000000001</v>
      </c>
      <c r="DG45" s="5">
        <v>163.30000000000001</v>
      </c>
      <c r="DH45" s="5">
        <v>164.7</v>
      </c>
      <c r="DI45" s="5">
        <v>165.7</v>
      </c>
      <c r="DJ45" s="5">
        <v>167.1</v>
      </c>
      <c r="DK45" s="5">
        <v>168.4</v>
      </c>
      <c r="DL45" s="5">
        <v>170</v>
      </c>
      <c r="DM45" s="5">
        <v>171.6</v>
      </c>
      <c r="DN45" s="5">
        <v>172.7</v>
      </c>
      <c r="DO45" s="5">
        <v>173.7</v>
      </c>
      <c r="DP45" s="5">
        <v>175</v>
      </c>
      <c r="DQ45" s="5">
        <v>175.5</v>
      </c>
      <c r="DR45" s="5">
        <v>176.7</v>
      </c>
      <c r="DS45" s="5">
        <v>177.7</v>
      </c>
      <c r="DT45" s="5">
        <v>178.7</v>
      </c>
      <c r="DU45" s="5">
        <v>180.3</v>
      </c>
      <c r="DV45" s="5">
        <v>180.2</v>
      </c>
      <c r="DW45" s="5">
        <v>181</v>
      </c>
      <c r="DX45" s="5">
        <v>181.3</v>
      </c>
      <c r="DY45">
        <f t="shared" si="0"/>
        <v>0</v>
      </c>
    </row>
    <row r="46" spans="1:129" x14ac:dyDescent="0.35">
      <c r="A46" s="34" t="s">
        <v>33</v>
      </c>
      <c r="B46" s="5" t="s">
        <v>53</v>
      </c>
      <c r="C46" s="5" t="s">
        <v>18</v>
      </c>
      <c r="D46" s="5">
        <v>105</v>
      </c>
      <c r="E46" s="5">
        <v>105.5</v>
      </c>
      <c r="F46" s="5">
        <v>106</v>
      </c>
      <c r="G46" s="5">
        <v>106.4</v>
      </c>
      <c r="H46" s="5">
        <v>106.7</v>
      </c>
      <c r="I46" s="5">
        <v>107.2</v>
      </c>
      <c r="J46" s="5">
        <v>107.8</v>
      </c>
      <c r="K46" s="5">
        <v>108.3</v>
      </c>
      <c r="L46" s="5">
        <v>109</v>
      </c>
      <c r="M46" s="5">
        <v>109.7</v>
      </c>
      <c r="N46" s="5">
        <v>110.3</v>
      </c>
      <c r="O46" s="5">
        <v>110.9</v>
      </c>
      <c r="P46" s="5">
        <v>111.3</v>
      </c>
      <c r="Q46" s="5">
        <v>111.7</v>
      </c>
      <c r="R46" s="5">
        <v>112.1</v>
      </c>
      <c r="S46" s="5">
        <v>112.5</v>
      </c>
      <c r="T46" s="5">
        <v>112.9</v>
      </c>
      <c r="U46" s="5">
        <v>113.2</v>
      </c>
      <c r="V46" s="5">
        <v>113.6</v>
      </c>
      <c r="W46" s="5">
        <v>114.1</v>
      </c>
      <c r="X46" s="5">
        <v>114.5</v>
      </c>
      <c r="Y46" s="5">
        <v>114.9</v>
      </c>
      <c r="Z46" s="5">
        <v>115.4</v>
      </c>
      <c r="AA46" s="5">
        <v>115.8</v>
      </c>
      <c r="AB46" s="5">
        <v>116.1</v>
      </c>
      <c r="AC46" s="5">
        <v>116.5</v>
      </c>
      <c r="AD46" s="5">
        <v>116.9</v>
      </c>
      <c r="AE46" s="5">
        <v>117.2</v>
      </c>
      <c r="AF46" s="5">
        <v>117.4</v>
      </c>
      <c r="AG46" s="5">
        <v>117.6</v>
      </c>
      <c r="AH46" s="5">
        <v>117.9</v>
      </c>
      <c r="AI46" s="5">
        <v>118.2</v>
      </c>
      <c r="AJ46" s="5">
        <v>118.6</v>
      </c>
      <c r="AK46" s="5">
        <v>118.8</v>
      </c>
      <c r="AL46" s="5">
        <v>119.3</v>
      </c>
      <c r="AM46" s="5">
        <v>119.5</v>
      </c>
      <c r="AN46" s="5">
        <v>119.8</v>
      </c>
      <c r="AO46" s="5">
        <v>120.1</v>
      </c>
      <c r="AP46" s="5">
        <v>120.3</v>
      </c>
      <c r="AQ46" s="5">
        <v>120.5</v>
      </c>
      <c r="AR46" s="5">
        <v>120.7</v>
      </c>
      <c r="AS46" s="5">
        <v>121.1</v>
      </c>
      <c r="AT46" s="5">
        <v>121.1</v>
      </c>
      <c r="AU46" s="5">
        <v>121.4</v>
      </c>
      <c r="AV46" s="5">
        <v>121.6</v>
      </c>
      <c r="AW46" s="5">
        <v>121.9</v>
      </c>
      <c r="AX46" s="5">
        <v>122.1</v>
      </c>
      <c r="AY46" s="5">
        <v>122.2</v>
      </c>
      <c r="AZ46" s="5">
        <v>122.3</v>
      </c>
      <c r="BA46" s="5">
        <v>122.5</v>
      </c>
      <c r="BB46" s="5">
        <v>122.8</v>
      </c>
      <c r="BC46" s="5">
        <v>123</v>
      </c>
      <c r="BD46" s="5">
        <v>123.2</v>
      </c>
      <c r="BE46" s="5">
        <v>123.2</v>
      </c>
      <c r="BF46" s="5">
        <v>123.7</v>
      </c>
      <c r="BG46" s="5">
        <v>124.3</v>
      </c>
      <c r="BH46" s="5">
        <v>124.6</v>
      </c>
      <c r="BI46" s="5">
        <v>124.9</v>
      </c>
      <c r="BJ46" s="5">
        <v>125.4</v>
      </c>
      <c r="BK46" s="5">
        <v>125.6</v>
      </c>
      <c r="BL46" s="5">
        <v>125.9</v>
      </c>
      <c r="BM46" s="5">
        <v>126.1</v>
      </c>
      <c r="BN46" s="5">
        <v>126.7</v>
      </c>
      <c r="BO46" s="5">
        <v>127.4</v>
      </c>
      <c r="BP46" s="5">
        <v>127.9</v>
      </c>
      <c r="BQ46" s="5">
        <v>128.69999999999999</v>
      </c>
      <c r="BR46" s="5">
        <v>128.9</v>
      </c>
      <c r="BS46" s="5">
        <v>129</v>
      </c>
      <c r="BT46" s="5">
        <v>129.30000000000001</v>
      </c>
      <c r="BU46" s="5">
        <v>129.80000000000001</v>
      </c>
      <c r="BV46" s="5">
        <v>130.19999999999999</v>
      </c>
      <c r="BW46" s="5">
        <v>130.30000000000001</v>
      </c>
      <c r="BX46" s="5">
        <v>130.4</v>
      </c>
      <c r="BY46" s="5">
        <v>130.80000000000001</v>
      </c>
      <c r="BZ46" s="5">
        <v>131.19999999999999</v>
      </c>
      <c r="CA46" s="75">
        <v>131.35</v>
      </c>
      <c r="CB46" s="5">
        <v>131.69999999999999</v>
      </c>
      <c r="CC46" s="5">
        <v>131.69999999999999</v>
      </c>
      <c r="CD46" s="5">
        <v>131.9</v>
      </c>
      <c r="CE46" s="5">
        <v>132.19999999999999</v>
      </c>
      <c r="CF46" s="5">
        <v>132.19999999999999</v>
      </c>
      <c r="CG46" s="5">
        <v>132.4</v>
      </c>
      <c r="CH46" s="5">
        <v>132.6</v>
      </c>
      <c r="CI46" s="5">
        <v>132.80000000000001</v>
      </c>
      <c r="CJ46" s="5">
        <v>133.19999999999999</v>
      </c>
      <c r="CK46" s="5">
        <v>133.5</v>
      </c>
      <c r="CL46" s="5">
        <v>133.80000000000001</v>
      </c>
      <c r="CM46" s="5">
        <f t="shared" si="5"/>
        <v>133.80000000000001</v>
      </c>
      <c r="CN46" s="75">
        <v>135.19999999999999</v>
      </c>
      <c r="CO46" s="5">
        <v>136.6</v>
      </c>
      <c r="CP46" s="5">
        <v>136.6</v>
      </c>
      <c r="CQ46" s="5">
        <v>135.19999999999999</v>
      </c>
      <c r="CR46" s="5">
        <v>136.30000000000001</v>
      </c>
      <c r="CS46" s="5">
        <v>136.1</v>
      </c>
      <c r="CT46" s="5">
        <v>136.4</v>
      </c>
      <c r="CU46" s="5">
        <v>136.69999999999999</v>
      </c>
      <c r="CV46" s="5">
        <v>137.30000000000001</v>
      </c>
      <c r="CW46" s="5">
        <v>138.19999999999999</v>
      </c>
      <c r="CX46" s="5">
        <v>138.69999999999999</v>
      </c>
      <c r="CY46" s="5">
        <v>139.30000000000001</v>
      </c>
      <c r="CZ46" s="5">
        <v>140.19999999999999</v>
      </c>
      <c r="DA46" s="5">
        <v>140.5</v>
      </c>
      <c r="DB46" s="5">
        <v>141.9</v>
      </c>
      <c r="DC46" s="5">
        <v>143.6</v>
      </c>
      <c r="DD46" s="5">
        <v>143.6</v>
      </c>
      <c r="DE46" s="5">
        <v>144.4</v>
      </c>
      <c r="DF46" s="5">
        <v>145.30000000000001</v>
      </c>
      <c r="DG46" s="5">
        <v>146.69999999999999</v>
      </c>
      <c r="DH46" s="5">
        <v>148.5</v>
      </c>
      <c r="DI46" s="5">
        <v>150.4</v>
      </c>
      <c r="DJ46" s="5">
        <v>152.6</v>
      </c>
      <c r="DK46" s="5">
        <v>154.5</v>
      </c>
      <c r="DL46" s="5">
        <v>155.9</v>
      </c>
      <c r="DM46" s="5">
        <v>157.4</v>
      </c>
      <c r="DN46" s="5">
        <v>158.69999999999999</v>
      </c>
      <c r="DO46" s="5">
        <v>160</v>
      </c>
      <c r="DP46" s="5">
        <v>161.69999999999999</v>
      </c>
      <c r="DQ46" s="5">
        <v>162.6</v>
      </c>
      <c r="DR46" s="5">
        <v>163.5</v>
      </c>
      <c r="DS46" s="5">
        <v>164.5</v>
      </c>
      <c r="DT46" s="5">
        <v>165.3</v>
      </c>
      <c r="DU46" s="5">
        <v>167</v>
      </c>
      <c r="DV46" s="5">
        <v>167</v>
      </c>
      <c r="DW46" s="5">
        <v>167.7</v>
      </c>
      <c r="DX46" s="5">
        <v>168.1</v>
      </c>
      <c r="DY46">
        <f t="shared" si="0"/>
        <v>0</v>
      </c>
    </row>
    <row r="47" spans="1:129" x14ac:dyDescent="0.35">
      <c r="A47" s="34" t="s">
        <v>33</v>
      </c>
      <c r="B47" s="5" t="s">
        <v>53</v>
      </c>
      <c r="C47" s="5" t="s">
        <v>19</v>
      </c>
      <c r="D47" s="5">
        <v>105.8</v>
      </c>
      <c r="E47" s="5">
        <v>106.4</v>
      </c>
      <c r="F47" s="5">
        <v>107</v>
      </c>
      <c r="G47" s="5">
        <v>107.7</v>
      </c>
      <c r="H47" s="5">
        <v>108.3</v>
      </c>
      <c r="I47" s="5">
        <v>108.9</v>
      </c>
      <c r="J47" s="5">
        <v>109.5</v>
      </c>
      <c r="K47" s="5">
        <v>110.2</v>
      </c>
      <c r="L47" s="5">
        <v>111.1</v>
      </c>
      <c r="M47" s="5">
        <v>112</v>
      </c>
      <c r="N47" s="5">
        <v>113</v>
      </c>
      <c r="O47" s="5">
        <v>113.7</v>
      </c>
      <c r="P47" s="5">
        <v>114.3</v>
      </c>
      <c r="Q47" s="5">
        <v>114.7</v>
      </c>
      <c r="R47" s="5">
        <v>115.2</v>
      </c>
      <c r="S47" s="5">
        <v>115.7</v>
      </c>
      <c r="T47" s="5">
        <v>116.2</v>
      </c>
      <c r="U47" s="5">
        <v>116.7</v>
      </c>
      <c r="V47" s="5">
        <v>117.4</v>
      </c>
      <c r="W47" s="5">
        <v>117.9</v>
      </c>
      <c r="X47" s="5">
        <v>118.4</v>
      </c>
      <c r="Y47" s="5">
        <v>118.9</v>
      </c>
      <c r="Z47" s="5">
        <v>119.5</v>
      </c>
      <c r="AA47" s="5">
        <v>120</v>
      </c>
      <c r="AB47" s="5">
        <v>120.2</v>
      </c>
      <c r="AC47" s="5">
        <v>120.6</v>
      </c>
      <c r="AD47" s="5">
        <v>120.9</v>
      </c>
      <c r="AE47" s="5">
        <v>121.3</v>
      </c>
      <c r="AF47" s="5">
        <v>121.6</v>
      </c>
      <c r="AG47" s="5">
        <v>122.3</v>
      </c>
      <c r="AH47" s="5">
        <v>122.7</v>
      </c>
      <c r="AI47" s="5">
        <v>122.9</v>
      </c>
      <c r="AJ47" s="5">
        <v>123.2</v>
      </c>
      <c r="AK47" s="5">
        <v>123.6</v>
      </c>
      <c r="AL47" s="5">
        <v>124.2</v>
      </c>
      <c r="AM47" s="5">
        <v>124.5</v>
      </c>
      <c r="AN47" s="5">
        <v>124.9</v>
      </c>
      <c r="AO47" s="5">
        <v>125.3</v>
      </c>
      <c r="AP47" s="5">
        <v>125.5</v>
      </c>
      <c r="AQ47" s="5">
        <v>125.8</v>
      </c>
      <c r="AR47" s="5">
        <v>126.2</v>
      </c>
      <c r="AS47" s="5">
        <v>126.6</v>
      </c>
      <c r="AT47" s="5">
        <v>126.9</v>
      </c>
      <c r="AU47" s="5">
        <v>127.3</v>
      </c>
      <c r="AV47" s="5">
        <v>127.7</v>
      </c>
      <c r="AW47" s="5">
        <v>128</v>
      </c>
      <c r="AX47" s="5">
        <v>128.5</v>
      </c>
      <c r="AY47" s="5">
        <v>128.80000000000001</v>
      </c>
      <c r="AZ47" s="5">
        <v>129</v>
      </c>
      <c r="BA47" s="5">
        <v>129.30000000000001</v>
      </c>
      <c r="BB47" s="5">
        <v>129.6</v>
      </c>
      <c r="BC47" s="5">
        <v>130</v>
      </c>
      <c r="BD47" s="5">
        <v>130.19999999999999</v>
      </c>
      <c r="BE47" s="5">
        <v>130.19999999999999</v>
      </c>
      <c r="BF47" s="5">
        <v>130.4</v>
      </c>
      <c r="BG47" s="5">
        <v>131.4</v>
      </c>
      <c r="BH47" s="5">
        <v>132</v>
      </c>
      <c r="BI47" s="5">
        <v>132.6</v>
      </c>
      <c r="BJ47" s="5">
        <v>133.5</v>
      </c>
      <c r="BK47" s="5">
        <v>134</v>
      </c>
      <c r="BL47" s="5">
        <v>134.4</v>
      </c>
      <c r="BM47" s="5">
        <v>134.69999999999999</v>
      </c>
      <c r="BN47" s="5">
        <v>135.19999999999999</v>
      </c>
      <c r="BO47" s="5">
        <v>136.19999999999999</v>
      </c>
      <c r="BP47" s="5">
        <v>137</v>
      </c>
      <c r="BQ47" s="5">
        <v>137.4</v>
      </c>
      <c r="BR47" s="5">
        <v>137.9</v>
      </c>
      <c r="BS47" s="5">
        <v>138.30000000000001</v>
      </c>
      <c r="BT47" s="5">
        <v>139.1</v>
      </c>
      <c r="BU47" s="5">
        <v>139.69999999999999</v>
      </c>
      <c r="BV47" s="5">
        <v>140.5</v>
      </c>
      <c r="BW47" s="5">
        <v>140.80000000000001</v>
      </c>
      <c r="BX47" s="5">
        <v>141.1</v>
      </c>
      <c r="BY47" s="5">
        <v>141.4</v>
      </c>
      <c r="BZ47" s="5">
        <v>141.6</v>
      </c>
      <c r="CA47" s="75">
        <v>141.9</v>
      </c>
      <c r="CB47" s="5">
        <v>142.19999999999999</v>
      </c>
      <c r="CC47" s="5">
        <v>142.4</v>
      </c>
      <c r="CD47" s="5">
        <v>142.69999999999999</v>
      </c>
      <c r="CE47" s="5">
        <v>143</v>
      </c>
      <c r="CF47" s="5">
        <v>143.30000000000001</v>
      </c>
      <c r="CG47" s="5">
        <v>143.9</v>
      </c>
      <c r="CH47" s="5">
        <v>144.19999999999999</v>
      </c>
      <c r="CI47" s="5">
        <v>144.6</v>
      </c>
      <c r="CJ47" s="5">
        <v>144.9</v>
      </c>
      <c r="CK47" s="5">
        <v>145.19999999999999</v>
      </c>
      <c r="CL47" s="5">
        <v>145.6</v>
      </c>
      <c r="CM47" s="5">
        <f t="shared" si="5"/>
        <v>145.6</v>
      </c>
      <c r="CN47" s="75">
        <v>146.39999999999998</v>
      </c>
      <c r="CO47" s="5">
        <v>147.19999999999999</v>
      </c>
      <c r="CP47" s="5">
        <v>147.19999999999999</v>
      </c>
      <c r="CQ47" s="5">
        <v>147.80000000000001</v>
      </c>
      <c r="CR47" s="5">
        <v>148.1</v>
      </c>
      <c r="CS47" s="5">
        <v>148.30000000000001</v>
      </c>
      <c r="CT47" s="5">
        <v>148.80000000000001</v>
      </c>
      <c r="CU47" s="5">
        <v>149.6</v>
      </c>
      <c r="CV47" s="5">
        <v>150.19999999999999</v>
      </c>
      <c r="CW47" s="5">
        <v>151.80000000000001</v>
      </c>
      <c r="CX47" s="5">
        <v>152.6</v>
      </c>
      <c r="CY47" s="5">
        <v>153.4</v>
      </c>
      <c r="CZ47" s="5">
        <v>154.1</v>
      </c>
      <c r="DA47" s="5">
        <v>154.80000000000001</v>
      </c>
      <c r="DB47" s="5">
        <v>155.5</v>
      </c>
      <c r="DC47" s="5">
        <v>157.30000000000001</v>
      </c>
      <c r="DD47" s="5">
        <v>157.4</v>
      </c>
      <c r="DE47" s="5">
        <v>158.30000000000001</v>
      </c>
      <c r="DF47" s="5">
        <v>159.69999999999999</v>
      </c>
      <c r="DG47" s="5">
        <v>160.69999999999999</v>
      </c>
      <c r="DH47" s="5">
        <v>162.19999999999999</v>
      </c>
      <c r="DI47" s="5">
        <v>163.4</v>
      </c>
      <c r="DJ47" s="5">
        <v>164.9</v>
      </c>
      <c r="DK47" s="5">
        <v>166.3</v>
      </c>
      <c r="DL47" s="5">
        <v>167.8</v>
      </c>
      <c r="DM47" s="5">
        <v>169.4</v>
      </c>
      <c r="DN47" s="5">
        <v>170.6</v>
      </c>
      <c r="DO47" s="5">
        <v>171.6</v>
      </c>
      <c r="DP47" s="5">
        <v>173</v>
      </c>
      <c r="DQ47" s="5">
        <v>173.6</v>
      </c>
      <c r="DR47" s="5">
        <v>174.7</v>
      </c>
      <c r="DS47" s="5">
        <v>175.7</v>
      </c>
      <c r="DT47" s="5">
        <v>176.6</v>
      </c>
      <c r="DU47" s="5">
        <v>178.2</v>
      </c>
      <c r="DV47" s="5">
        <v>178.2</v>
      </c>
      <c r="DW47" s="5">
        <v>178.9</v>
      </c>
      <c r="DX47" s="5">
        <v>179.3</v>
      </c>
      <c r="DY47">
        <f t="shared" si="0"/>
        <v>0</v>
      </c>
    </row>
    <row r="48" spans="1:129" x14ac:dyDescent="0.35">
      <c r="A48" s="34" t="s">
        <v>33</v>
      </c>
      <c r="B48" s="5" t="s">
        <v>20</v>
      </c>
      <c r="C48" s="5" t="s">
        <v>20</v>
      </c>
      <c r="D48" s="5">
        <v>100.3</v>
      </c>
      <c r="E48" s="5">
        <v>100.4</v>
      </c>
      <c r="F48" s="5">
        <v>100.4</v>
      </c>
      <c r="G48" s="5">
        <v>100.5</v>
      </c>
      <c r="H48" s="5">
        <v>100.5</v>
      </c>
      <c r="I48" s="5">
        <v>106.6</v>
      </c>
      <c r="J48" s="5">
        <v>107.7</v>
      </c>
      <c r="K48" s="5">
        <v>108.9</v>
      </c>
      <c r="L48" s="5">
        <v>109.7</v>
      </c>
      <c r="M48" s="5">
        <v>110.5</v>
      </c>
      <c r="N48" s="5">
        <v>111.1</v>
      </c>
      <c r="O48" s="5">
        <v>110.7</v>
      </c>
      <c r="P48" s="5">
        <v>111.6</v>
      </c>
      <c r="Q48" s="5">
        <v>112.5</v>
      </c>
      <c r="R48" s="5">
        <v>113.2</v>
      </c>
      <c r="S48" s="5">
        <v>113.9</v>
      </c>
      <c r="T48" s="5">
        <v>114.3</v>
      </c>
      <c r="U48" s="5">
        <v>113.9</v>
      </c>
      <c r="V48" s="5">
        <v>114.8</v>
      </c>
      <c r="W48" s="5">
        <v>115.5</v>
      </c>
      <c r="X48" s="5">
        <v>116.1</v>
      </c>
      <c r="Y48" s="5">
        <v>116.7</v>
      </c>
      <c r="Z48" s="5">
        <v>117.1</v>
      </c>
      <c r="AA48" s="5">
        <v>116.5</v>
      </c>
      <c r="AB48" s="5">
        <v>117.3</v>
      </c>
      <c r="AC48" s="5">
        <v>118.1</v>
      </c>
      <c r="AD48" s="5">
        <v>118.6</v>
      </c>
      <c r="AE48" s="5">
        <v>119.2</v>
      </c>
      <c r="AF48" s="5">
        <v>119.6</v>
      </c>
      <c r="AG48" s="5">
        <v>119</v>
      </c>
      <c r="AH48" s="5">
        <v>119.9</v>
      </c>
      <c r="AI48" s="5">
        <v>120.9</v>
      </c>
      <c r="AJ48" s="5">
        <v>121.6</v>
      </c>
      <c r="AK48" s="5">
        <v>122.4</v>
      </c>
      <c r="AL48" s="5">
        <v>122.9</v>
      </c>
      <c r="AM48" s="5">
        <v>122.4</v>
      </c>
      <c r="AN48" s="5">
        <v>123.4</v>
      </c>
      <c r="AO48" s="5">
        <v>124.4</v>
      </c>
      <c r="AP48" s="5">
        <v>124.9</v>
      </c>
      <c r="AQ48" s="5">
        <v>125.6</v>
      </c>
      <c r="AR48" s="5">
        <v>126</v>
      </c>
      <c r="AS48" s="5">
        <v>125.5</v>
      </c>
      <c r="AT48" s="5">
        <v>126.4</v>
      </c>
      <c r="AU48" s="5">
        <v>127.3</v>
      </c>
      <c r="AV48" s="5">
        <v>127.9</v>
      </c>
      <c r="AW48" s="5">
        <v>128.69999999999999</v>
      </c>
      <c r="AX48" s="5">
        <v>129.1</v>
      </c>
      <c r="AY48" s="5">
        <v>128.5</v>
      </c>
      <c r="AZ48" s="5">
        <v>129.6</v>
      </c>
      <c r="BA48" s="5">
        <v>130.5</v>
      </c>
      <c r="BB48" s="5">
        <v>131.1</v>
      </c>
      <c r="BC48" s="5">
        <v>131.69999999999999</v>
      </c>
      <c r="BD48" s="5">
        <v>132.1</v>
      </c>
      <c r="BE48" s="5">
        <v>131.4</v>
      </c>
      <c r="BF48" s="5">
        <v>132.6</v>
      </c>
      <c r="BG48" s="5">
        <v>134.4</v>
      </c>
      <c r="BH48" s="5">
        <v>135.69999999999999</v>
      </c>
      <c r="BI48" s="5">
        <v>137.30000000000001</v>
      </c>
      <c r="BJ48" s="5">
        <v>138.6</v>
      </c>
      <c r="BK48" s="5">
        <v>139.1</v>
      </c>
      <c r="BL48" s="5">
        <v>140.4</v>
      </c>
      <c r="BM48" s="5">
        <v>141.30000000000001</v>
      </c>
      <c r="BN48" s="5">
        <v>142</v>
      </c>
      <c r="BO48" s="5">
        <v>142.9</v>
      </c>
      <c r="BP48" s="5">
        <v>143.19999999999999</v>
      </c>
      <c r="BQ48" s="5">
        <v>142.5</v>
      </c>
      <c r="BR48" s="5">
        <v>143.6</v>
      </c>
      <c r="BS48" s="5">
        <v>144.6</v>
      </c>
      <c r="BT48" s="5">
        <v>145.30000000000001</v>
      </c>
      <c r="BU48" s="5">
        <v>146.30000000000001</v>
      </c>
      <c r="BV48" s="5">
        <v>146.9</v>
      </c>
      <c r="BW48" s="5">
        <v>146.5</v>
      </c>
      <c r="BX48" s="5">
        <v>147.69999999999999</v>
      </c>
      <c r="BY48" s="5">
        <v>148.5</v>
      </c>
      <c r="BZ48" s="5">
        <v>149</v>
      </c>
      <c r="CA48" s="75">
        <v>149.25</v>
      </c>
      <c r="CB48" s="5">
        <v>150.1</v>
      </c>
      <c r="CC48" s="5">
        <v>149.4</v>
      </c>
      <c r="CD48" s="5">
        <v>150.6</v>
      </c>
      <c r="CE48" s="5">
        <v>151.6</v>
      </c>
      <c r="CF48" s="5">
        <v>152.19999999999999</v>
      </c>
      <c r="CG48" s="5">
        <v>153</v>
      </c>
      <c r="CH48" s="5">
        <v>153.5</v>
      </c>
      <c r="CI48" s="5">
        <v>152.80000000000001</v>
      </c>
      <c r="CJ48" s="5">
        <v>153.9</v>
      </c>
      <c r="CK48" s="5">
        <v>154.80000000000001</v>
      </c>
      <c r="CL48" s="5">
        <v>154.5</v>
      </c>
      <c r="CM48" s="5">
        <v>155.6</v>
      </c>
      <c r="CN48" s="75">
        <v>154.875</v>
      </c>
      <c r="CO48" s="5">
        <v>154.69999999999999</v>
      </c>
      <c r="CP48" s="5">
        <v>154.69999999999999</v>
      </c>
      <c r="CQ48" s="5">
        <v>155.5</v>
      </c>
      <c r="CR48" s="5">
        <v>156.30000000000001</v>
      </c>
      <c r="CS48" s="5">
        <v>156.5</v>
      </c>
      <c r="CT48" s="5">
        <v>158</v>
      </c>
      <c r="CU48" s="5">
        <v>158.4</v>
      </c>
      <c r="CV48" s="5">
        <v>157.69999999999999</v>
      </c>
      <c r="CW48" s="5">
        <v>159.80000000000001</v>
      </c>
      <c r="CX48" s="5">
        <v>159.9</v>
      </c>
      <c r="CY48" s="5">
        <v>161.4</v>
      </c>
      <c r="CZ48" s="5">
        <v>161.6</v>
      </c>
      <c r="DA48" s="5">
        <v>160.5</v>
      </c>
      <c r="DB48" s="5">
        <v>161.5</v>
      </c>
      <c r="DC48" s="5">
        <v>162.1</v>
      </c>
      <c r="DD48" s="5">
        <v>162.1</v>
      </c>
      <c r="DE48" s="5">
        <v>163.6</v>
      </c>
      <c r="DF48" s="5">
        <v>164.2</v>
      </c>
      <c r="DG48" s="5">
        <v>163.4</v>
      </c>
      <c r="DH48" s="5">
        <v>164.5</v>
      </c>
      <c r="DI48" s="5">
        <v>165.5</v>
      </c>
      <c r="DJ48" s="5">
        <v>165.3</v>
      </c>
      <c r="DK48" s="5">
        <v>167</v>
      </c>
      <c r="DL48" s="5">
        <v>167.5</v>
      </c>
      <c r="DM48" s="5">
        <v>166.8</v>
      </c>
      <c r="DN48" s="5">
        <v>167.8</v>
      </c>
      <c r="DO48" s="5">
        <v>169</v>
      </c>
      <c r="DP48" s="5">
        <v>169.5</v>
      </c>
      <c r="DQ48" s="5">
        <v>171.2</v>
      </c>
      <c r="DR48" s="5">
        <v>171.8</v>
      </c>
      <c r="DS48" s="5">
        <v>170.7</v>
      </c>
      <c r="DT48" s="5">
        <v>172.1</v>
      </c>
      <c r="DU48" s="5">
        <v>173.5</v>
      </c>
      <c r="DV48" s="5">
        <v>173.5</v>
      </c>
      <c r="DW48" s="5">
        <v>175.2</v>
      </c>
      <c r="DX48" s="5">
        <v>175.6</v>
      </c>
      <c r="DY48">
        <f t="shared" si="0"/>
        <v>0</v>
      </c>
    </row>
    <row r="49" spans="1:129" x14ac:dyDescent="0.35">
      <c r="A49" s="34" t="s">
        <v>33</v>
      </c>
      <c r="B49" s="5" t="s">
        <v>21</v>
      </c>
      <c r="C49" s="5" t="s">
        <v>21</v>
      </c>
      <c r="D49" s="5">
        <v>105.4</v>
      </c>
      <c r="E49" s="5">
        <v>105.7</v>
      </c>
      <c r="F49" s="5">
        <v>106</v>
      </c>
      <c r="G49" s="5">
        <v>106.4</v>
      </c>
      <c r="H49" s="5">
        <v>107.2</v>
      </c>
      <c r="I49" s="5">
        <v>108</v>
      </c>
      <c r="J49" s="5">
        <v>108.6</v>
      </c>
      <c r="K49" s="5">
        <v>109.3</v>
      </c>
      <c r="L49" s="5">
        <v>109.5</v>
      </c>
      <c r="M49" s="5">
        <v>109.7</v>
      </c>
      <c r="N49" s="5">
        <v>110</v>
      </c>
      <c r="O49" s="5">
        <v>110.4</v>
      </c>
      <c r="P49" s="5">
        <v>111</v>
      </c>
      <c r="Q49" s="5">
        <v>111.1</v>
      </c>
      <c r="R49" s="5">
        <v>110.9</v>
      </c>
      <c r="S49" s="5">
        <v>110.9</v>
      </c>
      <c r="T49" s="5">
        <v>111.1</v>
      </c>
      <c r="U49" s="5">
        <v>111.2</v>
      </c>
      <c r="V49" s="5">
        <v>111.6</v>
      </c>
      <c r="W49" s="5">
        <v>111.8</v>
      </c>
      <c r="X49" s="5">
        <v>111.8</v>
      </c>
      <c r="Y49" s="5">
        <v>112</v>
      </c>
      <c r="Z49" s="5">
        <v>112.6</v>
      </c>
      <c r="AA49" s="5">
        <v>113</v>
      </c>
      <c r="AB49" s="5">
        <v>113.4</v>
      </c>
      <c r="AC49" s="5">
        <v>114</v>
      </c>
      <c r="AD49" s="5">
        <v>114.4</v>
      </c>
      <c r="AE49" s="5">
        <v>114.7</v>
      </c>
      <c r="AF49" s="5">
        <v>114.9</v>
      </c>
      <c r="AG49" s="5">
        <v>115.1</v>
      </c>
      <c r="AH49" s="5">
        <v>115.3</v>
      </c>
      <c r="AI49" s="5">
        <v>115.3</v>
      </c>
      <c r="AJ49" s="5">
        <v>115.1</v>
      </c>
      <c r="AK49" s="5">
        <v>114.9</v>
      </c>
      <c r="AL49" s="5">
        <v>115.1</v>
      </c>
      <c r="AM49" s="5">
        <v>116</v>
      </c>
      <c r="AN49" s="5">
        <v>116.9</v>
      </c>
      <c r="AO49" s="5">
        <v>116</v>
      </c>
      <c r="AP49" s="5">
        <v>114.8</v>
      </c>
      <c r="AQ49" s="5">
        <v>114.6</v>
      </c>
      <c r="AR49" s="5">
        <v>115</v>
      </c>
      <c r="AS49" s="5">
        <v>115.5</v>
      </c>
      <c r="AT49" s="5">
        <v>115.5</v>
      </c>
      <c r="AU49" s="5">
        <v>114.7</v>
      </c>
      <c r="AV49" s="5">
        <v>114.8</v>
      </c>
      <c r="AW49" s="5">
        <v>115.2</v>
      </c>
      <c r="AX49" s="5">
        <v>116.2</v>
      </c>
      <c r="AY49" s="5">
        <v>117.8</v>
      </c>
      <c r="AZ49" s="5">
        <v>118</v>
      </c>
      <c r="BA49" s="5">
        <v>119.2</v>
      </c>
      <c r="BB49" s="5">
        <v>120.8</v>
      </c>
      <c r="BC49" s="5">
        <v>121.4</v>
      </c>
      <c r="BD49" s="5">
        <v>120.1</v>
      </c>
      <c r="BE49" s="5">
        <v>119</v>
      </c>
      <c r="BF49" s="5">
        <v>119.7</v>
      </c>
      <c r="BG49" s="5">
        <v>118.9</v>
      </c>
      <c r="BH49" s="5">
        <v>120.6</v>
      </c>
      <c r="BI49" s="5">
        <v>122.6</v>
      </c>
      <c r="BJ49" s="5">
        <v>125.7</v>
      </c>
      <c r="BK49" s="5">
        <v>126.8</v>
      </c>
      <c r="BL49" s="5">
        <v>127.3</v>
      </c>
      <c r="BM49" s="5">
        <v>127.3</v>
      </c>
      <c r="BN49" s="5">
        <v>126.4</v>
      </c>
      <c r="BO49" s="5">
        <v>124.6</v>
      </c>
      <c r="BP49" s="5">
        <v>124.7</v>
      </c>
      <c r="BQ49" s="5">
        <v>126.5</v>
      </c>
      <c r="BR49" s="5">
        <v>128.1</v>
      </c>
      <c r="BS49" s="5">
        <v>129.80000000000001</v>
      </c>
      <c r="BT49" s="5">
        <v>131.19999999999999</v>
      </c>
      <c r="BU49" s="5">
        <v>133.4</v>
      </c>
      <c r="BV49" s="5">
        <v>136.69999999999999</v>
      </c>
      <c r="BW49" s="5">
        <v>132.4</v>
      </c>
      <c r="BX49" s="5">
        <v>128.6</v>
      </c>
      <c r="BY49" s="5">
        <v>127.1</v>
      </c>
      <c r="BZ49" s="5">
        <v>128.80000000000001</v>
      </c>
      <c r="CA49" s="75">
        <v>128.94999999999999</v>
      </c>
      <c r="CB49" s="5">
        <v>129.4</v>
      </c>
      <c r="CC49" s="5">
        <v>130.5</v>
      </c>
      <c r="CD49" s="5">
        <v>127</v>
      </c>
      <c r="CE49" s="5">
        <v>125.5</v>
      </c>
      <c r="CF49" s="5">
        <v>126.6</v>
      </c>
      <c r="CG49" s="5">
        <v>128.9</v>
      </c>
      <c r="CH49" s="5">
        <v>132.19999999999999</v>
      </c>
      <c r="CI49" s="5">
        <v>133.6</v>
      </c>
      <c r="CJ49" s="5">
        <v>135.1</v>
      </c>
      <c r="CK49" s="5">
        <v>138.9</v>
      </c>
      <c r="CL49" s="5">
        <v>141.4</v>
      </c>
      <c r="CM49" s="5">
        <v>137.1</v>
      </c>
      <c r="CN49" s="75">
        <v>138.17500000000001</v>
      </c>
      <c r="CO49" s="5">
        <v>137.1</v>
      </c>
      <c r="CP49" s="5">
        <v>137.1</v>
      </c>
      <c r="CQ49" s="5">
        <v>138.30000000000001</v>
      </c>
      <c r="CR49" s="5">
        <v>137.19999999999999</v>
      </c>
      <c r="CS49" s="5">
        <v>137.1</v>
      </c>
      <c r="CT49" s="5">
        <v>137.30000000000001</v>
      </c>
      <c r="CU49" s="5">
        <v>137.9</v>
      </c>
      <c r="CV49" s="5">
        <v>142.9</v>
      </c>
      <c r="CW49" s="5">
        <v>149.1</v>
      </c>
      <c r="CX49" s="5">
        <v>154.80000000000001</v>
      </c>
      <c r="CY49" s="5">
        <v>154.9</v>
      </c>
      <c r="CZ49" s="5">
        <v>155.5</v>
      </c>
      <c r="DA49" s="5">
        <v>156.1</v>
      </c>
      <c r="DB49" s="5">
        <v>157.69999999999999</v>
      </c>
      <c r="DC49" s="5">
        <v>160.69999999999999</v>
      </c>
      <c r="DD49" s="5">
        <v>160.80000000000001</v>
      </c>
      <c r="DE49" s="5">
        <v>162.19999999999999</v>
      </c>
      <c r="DF49" s="5">
        <v>161.6</v>
      </c>
      <c r="DG49" s="5">
        <v>161.69999999999999</v>
      </c>
      <c r="DH49" s="5">
        <v>161.6</v>
      </c>
      <c r="DI49" s="5">
        <v>163</v>
      </c>
      <c r="DJ49" s="5">
        <v>164.5</v>
      </c>
      <c r="DK49" s="5">
        <v>170.5</v>
      </c>
      <c r="DL49" s="5">
        <v>173.5</v>
      </c>
      <c r="DM49" s="5">
        <v>174.9</v>
      </c>
      <c r="DN49" s="5">
        <v>179.5</v>
      </c>
      <c r="DO49" s="5">
        <v>178.4</v>
      </c>
      <c r="DP49" s="5">
        <v>179.2</v>
      </c>
      <c r="DQ49" s="5">
        <v>180</v>
      </c>
      <c r="DR49" s="5">
        <v>180.3</v>
      </c>
      <c r="DS49" s="5">
        <v>180.6</v>
      </c>
      <c r="DT49" s="5">
        <v>180.1</v>
      </c>
      <c r="DU49" s="5">
        <v>182.8</v>
      </c>
      <c r="DV49" s="5">
        <v>182.6</v>
      </c>
      <c r="DW49" s="5">
        <v>182.1</v>
      </c>
      <c r="DX49" s="5">
        <v>183.4</v>
      </c>
      <c r="DY49">
        <f t="shared" si="0"/>
        <v>0</v>
      </c>
    </row>
    <row r="50" spans="1:129" x14ac:dyDescent="0.35">
      <c r="A50" s="34" t="s">
        <v>33</v>
      </c>
      <c r="B50" s="5" t="s">
        <v>20</v>
      </c>
      <c r="C50" s="5" t="s">
        <v>22</v>
      </c>
      <c r="D50" s="5">
        <v>104.8</v>
      </c>
      <c r="E50" s="5">
        <v>105.2</v>
      </c>
      <c r="F50" s="5">
        <v>105.7</v>
      </c>
      <c r="G50" s="5">
        <v>106.5</v>
      </c>
      <c r="H50" s="5">
        <v>107.1</v>
      </c>
      <c r="I50" s="5">
        <v>107.7</v>
      </c>
      <c r="J50" s="5">
        <v>108.1</v>
      </c>
      <c r="K50" s="5">
        <v>108.7</v>
      </c>
      <c r="L50" s="5">
        <v>109.6</v>
      </c>
      <c r="M50" s="5">
        <v>110.2</v>
      </c>
      <c r="N50" s="5">
        <v>110.9</v>
      </c>
      <c r="O50" s="5">
        <v>111.3</v>
      </c>
      <c r="P50" s="5">
        <v>111.9</v>
      </c>
      <c r="Q50" s="5">
        <v>112.6</v>
      </c>
      <c r="R50" s="5">
        <v>113</v>
      </c>
      <c r="S50" s="5">
        <v>113.4</v>
      </c>
      <c r="T50" s="5">
        <v>114.1</v>
      </c>
      <c r="U50" s="5">
        <v>114.3</v>
      </c>
      <c r="V50" s="5">
        <v>114.9</v>
      </c>
      <c r="W50" s="5">
        <v>115.3</v>
      </c>
      <c r="X50" s="5">
        <v>115.5</v>
      </c>
      <c r="Y50" s="5">
        <v>115.8</v>
      </c>
      <c r="Z50" s="5">
        <v>116.4</v>
      </c>
      <c r="AA50" s="5">
        <v>116.8</v>
      </c>
      <c r="AB50" s="5">
        <v>117.2</v>
      </c>
      <c r="AC50" s="5">
        <v>117.7</v>
      </c>
      <c r="AD50" s="5">
        <v>118</v>
      </c>
      <c r="AE50" s="5">
        <v>118.4</v>
      </c>
      <c r="AF50" s="5">
        <v>118.7</v>
      </c>
      <c r="AG50" s="5">
        <v>119.2</v>
      </c>
      <c r="AH50" s="5">
        <v>119.5</v>
      </c>
      <c r="AI50" s="5">
        <v>120</v>
      </c>
      <c r="AJ50" s="5">
        <v>120.4</v>
      </c>
      <c r="AK50" s="5">
        <v>120.7</v>
      </c>
      <c r="AL50" s="5">
        <v>121</v>
      </c>
      <c r="AM50" s="5">
        <v>121</v>
      </c>
      <c r="AN50" s="5">
        <v>121.6</v>
      </c>
      <c r="AO50" s="5">
        <v>121.8</v>
      </c>
      <c r="AP50" s="5">
        <v>122.3</v>
      </c>
      <c r="AQ50" s="5">
        <v>122.8</v>
      </c>
      <c r="AR50" s="5">
        <v>123.2</v>
      </c>
      <c r="AS50" s="5">
        <v>123.2</v>
      </c>
      <c r="AT50" s="5">
        <v>123.5</v>
      </c>
      <c r="AU50" s="5">
        <v>123.9</v>
      </c>
      <c r="AV50" s="5">
        <v>124.3</v>
      </c>
      <c r="AW50" s="5">
        <v>124.5</v>
      </c>
      <c r="AX50" s="5">
        <v>124.7</v>
      </c>
      <c r="AY50" s="5">
        <v>125</v>
      </c>
      <c r="AZ50" s="5">
        <v>125.1</v>
      </c>
      <c r="BA50" s="5">
        <v>125.3</v>
      </c>
      <c r="BB50" s="5">
        <v>125.6</v>
      </c>
      <c r="BC50" s="5">
        <v>126</v>
      </c>
      <c r="BD50" s="5">
        <v>126.5</v>
      </c>
      <c r="BE50" s="5">
        <v>126.8</v>
      </c>
      <c r="BF50" s="5">
        <v>127.2</v>
      </c>
      <c r="BG50" s="5">
        <v>127.7</v>
      </c>
      <c r="BH50" s="5">
        <v>128.1</v>
      </c>
      <c r="BI50" s="5">
        <v>128.30000000000001</v>
      </c>
      <c r="BJ50" s="5">
        <v>128.80000000000001</v>
      </c>
      <c r="BK50" s="5">
        <v>129.30000000000001</v>
      </c>
      <c r="BL50" s="5">
        <v>129.5</v>
      </c>
      <c r="BM50" s="5">
        <v>129.9</v>
      </c>
      <c r="BN50" s="5">
        <v>130.80000000000001</v>
      </c>
      <c r="BO50" s="5">
        <v>131.80000000000001</v>
      </c>
      <c r="BP50" s="5">
        <v>132.5</v>
      </c>
      <c r="BQ50" s="5">
        <v>133.1</v>
      </c>
      <c r="BR50" s="5">
        <v>133.6</v>
      </c>
      <c r="BS50" s="5">
        <v>134.4</v>
      </c>
      <c r="BT50" s="5">
        <v>134.9</v>
      </c>
      <c r="BU50" s="5">
        <v>135.1</v>
      </c>
      <c r="BV50" s="5">
        <v>135.80000000000001</v>
      </c>
      <c r="BW50" s="5">
        <v>136.19999999999999</v>
      </c>
      <c r="BX50" s="5">
        <v>136.30000000000001</v>
      </c>
      <c r="BY50" s="5">
        <v>136.6</v>
      </c>
      <c r="BZ50" s="5">
        <v>136.80000000000001</v>
      </c>
      <c r="CA50" s="75">
        <v>137</v>
      </c>
      <c r="CB50" s="5">
        <v>137.19999999999999</v>
      </c>
      <c r="CC50" s="5">
        <v>137.4</v>
      </c>
      <c r="CD50" s="5">
        <v>137.69999999999999</v>
      </c>
      <c r="CE50" s="5">
        <v>138.1</v>
      </c>
      <c r="CF50" s="5">
        <v>138.30000000000001</v>
      </c>
      <c r="CG50" s="5">
        <v>138.69999999999999</v>
      </c>
      <c r="CH50" s="5">
        <v>139.1</v>
      </c>
      <c r="CI50" s="5">
        <v>139.80000000000001</v>
      </c>
      <c r="CJ50" s="5">
        <v>140.1</v>
      </c>
      <c r="CK50" s="5">
        <v>140.4</v>
      </c>
      <c r="CL50" s="5">
        <v>140.80000000000001</v>
      </c>
      <c r="CM50" s="5">
        <f>CL50</f>
        <v>140.80000000000001</v>
      </c>
      <c r="CN50" s="75">
        <v>140.60000000000002</v>
      </c>
      <c r="CO50" s="5">
        <v>140.4</v>
      </c>
      <c r="CP50" s="5">
        <v>140.4</v>
      </c>
      <c r="CQ50" s="5">
        <v>144.5</v>
      </c>
      <c r="CR50" s="5">
        <v>145.4</v>
      </c>
      <c r="CS50" s="5">
        <v>145.1</v>
      </c>
      <c r="CT50" s="5">
        <v>145.1</v>
      </c>
      <c r="CU50" s="5">
        <v>145.5</v>
      </c>
      <c r="CV50" s="5">
        <v>145.69999999999999</v>
      </c>
      <c r="CW50" s="5">
        <v>146.5</v>
      </c>
      <c r="CX50" s="5">
        <v>147.19999999999999</v>
      </c>
      <c r="CY50" s="5">
        <v>147.6</v>
      </c>
      <c r="CZ50" s="5">
        <v>150.1</v>
      </c>
      <c r="DA50" s="5">
        <v>149.80000000000001</v>
      </c>
      <c r="DB50" s="5">
        <v>150.69999999999999</v>
      </c>
      <c r="DC50" s="5">
        <v>153.19999999999999</v>
      </c>
      <c r="DD50" s="5">
        <v>153.30000000000001</v>
      </c>
      <c r="DE50" s="5">
        <v>154.30000000000001</v>
      </c>
      <c r="DF50" s="5">
        <v>155.19999999999999</v>
      </c>
      <c r="DG50" s="5">
        <v>156</v>
      </c>
      <c r="DH50" s="5">
        <v>156.80000000000001</v>
      </c>
      <c r="DI50" s="5">
        <v>157.4</v>
      </c>
      <c r="DJ50" s="5">
        <v>158.6</v>
      </c>
      <c r="DK50" s="5">
        <v>159.80000000000001</v>
      </c>
      <c r="DL50" s="5">
        <v>161.1</v>
      </c>
      <c r="DM50" s="5">
        <v>162.1</v>
      </c>
      <c r="DN50" s="5">
        <v>163.1</v>
      </c>
      <c r="DO50" s="5">
        <v>164.2</v>
      </c>
      <c r="DP50" s="5">
        <v>165</v>
      </c>
      <c r="DQ50" s="5">
        <v>166</v>
      </c>
      <c r="DR50" s="5">
        <v>166.9</v>
      </c>
      <c r="DS50" s="5">
        <v>167.3</v>
      </c>
      <c r="DT50" s="5">
        <v>168</v>
      </c>
      <c r="DU50" s="5">
        <v>169.2</v>
      </c>
      <c r="DV50" s="5">
        <v>169.2</v>
      </c>
      <c r="DW50" s="5">
        <v>169.6</v>
      </c>
      <c r="DX50" s="5">
        <v>170.1</v>
      </c>
      <c r="DY50">
        <f t="shared" si="0"/>
        <v>0</v>
      </c>
    </row>
    <row r="51" spans="1:129" x14ac:dyDescent="0.35">
      <c r="A51" s="34" t="s">
        <v>33</v>
      </c>
      <c r="B51" s="5" t="s">
        <v>23</v>
      </c>
      <c r="C51" s="5" t="s">
        <v>23</v>
      </c>
      <c r="D51" s="5">
        <v>104.1</v>
      </c>
      <c r="E51" s="5">
        <v>104.7</v>
      </c>
      <c r="F51" s="5">
        <v>105.2</v>
      </c>
      <c r="G51" s="5">
        <v>105.7</v>
      </c>
      <c r="H51" s="5">
        <v>106.2</v>
      </c>
      <c r="I51" s="5">
        <v>106.5</v>
      </c>
      <c r="J51" s="5">
        <v>107.1</v>
      </c>
      <c r="K51" s="5">
        <v>107.6</v>
      </c>
      <c r="L51" s="5">
        <v>107.9</v>
      </c>
      <c r="M51" s="5">
        <v>108.2</v>
      </c>
      <c r="N51" s="5">
        <v>108.6</v>
      </c>
      <c r="O51" s="5">
        <v>109</v>
      </c>
      <c r="P51" s="5">
        <v>109.7</v>
      </c>
      <c r="Q51" s="5">
        <v>110.4</v>
      </c>
      <c r="R51" s="5">
        <v>110.8</v>
      </c>
      <c r="S51" s="5">
        <v>111</v>
      </c>
      <c r="T51" s="5">
        <v>111.2</v>
      </c>
      <c r="U51" s="5">
        <v>111.4</v>
      </c>
      <c r="V51" s="5">
        <v>111.5</v>
      </c>
      <c r="W51" s="5">
        <v>112.2</v>
      </c>
      <c r="X51" s="5">
        <v>112.3</v>
      </c>
      <c r="Y51" s="5">
        <v>112.6</v>
      </c>
      <c r="Z51" s="5">
        <v>113</v>
      </c>
      <c r="AA51" s="5">
        <v>113.2</v>
      </c>
      <c r="AB51" s="5">
        <v>113.7</v>
      </c>
      <c r="AC51" s="5">
        <v>114.1</v>
      </c>
      <c r="AD51" s="5">
        <v>114.3</v>
      </c>
      <c r="AE51" s="5">
        <v>114.6</v>
      </c>
      <c r="AF51" s="5">
        <v>114.9</v>
      </c>
      <c r="AG51" s="5">
        <v>115.4</v>
      </c>
      <c r="AH51" s="5">
        <v>116</v>
      </c>
      <c r="AI51" s="5">
        <v>116.6</v>
      </c>
      <c r="AJ51" s="5">
        <v>117.1</v>
      </c>
      <c r="AK51" s="5">
        <v>117.7</v>
      </c>
      <c r="AL51" s="5">
        <v>118.1</v>
      </c>
      <c r="AM51" s="5">
        <v>118.6</v>
      </c>
      <c r="AN51" s="5">
        <v>119.1</v>
      </c>
      <c r="AO51" s="5">
        <v>119.5</v>
      </c>
      <c r="AP51" s="5">
        <v>119.7</v>
      </c>
      <c r="AQ51" s="5">
        <v>120</v>
      </c>
      <c r="AR51" s="5">
        <v>120.3</v>
      </c>
      <c r="AS51" s="5">
        <v>120.6</v>
      </c>
      <c r="AT51" s="5">
        <v>120.9</v>
      </c>
      <c r="AU51" s="5">
        <v>121.2</v>
      </c>
      <c r="AV51" s="5">
        <v>121.4</v>
      </c>
      <c r="AW51" s="5">
        <v>121.8</v>
      </c>
      <c r="AX51" s="5">
        <v>122.1</v>
      </c>
      <c r="AY51" s="5">
        <v>122.3</v>
      </c>
      <c r="AZ51" s="5">
        <v>122.6</v>
      </c>
      <c r="BA51" s="5">
        <v>122.9</v>
      </c>
      <c r="BB51" s="5">
        <v>123.1</v>
      </c>
      <c r="BC51" s="5">
        <v>123.4</v>
      </c>
      <c r="BD51" s="5">
        <v>123.6</v>
      </c>
      <c r="BE51" s="5">
        <v>123.8</v>
      </c>
      <c r="BF51" s="5">
        <v>125</v>
      </c>
      <c r="BG51" s="5">
        <v>125.7</v>
      </c>
      <c r="BH51" s="5">
        <v>126.1</v>
      </c>
      <c r="BI51" s="5">
        <v>126.6</v>
      </c>
      <c r="BJ51" s="5">
        <v>127.4</v>
      </c>
      <c r="BK51" s="5">
        <v>128.19999999999999</v>
      </c>
      <c r="BL51" s="5">
        <v>129</v>
      </c>
      <c r="BM51" s="5">
        <v>129.80000000000001</v>
      </c>
      <c r="BN51" s="5">
        <v>130.5</v>
      </c>
      <c r="BO51" s="5">
        <v>131.30000000000001</v>
      </c>
      <c r="BP51" s="5">
        <v>132</v>
      </c>
      <c r="BQ51" s="5">
        <v>132.6</v>
      </c>
      <c r="BR51" s="5">
        <v>133.6</v>
      </c>
      <c r="BS51" s="5">
        <v>134.9</v>
      </c>
      <c r="BT51" s="5">
        <v>135.69999999999999</v>
      </c>
      <c r="BU51" s="5">
        <v>136.19999999999999</v>
      </c>
      <c r="BV51" s="5">
        <v>136.80000000000001</v>
      </c>
      <c r="BW51" s="5">
        <v>137.30000000000001</v>
      </c>
      <c r="BX51" s="5">
        <v>137.80000000000001</v>
      </c>
      <c r="BY51" s="5">
        <v>138.5</v>
      </c>
      <c r="BZ51" s="5">
        <v>139.19999999999999</v>
      </c>
      <c r="CA51" s="75">
        <v>139.44999999999999</v>
      </c>
      <c r="CB51" s="5">
        <v>139.80000000000001</v>
      </c>
      <c r="CC51" s="5">
        <v>140.30000000000001</v>
      </c>
      <c r="CD51" s="5">
        <v>140.80000000000001</v>
      </c>
      <c r="CE51" s="5">
        <v>141.5</v>
      </c>
      <c r="CF51" s="5">
        <v>141.9</v>
      </c>
      <c r="CG51" s="5">
        <v>142.4</v>
      </c>
      <c r="CH51" s="5">
        <v>142.80000000000001</v>
      </c>
      <c r="CI51" s="5">
        <v>143.19999999999999</v>
      </c>
      <c r="CJ51" s="5">
        <v>143.80000000000001</v>
      </c>
      <c r="CK51" s="5">
        <v>144.4</v>
      </c>
      <c r="CL51" s="5">
        <v>145</v>
      </c>
      <c r="CM51" s="5">
        <v>144.80000000000001</v>
      </c>
      <c r="CN51" s="75">
        <v>146.5</v>
      </c>
      <c r="CO51" s="5">
        <v>148.1</v>
      </c>
      <c r="CP51" s="5">
        <v>148.1</v>
      </c>
      <c r="CQ51" s="5">
        <v>148.69999999999999</v>
      </c>
      <c r="CR51" s="5">
        <v>150</v>
      </c>
      <c r="CS51" s="5">
        <v>151</v>
      </c>
      <c r="CT51" s="5">
        <v>152</v>
      </c>
      <c r="CU51" s="5">
        <v>152.9</v>
      </c>
      <c r="CV51" s="5">
        <v>154.1</v>
      </c>
      <c r="CW51" s="5">
        <v>156.30000000000001</v>
      </c>
      <c r="CX51" s="5">
        <v>156.9</v>
      </c>
      <c r="CY51" s="5">
        <v>157.5</v>
      </c>
      <c r="CZ51" s="5">
        <v>160.4</v>
      </c>
      <c r="DA51" s="5">
        <v>160.80000000000001</v>
      </c>
      <c r="DB51" s="5">
        <v>161.5</v>
      </c>
      <c r="DC51" s="5">
        <v>162.80000000000001</v>
      </c>
      <c r="DD51" s="5">
        <v>162.80000000000001</v>
      </c>
      <c r="DE51" s="5">
        <v>163.5</v>
      </c>
      <c r="DF51" s="5">
        <v>164.2</v>
      </c>
      <c r="DG51" s="5">
        <v>165.1</v>
      </c>
      <c r="DH51" s="5">
        <v>166.1</v>
      </c>
      <c r="DI51" s="5">
        <v>167.2</v>
      </c>
      <c r="DJ51" s="5">
        <v>168.2</v>
      </c>
      <c r="DK51" s="5">
        <v>169</v>
      </c>
      <c r="DL51" s="5">
        <v>170.1</v>
      </c>
      <c r="DM51" s="5">
        <v>170.9</v>
      </c>
      <c r="DN51" s="5">
        <v>171.7</v>
      </c>
      <c r="DO51" s="5">
        <v>172.6</v>
      </c>
      <c r="DP51" s="5">
        <v>173.8</v>
      </c>
      <c r="DQ51" s="5">
        <v>174.7</v>
      </c>
      <c r="DR51" s="5">
        <v>175.8</v>
      </c>
      <c r="DS51" s="5">
        <v>177.2</v>
      </c>
      <c r="DT51" s="5">
        <v>178.5</v>
      </c>
      <c r="DU51" s="5">
        <v>180.8</v>
      </c>
      <c r="DV51" s="5">
        <v>180.8</v>
      </c>
      <c r="DW51" s="5">
        <v>181.5</v>
      </c>
      <c r="DX51" s="5">
        <v>182.2</v>
      </c>
      <c r="DY51">
        <f t="shared" si="0"/>
        <v>0</v>
      </c>
    </row>
    <row r="52" spans="1:129" x14ac:dyDescent="0.35">
      <c r="A52" s="34" t="s">
        <v>33</v>
      </c>
      <c r="B52" s="5" t="s">
        <v>24</v>
      </c>
      <c r="C52" s="5" t="s">
        <v>24</v>
      </c>
      <c r="D52" s="5">
        <v>103.2</v>
      </c>
      <c r="E52" s="5">
        <v>104.4</v>
      </c>
      <c r="F52" s="5">
        <v>105.5</v>
      </c>
      <c r="G52" s="5">
        <v>105</v>
      </c>
      <c r="H52" s="5">
        <v>103.9</v>
      </c>
      <c r="I52" s="5">
        <v>105.2</v>
      </c>
      <c r="J52" s="5">
        <v>107.3</v>
      </c>
      <c r="K52" s="5">
        <v>108.1</v>
      </c>
      <c r="L52" s="5">
        <v>110.4</v>
      </c>
      <c r="M52" s="5">
        <v>109.7</v>
      </c>
      <c r="N52" s="5">
        <v>109.5</v>
      </c>
      <c r="O52" s="5">
        <v>109.7</v>
      </c>
      <c r="P52" s="5">
        <v>110.8</v>
      </c>
      <c r="Q52" s="5">
        <v>111.3</v>
      </c>
      <c r="R52" s="5">
        <v>111.6</v>
      </c>
      <c r="S52" s="5">
        <v>111.2</v>
      </c>
      <c r="T52" s="5">
        <v>111.3</v>
      </c>
      <c r="U52" s="5">
        <v>111.5</v>
      </c>
      <c r="V52" s="5">
        <v>113</v>
      </c>
      <c r="W52" s="5">
        <v>112.5</v>
      </c>
      <c r="X52" s="5">
        <v>111.2</v>
      </c>
      <c r="Y52" s="5">
        <v>111</v>
      </c>
      <c r="Z52" s="5">
        <v>109.7</v>
      </c>
      <c r="AA52" s="5">
        <v>108.8</v>
      </c>
      <c r="AB52" s="5">
        <v>107.9</v>
      </c>
      <c r="AC52" s="5">
        <v>106.8</v>
      </c>
      <c r="AD52" s="5">
        <v>108.4</v>
      </c>
      <c r="AE52" s="5">
        <v>108.4</v>
      </c>
      <c r="AF52" s="5">
        <v>110.8</v>
      </c>
      <c r="AG52" s="5">
        <v>111.7</v>
      </c>
      <c r="AH52" s="5">
        <v>111.5</v>
      </c>
      <c r="AI52" s="5">
        <v>109.9</v>
      </c>
      <c r="AJ52" s="5">
        <v>109.1</v>
      </c>
      <c r="AK52" s="5">
        <v>109.3</v>
      </c>
      <c r="AL52" s="5">
        <v>109.3</v>
      </c>
      <c r="AM52" s="5">
        <v>109.3</v>
      </c>
      <c r="AN52" s="5">
        <v>108.9</v>
      </c>
      <c r="AO52" s="5">
        <v>109.1</v>
      </c>
      <c r="AP52" s="5">
        <v>108.5</v>
      </c>
      <c r="AQ52" s="5">
        <v>110</v>
      </c>
      <c r="AR52" s="5">
        <v>110.7</v>
      </c>
      <c r="AS52" s="5">
        <v>112.3</v>
      </c>
      <c r="AT52" s="5">
        <v>111.7</v>
      </c>
      <c r="AU52" s="5">
        <v>110.4</v>
      </c>
      <c r="AV52" s="5">
        <v>111.8</v>
      </c>
      <c r="AW52" s="5">
        <v>112.8</v>
      </c>
      <c r="AX52" s="5">
        <v>113.4</v>
      </c>
      <c r="AY52" s="5">
        <v>113.7</v>
      </c>
      <c r="AZ52" s="5">
        <v>115.2</v>
      </c>
      <c r="BA52" s="5">
        <v>115.5</v>
      </c>
      <c r="BB52" s="5">
        <v>115.6</v>
      </c>
      <c r="BC52" s="5">
        <v>114.3</v>
      </c>
      <c r="BD52" s="5">
        <v>114.3</v>
      </c>
      <c r="BE52" s="5">
        <v>113.9</v>
      </c>
      <c r="BF52" s="5">
        <v>113.2</v>
      </c>
      <c r="BG52" s="5">
        <v>114.6</v>
      </c>
      <c r="BH52" s="5">
        <v>115.7</v>
      </c>
      <c r="BI52" s="5">
        <v>115</v>
      </c>
      <c r="BJ52" s="5">
        <v>115.3</v>
      </c>
      <c r="BK52" s="5">
        <v>115.3</v>
      </c>
      <c r="BL52" s="5">
        <v>116.3</v>
      </c>
      <c r="BM52" s="5">
        <v>117.4</v>
      </c>
      <c r="BN52" s="5">
        <v>117.8</v>
      </c>
      <c r="BO52" s="5">
        <v>118.9</v>
      </c>
      <c r="BP52" s="5">
        <v>119.8</v>
      </c>
      <c r="BQ52" s="5">
        <v>120.4</v>
      </c>
      <c r="BR52" s="5">
        <v>120.1</v>
      </c>
      <c r="BS52" s="5">
        <v>120.7</v>
      </c>
      <c r="BT52" s="5">
        <v>122.5</v>
      </c>
      <c r="BU52" s="5">
        <v>123.3</v>
      </c>
      <c r="BV52" s="5">
        <v>121.2</v>
      </c>
      <c r="BW52" s="5">
        <v>118.8</v>
      </c>
      <c r="BX52" s="5">
        <v>118.6</v>
      </c>
      <c r="BY52" s="5">
        <v>119.2</v>
      </c>
      <c r="BZ52" s="5">
        <v>119.9</v>
      </c>
      <c r="CA52" s="75">
        <v>119.7</v>
      </c>
      <c r="CB52" s="5">
        <v>120.1</v>
      </c>
      <c r="CC52" s="5">
        <v>119.6</v>
      </c>
      <c r="CD52" s="5">
        <v>120.6</v>
      </c>
      <c r="CE52" s="5">
        <v>120.8</v>
      </c>
      <c r="CF52" s="5">
        <v>121.2</v>
      </c>
      <c r="CG52" s="5">
        <v>121.5</v>
      </c>
      <c r="CH52" s="5">
        <v>121.7</v>
      </c>
      <c r="CI52" s="5">
        <v>125.2</v>
      </c>
      <c r="CJ52" s="5">
        <v>126.1</v>
      </c>
      <c r="CK52" s="5">
        <v>125.2</v>
      </c>
      <c r="CL52" s="5">
        <v>124.6</v>
      </c>
      <c r="CM52" s="5">
        <f t="shared" ref="CM52:CM57" si="6">CL52</f>
        <v>124.6</v>
      </c>
      <c r="CN52" s="75">
        <v>126.95</v>
      </c>
      <c r="CO52" s="5">
        <v>129.30000000000001</v>
      </c>
      <c r="CP52" s="5">
        <v>129.30000000000001</v>
      </c>
      <c r="CQ52" s="5">
        <v>133.9</v>
      </c>
      <c r="CR52" s="5">
        <v>135.1</v>
      </c>
      <c r="CS52" s="5">
        <v>135.4</v>
      </c>
      <c r="CT52" s="5">
        <v>135.19999999999999</v>
      </c>
      <c r="CU52" s="5">
        <v>135.5</v>
      </c>
      <c r="CV52" s="5">
        <v>136.9</v>
      </c>
      <c r="CW52" s="5">
        <v>140.5</v>
      </c>
      <c r="CX52" s="5">
        <v>141.69999999999999</v>
      </c>
      <c r="CY52" s="5">
        <v>142.1</v>
      </c>
      <c r="CZ52" s="5">
        <v>145</v>
      </c>
      <c r="DA52" s="5">
        <v>147.5</v>
      </c>
      <c r="DB52" s="5">
        <v>149.5</v>
      </c>
      <c r="DC52" s="5">
        <v>150.4</v>
      </c>
      <c r="DD52" s="5">
        <v>150.5</v>
      </c>
      <c r="DE52" s="5">
        <v>152.19999999999999</v>
      </c>
      <c r="DF52" s="5">
        <v>151.19999999999999</v>
      </c>
      <c r="DG52" s="5">
        <v>151.80000000000001</v>
      </c>
      <c r="DH52" s="5">
        <v>152.69999999999999</v>
      </c>
      <c r="DI52" s="5">
        <v>153.1</v>
      </c>
      <c r="DJ52" s="5">
        <v>154.19999999999999</v>
      </c>
      <c r="DK52" s="5">
        <v>159.30000000000001</v>
      </c>
      <c r="DL52" s="5">
        <v>159.4</v>
      </c>
      <c r="DM52" s="5">
        <v>157.19999999999999</v>
      </c>
      <c r="DN52" s="5">
        <v>157.4</v>
      </c>
      <c r="DO52" s="5">
        <v>157.69999999999999</v>
      </c>
      <c r="DP52" s="5">
        <v>158.19999999999999</v>
      </c>
      <c r="DQ52" s="5">
        <v>158.80000000000001</v>
      </c>
      <c r="DR52" s="5">
        <v>158.9</v>
      </c>
      <c r="DS52" s="5">
        <v>159.4</v>
      </c>
      <c r="DT52" s="5">
        <v>159.5</v>
      </c>
      <c r="DU52" s="5">
        <v>159.80000000000001</v>
      </c>
      <c r="DV52" s="5">
        <v>159.80000000000001</v>
      </c>
      <c r="DW52" s="5">
        <v>160.1</v>
      </c>
      <c r="DX52" s="5">
        <v>160.4</v>
      </c>
      <c r="DY52">
        <f t="shared" si="0"/>
        <v>0</v>
      </c>
    </row>
    <row r="53" spans="1:129" x14ac:dyDescent="0.35">
      <c r="A53" s="34" t="s">
        <v>33</v>
      </c>
      <c r="B53" s="5" t="s">
        <v>52</v>
      </c>
      <c r="C53" s="5" t="s">
        <v>25</v>
      </c>
      <c r="D53" s="5">
        <v>102.9</v>
      </c>
      <c r="E53" s="5">
        <v>103.3</v>
      </c>
      <c r="F53" s="5">
        <v>103.5</v>
      </c>
      <c r="G53" s="5">
        <v>104</v>
      </c>
      <c r="H53" s="5">
        <v>104.6</v>
      </c>
      <c r="I53" s="5">
        <v>105.2</v>
      </c>
      <c r="J53" s="5">
        <v>105.9</v>
      </c>
      <c r="K53" s="5">
        <v>106.5</v>
      </c>
      <c r="L53" s="5">
        <v>107.4</v>
      </c>
      <c r="M53" s="5">
        <v>108</v>
      </c>
      <c r="N53" s="5">
        <v>108.5</v>
      </c>
      <c r="O53" s="5">
        <v>108.9</v>
      </c>
      <c r="P53" s="5">
        <v>109.8</v>
      </c>
      <c r="Q53" s="5">
        <v>110.3</v>
      </c>
      <c r="R53" s="5">
        <v>110.9</v>
      </c>
      <c r="S53" s="5">
        <v>111.2</v>
      </c>
      <c r="T53" s="5">
        <v>111.5</v>
      </c>
      <c r="U53" s="5">
        <v>111.8</v>
      </c>
      <c r="V53" s="5">
        <v>112.4</v>
      </c>
      <c r="W53" s="5">
        <v>112.9</v>
      </c>
      <c r="X53" s="5">
        <v>113.4</v>
      </c>
      <c r="Y53" s="5">
        <v>113.6</v>
      </c>
      <c r="Z53" s="5">
        <v>114</v>
      </c>
      <c r="AA53" s="5">
        <v>114.3</v>
      </c>
      <c r="AB53" s="5">
        <v>114.6</v>
      </c>
      <c r="AC53" s="5">
        <v>114.9</v>
      </c>
      <c r="AD53" s="5">
        <v>115.4</v>
      </c>
      <c r="AE53" s="5">
        <v>115.6</v>
      </c>
      <c r="AF53" s="5">
        <v>116</v>
      </c>
      <c r="AG53" s="5">
        <v>116.2</v>
      </c>
      <c r="AH53" s="5">
        <v>116.6</v>
      </c>
      <c r="AI53" s="5">
        <v>117.2</v>
      </c>
      <c r="AJ53" s="5">
        <v>117.3</v>
      </c>
      <c r="AK53" s="5">
        <v>117.7</v>
      </c>
      <c r="AL53" s="5">
        <v>117.9</v>
      </c>
      <c r="AM53" s="5">
        <v>118.1</v>
      </c>
      <c r="AN53" s="5">
        <v>118.5</v>
      </c>
      <c r="AO53" s="5">
        <v>118.8</v>
      </c>
      <c r="AP53" s="5">
        <v>119.1</v>
      </c>
      <c r="AQ53" s="5">
        <v>119.5</v>
      </c>
      <c r="AR53" s="5">
        <v>119.8</v>
      </c>
      <c r="AS53" s="5">
        <v>119.9</v>
      </c>
      <c r="AT53" s="5">
        <v>120.3</v>
      </c>
      <c r="AU53" s="5">
        <v>120.6</v>
      </c>
      <c r="AV53" s="5">
        <v>120.8</v>
      </c>
      <c r="AW53" s="5">
        <v>121.2</v>
      </c>
      <c r="AX53" s="5">
        <v>121.7</v>
      </c>
      <c r="AY53" s="5">
        <v>121.8</v>
      </c>
      <c r="AZ53" s="5">
        <v>122</v>
      </c>
      <c r="BA53" s="5">
        <v>122.2</v>
      </c>
      <c r="BB53" s="5">
        <v>122.4</v>
      </c>
      <c r="BC53" s="5">
        <v>122.6</v>
      </c>
      <c r="BD53" s="5">
        <v>122.8</v>
      </c>
      <c r="BE53" s="5">
        <v>122.9</v>
      </c>
      <c r="BF53" s="5">
        <v>123.5</v>
      </c>
      <c r="BG53" s="5">
        <v>124.1</v>
      </c>
      <c r="BH53" s="5">
        <v>124.5</v>
      </c>
      <c r="BI53" s="5">
        <v>124.8</v>
      </c>
      <c r="BJ53" s="5">
        <v>125.1</v>
      </c>
      <c r="BK53" s="5">
        <v>125.6</v>
      </c>
      <c r="BL53" s="5">
        <v>126.2</v>
      </c>
      <c r="BM53" s="5">
        <v>126.5</v>
      </c>
      <c r="BN53" s="5">
        <v>126.8</v>
      </c>
      <c r="BO53" s="5">
        <v>127.6</v>
      </c>
      <c r="BP53" s="5">
        <v>128</v>
      </c>
      <c r="BQ53" s="5">
        <v>128.5</v>
      </c>
      <c r="BR53" s="5">
        <v>129</v>
      </c>
      <c r="BS53" s="5">
        <v>129.80000000000001</v>
      </c>
      <c r="BT53" s="5">
        <v>130.19999999999999</v>
      </c>
      <c r="BU53" s="5">
        <v>130.69999999999999</v>
      </c>
      <c r="BV53" s="5">
        <v>131.30000000000001</v>
      </c>
      <c r="BW53" s="5">
        <v>131.69999999999999</v>
      </c>
      <c r="BX53" s="5">
        <v>131.9</v>
      </c>
      <c r="BY53" s="5">
        <v>132.19999999999999</v>
      </c>
      <c r="BZ53" s="5">
        <v>133</v>
      </c>
      <c r="CA53" s="75">
        <v>133.375</v>
      </c>
      <c r="CB53" s="5">
        <v>134</v>
      </c>
      <c r="CC53" s="5">
        <v>134.30000000000001</v>
      </c>
      <c r="CD53" s="5">
        <v>135</v>
      </c>
      <c r="CE53" s="5">
        <v>135.4</v>
      </c>
      <c r="CF53" s="5">
        <v>135.9</v>
      </c>
      <c r="CG53" s="5">
        <v>136.19999999999999</v>
      </c>
      <c r="CH53" s="5">
        <v>136.69999999999999</v>
      </c>
      <c r="CI53" s="5">
        <v>136.80000000000001</v>
      </c>
      <c r="CJ53" s="5">
        <v>137.19999999999999</v>
      </c>
      <c r="CK53" s="5">
        <v>137.69999999999999</v>
      </c>
      <c r="CL53" s="5">
        <v>137.9</v>
      </c>
      <c r="CM53" s="5">
        <f t="shared" si="6"/>
        <v>137.9</v>
      </c>
      <c r="CN53" s="75">
        <v>141.19999999999999</v>
      </c>
      <c r="CO53" s="5">
        <v>144.5</v>
      </c>
      <c r="CP53" s="5">
        <v>144.5</v>
      </c>
      <c r="CQ53" s="5">
        <v>141.19999999999999</v>
      </c>
      <c r="CR53" s="5">
        <v>141.80000000000001</v>
      </c>
      <c r="CS53" s="5">
        <v>142</v>
      </c>
      <c r="CT53" s="5">
        <v>144.4</v>
      </c>
      <c r="CU53" s="5">
        <v>144.30000000000001</v>
      </c>
      <c r="CV53" s="5">
        <v>145.4</v>
      </c>
      <c r="CW53" s="5">
        <v>147.30000000000001</v>
      </c>
      <c r="CX53" s="5">
        <v>148.6</v>
      </c>
      <c r="CY53" s="5">
        <v>149.1</v>
      </c>
      <c r="CZ53" s="5">
        <v>152.6</v>
      </c>
      <c r="DA53" s="5">
        <v>150.69999999999999</v>
      </c>
      <c r="DB53" s="5">
        <v>151.19999999999999</v>
      </c>
      <c r="DC53" s="5">
        <v>153.69999999999999</v>
      </c>
      <c r="DD53" s="5">
        <v>153.9</v>
      </c>
      <c r="DE53" s="5">
        <v>155.1</v>
      </c>
      <c r="DF53" s="5">
        <v>156.69999999999999</v>
      </c>
      <c r="DG53" s="5">
        <v>157.6</v>
      </c>
      <c r="DH53" s="5">
        <v>158.4</v>
      </c>
      <c r="DI53" s="5">
        <v>159.5</v>
      </c>
      <c r="DJ53" s="5">
        <v>160.80000000000001</v>
      </c>
      <c r="DK53" s="5">
        <v>162.19999999999999</v>
      </c>
      <c r="DL53" s="5">
        <v>163.19999999999999</v>
      </c>
      <c r="DM53" s="5">
        <v>164.1</v>
      </c>
      <c r="DN53" s="5">
        <v>164.6</v>
      </c>
      <c r="DO53" s="5">
        <v>165.1</v>
      </c>
      <c r="DP53" s="5">
        <v>165.8</v>
      </c>
      <c r="DQ53" s="5">
        <v>166.3</v>
      </c>
      <c r="DR53" s="5">
        <v>166.7</v>
      </c>
      <c r="DS53" s="5">
        <v>167.1</v>
      </c>
      <c r="DT53" s="5">
        <v>167.8</v>
      </c>
      <c r="DU53" s="5">
        <v>168.4</v>
      </c>
      <c r="DV53" s="5">
        <v>168.4</v>
      </c>
      <c r="DW53" s="5">
        <v>168.8</v>
      </c>
      <c r="DX53" s="5">
        <v>169.2</v>
      </c>
      <c r="DY53">
        <f t="shared" si="0"/>
        <v>0</v>
      </c>
    </row>
    <row r="54" spans="1:129" x14ac:dyDescent="0.35">
      <c r="A54" s="34" t="s">
        <v>33</v>
      </c>
      <c r="B54" s="5" t="s">
        <v>26</v>
      </c>
      <c r="C54" s="5" t="s">
        <v>26</v>
      </c>
      <c r="D54" s="5">
        <v>103.5</v>
      </c>
      <c r="E54" s="5">
        <v>103.7</v>
      </c>
      <c r="F54" s="5">
        <v>103.8</v>
      </c>
      <c r="G54" s="5">
        <v>105.2</v>
      </c>
      <c r="H54" s="5">
        <v>105.7</v>
      </c>
      <c r="I54" s="5">
        <v>108.1</v>
      </c>
      <c r="J54" s="5">
        <v>110.1</v>
      </c>
      <c r="K54" s="5">
        <v>110.8</v>
      </c>
      <c r="L54" s="5">
        <v>111.2</v>
      </c>
      <c r="M54" s="5">
        <v>111.3</v>
      </c>
      <c r="N54" s="5">
        <v>111.3</v>
      </c>
      <c r="O54" s="5">
        <v>111.4</v>
      </c>
      <c r="P54" s="5">
        <v>111.5</v>
      </c>
      <c r="Q54" s="5">
        <v>111.6</v>
      </c>
      <c r="R54" s="5">
        <v>111.8</v>
      </c>
      <c r="S54" s="5">
        <v>112.5</v>
      </c>
      <c r="T54" s="5">
        <v>112.9</v>
      </c>
      <c r="U54" s="5">
        <v>115.1</v>
      </c>
      <c r="V54" s="5">
        <v>117.8</v>
      </c>
      <c r="W54" s="5">
        <v>119.2</v>
      </c>
      <c r="X54" s="5">
        <v>120</v>
      </c>
      <c r="Y54" s="5">
        <v>120.2</v>
      </c>
      <c r="Z54" s="5">
        <v>120.3</v>
      </c>
      <c r="AA54" s="5">
        <v>120.7</v>
      </c>
      <c r="AB54" s="5">
        <v>120.8</v>
      </c>
      <c r="AC54" s="5">
        <v>120.4</v>
      </c>
      <c r="AD54" s="5">
        <v>120.6</v>
      </c>
      <c r="AE54" s="5">
        <v>121.7</v>
      </c>
      <c r="AF54" s="5">
        <v>122</v>
      </c>
      <c r="AG54" s="5">
        <v>123.8</v>
      </c>
      <c r="AH54" s="5">
        <v>125.4</v>
      </c>
      <c r="AI54" s="5">
        <v>126.2</v>
      </c>
      <c r="AJ54" s="5">
        <v>126.5</v>
      </c>
      <c r="AK54" s="5">
        <v>126.5</v>
      </c>
      <c r="AL54" s="5">
        <v>126.6</v>
      </c>
      <c r="AM54" s="5">
        <v>126.6</v>
      </c>
      <c r="AN54" s="5">
        <v>126.4</v>
      </c>
      <c r="AO54" s="5">
        <v>126.3</v>
      </c>
      <c r="AP54" s="5">
        <v>126.4</v>
      </c>
      <c r="AQ54" s="5">
        <v>127.6</v>
      </c>
      <c r="AR54" s="5">
        <v>128</v>
      </c>
      <c r="AS54" s="5">
        <v>129.30000000000001</v>
      </c>
      <c r="AT54" s="5">
        <v>130.80000000000001</v>
      </c>
      <c r="AU54" s="5">
        <v>131.5</v>
      </c>
      <c r="AV54" s="5">
        <v>131.6</v>
      </c>
      <c r="AW54" s="5">
        <v>131.9</v>
      </c>
      <c r="AX54" s="5">
        <v>132.1</v>
      </c>
      <c r="AY54" s="5">
        <v>132.30000000000001</v>
      </c>
      <c r="AZ54" s="5">
        <v>132.4</v>
      </c>
      <c r="BA54" s="5">
        <v>132.4</v>
      </c>
      <c r="BB54" s="5">
        <v>132.80000000000001</v>
      </c>
      <c r="BC54" s="5">
        <v>133.6</v>
      </c>
      <c r="BD54" s="5">
        <v>133.80000000000001</v>
      </c>
      <c r="BE54" s="5">
        <v>134.30000000000001</v>
      </c>
      <c r="BF54" s="5">
        <v>135.5</v>
      </c>
      <c r="BG54" s="5">
        <v>135.69999999999999</v>
      </c>
      <c r="BH54" s="5">
        <v>135.9</v>
      </c>
      <c r="BI54" s="5">
        <v>136.30000000000001</v>
      </c>
      <c r="BJ54" s="5">
        <v>136.6</v>
      </c>
      <c r="BK54" s="5">
        <v>136.69999999999999</v>
      </c>
      <c r="BL54" s="5">
        <v>137.1</v>
      </c>
      <c r="BM54" s="5">
        <v>137.19999999999999</v>
      </c>
      <c r="BN54" s="5">
        <v>137.80000000000001</v>
      </c>
      <c r="BO54" s="5">
        <v>139.69999999999999</v>
      </c>
      <c r="BP54" s="5">
        <v>140.4</v>
      </c>
      <c r="BQ54" s="5">
        <v>141.19999999999999</v>
      </c>
      <c r="BR54" s="5">
        <v>144</v>
      </c>
      <c r="BS54" s="5">
        <v>145.30000000000001</v>
      </c>
      <c r="BT54" s="5">
        <v>145.19999999999999</v>
      </c>
      <c r="BU54" s="5">
        <v>145.5</v>
      </c>
      <c r="BV54" s="5">
        <v>146.1</v>
      </c>
      <c r="BW54" s="5">
        <v>146.5</v>
      </c>
      <c r="BX54" s="5">
        <v>146.6</v>
      </c>
      <c r="BY54" s="5">
        <v>146.6</v>
      </c>
      <c r="BZ54" s="5">
        <v>146.69999999999999</v>
      </c>
      <c r="CA54" s="75">
        <v>147.54999999999998</v>
      </c>
      <c r="CB54" s="5">
        <v>148</v>
      </c>
      <c r="CC54" s="5">
        <v>148.9</v>
      </c>
      <c r="CD54" s="5">
        <v>150.4</v>
      </c>
      <c r="CE54" s="5">
        <v>151.5</v>
      </c>
      <c r="CF54" s="5">
        <v>151.6</v>
      </c>
      <c r="CG54" s="5">
        <v>151.69999999999999</v>
      </c>
      <c r="CH54" s="5">
        <v>151.80000000000001</v>
      </c>
      <c r="CI54" s="5">
        <v>151.9</v>
      </c>
      <c r="CJ54" s="5">
        <v>152.1</v>
      </c>
      <c r="CK54" s="5">
        <v>152.19999999999999</v>
      </c>
      <c r="CL54" s="5">
        <v>152.5</v>
      </c>
      <c r="CM54" s="5">
        <f t="shared" si="6"/>
        <v>152.5</v>
      </c>
      <c r="CN54" s="75">
        <v>152.5</v>
      </c>
      <c r="CO54" s="5">
        <v>152.5</v>
      </c>
      <c r="CP54" s="5">
        <v>152.5</v>
      </c>
      <c r="CQ54" s="5">
        <v>155.5</v>
      </c>
      <c r="CR54" s="5">
        <v>154.9</v>
      </c>
      <c r="CS54" s="5">
        <v>155.69999999999999</v>
      </c>
      <c r="CT54" s="5">
        <v>156.4</v>
      </c>
      <c r="CU54" s="5">
        <v>156.9</v>
      </c>
      <c r="CV54" s="5">
        <v>156.1</v>
      </c>
      <c r="CW54" s="5">
        <v>156.6</v>
      </c>
      <c r="CX54" s="5">
        <v>157.6</v>
      </c>
      <c r="CY54" s="5">
        <v>157.6</v>
      </c>
      <c r="CZ54" s="5">
        <v>156.6</v>
      </c>
      <c r="DA54" s="5">
        <v>158.1</v>
      </c>
      <c r="DB54" s="5">
        <v>160.30000000000001</v>
      </c>
      <c r="DC54" s="5">
        <v>160.4</v>
      </c>
      <c r="DD54" s="5">
        <v>160.30000000000001</v>
      </c>
      <c r="DE54" s="5">
        <v>160.30000000000001</v>
      </c>
      <c r="DF54" s="5">
        <v>160.80000000000001</v>
      </c>
      <c r="DG54" s="5">
        <v>160.6</v>
      </c>
      <c r="DH54" s="5">
        <v>161</v>
      </c>
      <c r="DI54" s="5">
        <v>162</v>
      </c>
      <c r="DJ54" s="5">
        <v>162.69999999999999</v>
      </c>
      <c r="DK54" s="5">
        <v>164</v>
      </c>
      <c r="DL54" s="5">
        <v>165.2</v>
      </c>
      <c r="DM54" s="5">
        <v>166.5</v>
      </c>
      <c r="DN54" s="5">
        <v>169.1</v>
      </c>
      <c r="DO54" s="5">
        <v>169.9</v>
      </c>
      <c r="DP54" s="5">
        <v>170.9</v>
      </c>
      <c r="DQ54" s="5">
        <v>171.2</v>
      </c>
      <c r="DR54" s="5">
        <v>171.5</v>
      </c>
      <c r="DS54" s="5">
        <v>171.8</v>
      </c>
      <c r="DT54" s="5">
        <v>171.8</v>
      </c>
      <c r="DU54" s="5">
        <v>172.5</v>
      </c>
      <c r="DV54" s="5">
        <v>172.5</v>
      </c>
      <c r="DW54" s="5">
        <v>174.2</v>
      </c>
      <c r="DX54" s="5">
        <v>174.8</v>
      </c>
      <c r="DY54">
        <f t="shared" si="0"/>
        <v>0</v>
      </c>
    </row>
    <row r="55" spans="1:129" x14ac:dyDescent="0.35">
      <c r="A55" s="34" t="s">
        <v>33</v>
      </c>
      <c r="B55" s="5" t="s">
        <v>52</v>
      </c>
      <c r="C55" s="5" t="s">
        <v>27</v>
      </c>
      <c r="D55" s="5">
        <v>104.3</v>
      </c>
      <c r="E55" s="5">
        <v>104.3</v>
      </c>
      <c r="F55" s="5">
        <v>104.2</v>
      </c>
      <c r="G55" s="5">
        <v>103.2</v>
      </c>
      <c r="H55" s="5">
        <v>102.6</v>
      </c>
      <c r="I55" s="5">
        <v>103.3</v>
      </c>
      <c r="J55" s="5">
        <v>103.2</v>
      </c>
      <c r="K55" s="5">
        <v>106</v>
      </c>
      <c r="L55" s="5">
        <v>106.9</v>
      </c>
      <c r="M55" s="5">
        <v>107.3</v>
      </c>
      <c r="N55" s="5">
        <v>107.9</v>
      </c>
      <c r="O55" s="5">
        <v>107.7</v>
      </c>
      <c r="P55" s="5">
        <v>108</v>
      </c>
      <c r="Q55" s="5">
        <v>108.7</v>
      </c>
      <c r="R55" s="5">
        <v>109.2</v>
      </c>
      <c r="S55" s="5">
        <v>109.1</v>
      </c>
      <c r="T55" s="5">
        <v>109.3</v>
      </c>
      <c r="U55" s="5">
        <v>108.7</v>
      </c>
      <c r="V55" s="5">
        <v>109.7</v>
      </c>
      <c r="W55" s="5">
        <v>110.5</v>
      </c>
      <c r="X55" s="5">
        <v>110</v>
      </c>
      <c r="Y55" s="5">
        <v>110.1</v>
      </c>
      <c r="Z55" s="5">
        <v>109.6</v>
      </c>
      <c r="AA55" s="5">
        <v>110.4</v>
      </c>
      <c r="AB55" s="5">
        <v>111.4</v>
      </c>
      <c r="AC55" s="5">
        <v>111.7</v>
      </c>
      <c r="AD55" s="5">
        <v>111.3</v>
      </c>
      <c r="AE55" s="5">
        <v>111.8</v>
      </c>
      <c r="AF55" s="5">
        <v>112.4</v>
      </c>
      <c r="AG55" s="5">
        <v>112.5</v>
      </c>
      <c r="AH55" s="5">
        <v>111.7</v>
      </c>
      <c r="AI55" s="5">
        <v>112</v>
      </c>
      <c r="AJ55" s="5">
        <v>112.9</v>
      </c>
      <c r="AK55" s="5">
        <v>113.5</v>
      </c>
      <c r="AL55" s="5">
        <v>113.3</v>
      </c>
      <c r="AM55" s="5">
        <v>113.2</v>
      </c>
      <c r="AN55" s="5">
        <v>114</v>
      </c>
      <c r="AO55" s="5">
        <v>116.2</v>
      </c>
      <c r="AP55" s="5">
        <v>117.1</v>
      </c>
      <c r="AQ55" s="5">
        <v>117.6</v>
      </c>
      <c r="AR55" s="5">
        <v>118.5</v>
      </c>
      <c r="AS55" s="5">
        <v>118.8</v>
      </c>
      <c r="AT55" s="5">
        <v>120</v>
      </c>
      <c r="AU55" s="5">
        <v>120.9</v>
      </c>
      <c r="AV55" s="5">
        <v>121.2</v>
      </c>
      <c r="AW55" s="5">
        <v>120.8</v>
      </c>
      <c r="AX55" s="5">
        <v>121.3</v>
      </c>
      <c r="AY55" s="5">
        <v>119.9</v>
      </c>
      <c r="AZ55" s="5">
        <v>120.9</v>
      </c>
      <c r="BA55" s="5">
        <v>121.7</v>
      </c>
      <c r="BB55" s="5">
        <v>121.7</v>
      </c>
      <c r="BC55" s="5">
        <v>122.2</v>
      </c>
      <c r="BD55" s="5">
        <v>122</v>
      </c>
      <c r="BE55" s="5">
        <v>122.5</v>
      </c>
      <c r="BF55" s="5">
        <v>122.4</v>
      </c>
      <c r="BG55" s="5">
        <v>123.3</v>
      </c>
      <c r="BH55" s="5">
        <v>124.4</v>
      </c>
      <c r="BI55" s="5">
        <v>124.6</v>
      </c>
      <c r="BJ55" s="5">
        <v>124.9</v>
      </c>
      <c r="BK55" s="5">
        <v>124.6</v>
      </c>
      <c r="BL55" s="5">
        <v>125.5</v>
      </c>
      <c r="BM55" s="5">
        <v>126.2</v>
      </c>
      <c r="BN55" s="5">
        <v>126.7</v>
      </c>
      <c r="BO55" s="5">
        <v>127.6</v>
      </c>
      <c r="BP55" s="5">
        <v>128.1</v>
      </c>
      <c r="BQ55" s="5">
        <v>128.19999999999999</v>
      </c>
      <c r="BR55" s="5">
        <v>128.19999999999999</v>
      </c>
      <c r="BS55" s="5">
        <v>128.30000000000001</v>
      </c>
      <c r="BT55" s="5">
        <v>129.30000000000001</v>
      </c>
      <c r="BU55" s="5">
        <v>130.4</v>
      </c>
      <c r="BV55" s="5">
        <v>130.5</v>
      </c>
      <c r="BW55" s="5">
        <v>130.80000000000001</v>
      </c>
      <c r="BX55" s="5">
        <v>131.69999999999999</v>
      </c>
      <c r="BY55" s="5">
        <v>133</v>
      </c>
      <c r="BZ55" s="5">
        <v>132.5</v>
      </c>
      <c r="CA55" s="75">
        <v>132.94999999999999</v>
      </c>
      <c r="CB55" s="5">
        <v>132.6</v>
      </c>
      <c r="CC55" s="5">
        <v>133.69999999999999</v>
      </c>
      <c r="CD55" s="5">
        <v>135.1</v>
      </c>
      <c r="CE55" s="5">
        <v>137.80000000000001</v>
      </c>
      <c r="CF55" s="5">
        <v>139</v>
      </c>
      <c r="CG55" s="5">
        <v>139.5</v>
      </c>
      <c r="CH55" s="5">
        <v>139.80000000000001</v>
      </c>
      <c r="CI55" s="5">
        <v>140.19999999999999</v>
      </c>
      <c r="CJ55" s="5">
        <v>142.1</v>
      </c>
      <c r="CK55" s="5">
        <v>143.5</v>
      </c>
      <c r="CL55" s="5">
        <v>145.30000000000001</v>
      </c>
      <c r="CM55" s="5">
        <f t="shared" si="6"/>
        <v>145.30000000000001</v>
      </c>
      <c r="CN55" s="75">
        <v>148.75</v>
      </c>
      <c r="CO55" s="5">
        <v>152.19999999999999</v>
      </c>
      <c r="CP55" s="5">
        <v>152.19999999999999</v>
      </c>
      <c r="CQ55" s="5">
        <v>155.19999999999999</v>
      </c>
      <c r="CR55" s="5">
        <v>159.80000000000001</v>
      </c>
      <c r="CS55" s="5">
        <v>158.1</v>
      </c>
      <c r="CT55" s="5">
        <v>157.9</v>
      </c>
      <c r="CU55" s="5">
        <v>157.9</v>
      </c>
      <c r="CV55" s="5">
        <v>157.69999999999999</v>
      </c>
      <c r="CW55" s="5">
        <v>156.69999999999999</v>
      </c>
      <c r="CX55" s="5">
        <v>154.9</v>
      </c>
      <c r="CY55" s="5">
        <v>156.6</v>
      </c>
      <c r="CZ55" s="5">
        <v>157.5</v>
      </c>
      <c r="DA55" s="5">
        <v>158</v>
      </c>
      <c r="DB55" s="5">
        <v>159.6</v>
      </c>
      <c r="DC55" s="5">
        <v>159.6</v>
      </c>
      <c r="DD55" s="5">
        <v>159.6</v>
      </c>
      <c r="DE55" s="5">
        <v>160.30000000000001</v>
      </c>
      <c r="DF55" s="5">
        <v>161.80000000000001</v>
      </c>
      <c r="DG55" s="5">
        <v>162.4</v>
      </c>
      <c r="DH55" s="5">
        <v>162.80000000000001</v>
      </c>
      <c r="DI55" s="5">
        <v>164.2</v>
      </c>
      <c r="DJ55" s="5">
        <v>166.8</v>
      </c>
      <c r="DK55" s="5">
        <v>168.4</v>
      </c>
      <c r="DL55" s="5">
        <v>168.2</v>
      </c>
      <c r="DM55" s="5">
        <v>169.2</v>
      </c>
      <c r="DN55" s="5">
        <v>169.8</v>
      </c>
      <c r="DO55" s="5">
        <v>171.4</v>
      </c>
      <c r="DP55" s="5">
        <v>171.1</v>
      </c>
      <c r="DQ55" s="5">
        <v>172.3</v>
      </c>
      <c r="DR55" s="5">
        <v>173.8</v>
      </c>
      <c r="DS55" s="5">
        <v>176</v>
      </c>
      <c r="DT55" s="5">
        <v>178.8</v>
      </c>
      <c r="DU55" s="5">
        <v>181.4</v>
      </c>
      <c r="DV55" s="5">
        <v>181.5</v>
      </c>
      <c r="DW55" s="5">
        <v>184.4</v>
      </c>
      <c r="DX55" s="5">
        <v>185.6</v>
      </c>
      <c r="DY55">
        <f t="shared" si="0"/>
        <v>0</v>
      </c>
    </row>
    <row r="56" spans="1:129" x14ac:dyDescent="0.35">
      <c r="A56" s="34" t="s">
        <v>33</v>
      </c>
      <c r="B56" s="5" t="s">
        <v>28</v>
      </c>
      <c r="C56" s="5" t="s">
        <v>28</v>
      </c>
      <c r="D56" s="5">
        <v>103.7</v>
      </c>
      <c r="E56" s="5">
        <v>104.3</v>
      </c>
      <c r="F56" s="5">
        <v>104.9</v>
      </c>
      <c r="G56" s="5">
        <v>105.1</v>
      </c>
      <c r="H56" s="5">
        <v>104.9</v>
      </c>
      <c r="I56" s="5">
        <v>106.1</v>
      </c>
      <c r="J56" s="5">
        <v>107.3</v>
      </c>
      <c r="K56" s="5">
        <v>108.3</v>
      </c>
      <c r="L56" s="5">
        <v>109.4</v>
      </c>
      <c r="M56" s="5">
        <v>109.4</v>
      </c>
      <c r="N56" s="5">
        <v>109.6</v>
      </c>
      <c r="O56" s="5">
        <v>109.8</v>
      </c>
      <c r="P56" s="5">
        <v>110.5</v>
      </c>
      <c r="Q56" s="5">
        <v>111</v>
      </c>
      <c r="R56" s="5">
        <v>111.4</v>
      </c>
      <c r="S56" s="5">
        <v>111.4</v>
      </c>
      <c r="T56" s="5">
        <v>111.7</v>
      </c>
      <c r="U56" s="5">
        <v>112.2</v>
      </c>
      <c r="V56" s="5">
        <v>113.5</v>
      </c>
      <c r="W56" s="5">
        <v>113.9</v>
      </c>
      <c r="X56" s="5">
        <v>113.6</v>
      </c>
      <c r="Y56" s="5">
        <v>113.7</v>
      </c>
      <c r="Z56" s="5">
        <v>113.4</v>
      </c>
      <c r="AA56" s="5">
        <v>113.4</v>
      </c>
      <c r="AB56" s="5">
        <v>113.4</v>
      </c>
      <c r="AC56" s="5">
        <v>113.2</v>
      </c>
      <c r="AD56" s="5">
        <v>113.8</v>
      </c>
      <c r="AE56" s="5">
        <v>114.2</v>
      </c>
      <c r="AF56" s="5">
        <v>115.2</v>
      </c>
      <c r="AG56" s="5">
        <v>116</v>
      </c>
      <c r="AH56" s="5">
        <v>116.3</v>
      </c>
      <c r="AI56" s="5">
        <v>116.2</v>
      </c>
      <c r="AJ56" s="5">
        <v>116.2</v>
      </c>
      <c r="AK56" s="5">
        <v>116.5</v>
      </c>
      <c r="AL56" s="5">
        <v>116.6</v>
      </c>
      <c r="AM56" s="5">
        <v>116.7</v>
      </c>
      <c r="AN56" s="5">
        <v>116.8</v>
      </c>
      <c r="AO56" s="5">
        <v>117.2</v>
      </c>
      <c r="AP56" s="5">
        <v>117.3</v>
      </c>
      <c r="AQ56" s="5">
        <v>118.2</v>
      </c>
      <c r="AR56" s="5">
        <v>118.7</v>
      </c>
      <c r="AS56" s="5">
        <v>119.6</v>
      </c>
      <c r="AT56" s="5">
        <v>119.9</v>
      </c>
      <c r="AU56" s="5">
        <v>119.9</v>
      </c>
      <c r="AV56" s="5">
        <v>120.5</v>
      </c>
      <c r="AW56" s="5">
        <v>120.9</v>
      </c>
      <c r="AX56" s="5">
        <v>121.3</v>
      </c>
      <c r="AY56" s="5">
        <v>121.4</v>
      </c>
      <c r="AZ56" s="5">
        <v>122.1</v>
      </c>
      <c r="BA56" s="5">
        <v>122.4</v>
      </c>
      <c r="BB56" s="5">
        <v>122.6</v>
      </c>
      <c r="BC56" s="5">
        <v>122.5</v>
      </c>
      <c r="BD56" s="5">
        <v>122.6</v>
      </c>
      <c r="BE56" s="5">
        <v>122.7</v>
      </c>
      <c r="BF56" s="5">
        <v>123</v>
      </c>
      <c r="BG56" s="5">
        <v>123.8</v>
      </c>
      <c r="BH56" s="5">
        <v>124.5</v>
      </c>
      <c r="BI56" s="5">
        <v>124.5</v>
      </c>
      <c r="BJ56" s="5">
        <v>124.9</v>
      </c>
      <c r="BK56" s="5">
        <v>125.1</v>
      </c>
      <c r="BL56" s="5">
        <v>125.8</v>
      </c>
      <c r="BM56" s="5">
        <v>126.5</v>
      </c>
      <c r="BN56" s="5">
        <v>127.1</v>
      </c>
      <c r="BO56" s="5">
        <v>128.19999999999999</v>
      </c>
      <c r="BP56" s="5">
        <v>128.9</v>
      </c>
      <c r="BQ56" s="5">
        <v>129.5</v>
      </c>
      <c r="BR56" s="5">
        <v>130.19999999999999</v>
      </c>
      <c r="BS56" s="5">
        <v>131</v>
      </c>
      <c r="BT56" s="5">
        <v>131.9</v>
      </c>
      <c r="BU56" s="5">
        <v>132.5</v>
      </c>
      <c r="BV56" s="5">
        <v>132.19999999999999</v>
      </c>
      <c r="BW56" s="5">
        <v>131.69999999999999</v>
      </c>
      <c r="BX56" s="5">
        <v>131.80000000000001</v>
      </c>
      <c r="BY56" s="5">
        <v>132.4</v>
      </c>
      <c r="BZ56" s="5">
        <v>132.80000000000001</v>
      </c>
      <c r="CA56" s="75">
        <v>133.02500000000001</v>
      </c>
      <c r="CB56" s="5">
        <v>133.30000000000001</v>
      </c>
      <c r="CC56" s="5">
        <v>133.6</v>
      </c>
      <c r="CD56" s="5">
        <v>134.5</v>
      </c>
      <c r="CE56" s="5">
        <v>135.30000000000001</v>
      </c>
      <c r="CF56" s="5">
        <v>135.69999999999999</v>
      </c>
      <c r="CG56" s="5">
        <v>136</v>
      </c>
      <c r="CH56" s="5">
        <v>136.30000000000001</v>
      </c>
      <c r="CI56" s="5">
        <v>137.69999999999999</v>
      </c>
      <c r="CJ56" s="5">
        <v>138.4</v>
      </c>
      <c r="CK56" s="5">
        <v>138.4</v>
      </c>
      <c r="CL56" s="5">
        <v>138.69999999999999</v>
      </c>
      <c r="CM56" s="5">
        <f t="shared" si="6"/>
        <v>138.69999999999999</v>
      </c>
      <c r="CN56" s="75">
        <v>140.35</v>
      </c>
      <c r="CO56" s="5">
        <v>142</v>
      </c>
      <c r="CP56" s="5">
        <v>142</v>
      </c>
      <c r="CQ56" s="5">
        <v>144.80000000000001</v>
      </c>
      <c r="CR56" s="5">
        <v>146</v>
      </c>
      <c r="CS56" s="5">
        <v>146.19999999999999</v>
      </c>
      <c r="CT56" s="5">
        <v>146.6</v>
      </c>
      <c r="CU56" s="5">
        <v>146.9</v>
      </c>
      <c r="CV56" s="5">
        <v>147.6</v>
      </c>
      <c r="CW56" s="5">
        <v>149.30000000000001</v>
      </c>
      <c r="CX56" s="5">
        <v>150</v>
      </c>
      <c r="CY56" s="5">
        <v>150.5</v>
      </c>
      <c r="CZ56" s="5">
        <v>152.30000000000001</v>
      </c>
      <c r="DA56" s="5">
        <v>153.4</v>
      </c>
      <c r="DB56" s="5">
        <v>155</v>
      </c>
      <c r="DC56" s="5">
        <v>156</v>
      </c>
      <c r="DD56" s="5">
        <v>156</v>
      </c>
      <c r="DE56" s="5">
        <v>157</v>
      </c>
      <c r="DF56" s="5">
        <v>157.30000000000001</v>
      </c>
      <c r="DG56" s="5">
        <v>157.80000000000001</v>
      </c>
      <c r="DH56" s="5">
        <v>158.6</v>
      </c>
      <c r="DI56" s="5">
        <v>159.4</v>
      </c>
      <c r="DJ56" s="5">
        <v>160.6</v>
      </c>
      <c r="DK56" s="5">
        <v>163.1</v>
      </c>
      <c r="DL56" s="5">
        <v>163.80000000000001</v>
      </c>
      <c r="DM56" s="5">
        <v>163.80000000000001</v>
      </c>
      <c r="DN56" s="5">
        <v>164.7</v>
      </c>
      <c r="DO56" s="5">
        <v>165.4</v>
      </c>
      <c r="DP56" s="5">
        <v>166.1</v>
      </c>
      <c r="DQ56" s="5">
        <v>166.8</v>
      </c>
      <c r="DR56" s="5">
        <v>167.4</v>
      </c>
      <c r="DS56" s="5">
        <v>168.2</v>
      </c>
      <c r="DT56" s="5">
        <v>168.9</v>
      </c>
      <c r="DU56" s="5">
        <v>170</v>
      </c>
      <c r="DV56" s="5">
        <v>170</v>
      </c>
      <c r="DW56" s="5">
        <v>170.9</v>
      </c>
      <c r="DX56" s="5">
        <v>171.6</v>
      </c>
      <c r="DY56">
        <f t="shared" si="0"/>
        <v>0</v>
      </c>
    </row>
    <row r="57" spans="1:129" x14ac:dyDescent="0.35">
      <c r="A57" s="34" t="s">
        <v>33</v>
      </c>
      <c r="B57" s="5" t="s">
        <v>29</v>
      </c>
      <c r="C57" s="5" t="s">
        <v>29</v>
      </c>
      <c r="D57" s="5">
        <v>104</v>
      </c>
      <c r="E57" s="5">
        <v>104.7</v>
      </c>
      <c r="F57" s="5">
        <v>105</v>
      </c>
      <c r="G57" s="5">
        <v>105.7</v>
      </c>
      <c r="H57" s="5">
        <v>106.6</v>
      </c>
      <c r="I57" s="5">
        <v>109.7</v>
      </c>
      <c r="J57" s="5">
        <v>111.4</v>
      </c>
      <c r="K57" s="5">
        <v>112.7</v>
      </c>
      <c r="L57" s="5">
        <v>113.2</v>
      </c>
      <c r="M57" s="5">
        <v>114</v>
      </c>
      <c r="N57" s="5">
        <v>115</v>
      </c>
      <c r="O57" s="5">
        <v>113.3</v>
      </c>
      <c r="P57" s="5">
        <v>112.9</v>
      </c>
      <c r="Q57" s="5">
        <v>113.1</v>
      </c>
      <c r="R57" s="5">
        <v>113.7</v>
      </c>
      <c r="S57" s="5">
        <v>114.7</v>
      </c>
      <c r="T57" s="5">
        <v>115.6</v>
      </c>
      <c r="U57" s="5">
        <v>116.4</v>
      </c>
      <c r="V57" s="5">
        <v>118.9</v>
      </c>
      <c r="W57" s="5">
        <v>119.9</v>
      </c>
      <c r="X57" s="5">
        <v>119.2</v>
      </c>
      <c r="Y57" s="5">
        <v>119.1</v>
      </c>
      <c r="Z57" s="5">
        <v>119</v>
      </c>
      <c r="AA57" s="5">
        <v>118.4</v>
      </c>
      <c r="AB57" s="5">
        <v>118.5</v>
      </c>
      <c r="AC57" s="5">
        <v>118.7</v>
      </c>
      <c r="AD57" s="5">
        <v>119.1</v>
      </c>
      <c r="AE57" s="5">
        <v>119.7</v>
      </c>
      <c r="AF57" s="5">
        <v>120.7</v>
      </c>
      <c r="AG57" s="5">
        <v>121.7</v>
      </c>
      <c r="AH57" s="5">
        <v>122.4</v>
      </c>
      <c r="AI57" s="5">
        <v>123.2</v>
      </c>
      <c r="AJ57" s="5">
        <v>123.5</v>
      </c>
      <c r="AK57" s="5">
        <v>124.2</v>
      </c>
      <c r="AL57" s="5">
        <v>124.6</v>
      </c>
      <c r="AM57" s="5">
        <v>124</v>
      </c>
      <c r="AN57" s="5">
        <v>124.2</v>
      </c>
      <c r="AO57" s="5">
        <v>123.8</v>
      </c>
      <c r="AP57" s="5">
        <v>123.8</v>
      </c>
      <c r="AQ57" s="5">
        <v>125.3</v>
      </c>
      <c r="AR57" s="5">
        <v>126.6</v>
      </c>
      <c r="AS57" s="5">
        <v>128.1</v>
      </c>
      <c r="AT57" s="5">
        <v>129</v>
      </c>
      <c r="AU57" s="5">
        <v>128.4</v>
      </c>
      <c r="AV57" s="5">
        <v>128</v>
      </c>
      <c r="AW57" s="5">
        <v>128.6</v>
      </c>
      <c r="AX57" s="5">
        <v>128.5</v>
      </c>
      <c r="AY57" s="5">
        <v>127.6</v>
      </c>
      <c r="AZ57" s="5">
        <v>127.8</v>
      </c>
      <c r="BA57" s="5">
        <v>128.19999999999999</v>
      </c>
      <c r="BB57" s="5">
        <v>128.69999999999999</v>
      </c>
      <c r="BC57" s="5">
        <v>129.1</v>
      </c>
      <c r="BD57" s="5">
        <v>129.30000000000001</v>
      </c>
      <c r="BE57" s="5">
        <v>129.9</v>
      </c>
      <c r="BF57" s="5">
        <v>131.80000000000001</v>
      </c>
      <c r="BG57" s="5">
        <v>132.69999999999999</v>
      </c>
      <c r="BH57" s="5">
        <v>132.4</v>
      </c>
      <c r="BI57" s="5">
        <v>133.5</v>
      </c>
      <c r="BJ57" s="5">
        <v>134.80000000000001</v>
      </c>
      <c r="BK57" s="5">
        <v>134.1</v>
      </c>
      <c r="BL57" s="5">
        <v>134.1</v>
      </c>
      <c r="BM57" s="5">
        <v>134</v>
      </c>
      <c r="BN57" s="5">
        <v>134</v>
      </c>
      <c r="BO57" s="5">
        <v>134.80000000000001</v>
      </c>
      <c r="BP57" s="5">
        <v>135.4</v>
      </c>
      <c r="BQ57" s="5">
        <v>136.19999999999999</v>
      </c>
      <c r="BR57" s="5">
        <v>137.5</v>
      </c>
      <c r="BS57" s="5">
        <v>138</v>
      </c>
      <c r="BT57" s="5">
        <v>138.1</v>
      </c>
      <c r="BU57" s="5">
        <v>138.9</v>
      </c>
      <c r="BV57" s="5">
        <v>139</v>
      </c>
      <c r="BW57" s="5">
        <v>138</v>
      </c>
      <c r="BX57" s="5">
        <v>138</v>
      </c>
      <c r="BY57" s="5">
        <v>138.6</v>
      </c>
      <c r="BZ57" s="5">
        <v>139.5</v>
      </c>
      <c r="CA57" s="75">
        <v>140.42500000000001</v>
      </c>
      <c r="CB57" s="5">
        <v>141.5</v>
      </c>
      <c r="CC57" s="5">
        <v>142.1</v>
      </c>
      <c r="CD57" s="5">
        <v>143.30000000000001</v>
      </c>
      <c r="CE57" s="5">
        <v>144.19999999999999</v>
      </c>
      <c r="CF57" s="5">
        <v>144.69999999999999</v>
      </c>
      <c r="CG57" s="5">
        <v>146</v>
      </c>
      <c r="CH57" s="5">
        <v>147</v>
      </c>
      <c r="CI57" s="5">
        <v>148.30000000000001</v>
      </c>
      <c r="CJ57" s="5">
        <v>148.19999999999999</v>
      </c>
      <c r="CK57" s="5">
        <v>147.69999999999999</v>
      </c>
      <c r="CL57" s="5">
        <v>147.30000000000001</v>
      </c>
      <c r="CM57" s="5">
        <f t="shared" si="6"/>
        <v>147.30000000000001</v>
      </c>
      <c r="CN57" s="75">
        <v>149.05000000000001</v>
      </c>
      <c r="CO57" s="5">
        <v>150.80000000000001</v>
      </c>
      <c r="CP57" s="5">
        <v>150.80000000000001</v>
      </c>
      <c r="CQ57" s="5">
        <v>152.9</v>
      </c>
      <c r="CR57" s="5">
        <v>154</v>
      </c>
      <c r="CS57" s="5">
        <v>155.19999999999999</v>
      </c>
      <c r="CT57" s="5">
        <v>156.69999999999999</v>
      </c>
      <c r="CU57" s="5">
        <v>156.9</v>
      </c>
      <c r="CV57" s="5">
        <v>156</v>
      </c>
      <c r="CW57" s="5">
        <v>156.5</v>
      </c>
      <c r="CX57" s="5">
        <v>156.9</v>
      </c>
      <c r="CY57" s="5">
        <v>158</v>
      </c>
      <c r="CZ57" s="5">
        <v>159.5</v>
      </c>
      <c r="DA57" s="5">
        <v>160.4</v>
      </c>
      <c r="DB57" s="5">
        <v>161.80000000000001</v>
      </c>
      <c r="DC57" s="5">
        <v>162.30000000000001</v>
      </c>
      <c r="DD57" s="5">
        <v>162.30000000000001</v>
      </c>
      <c r="DE57" s="5">
        <v>164.6</v>
      </c>
      <c r="DF57" s="5">
        <v>165.6</v>
      </c>
      <c r="DG57" s="5">
        <v>165.2</v>
      </c>
      <c r="DH57" s="5">
        <v>165</v>
      </c>
      <c r="DI57" s="5">
        <v>165.5</v>
      </c>
      <c r="DJ57" s="5">
        <v>166.5</v>
      </c>
      <c r="DK57" s="5">
        <v>169.2</v>
      </c>
      <c r="DL57" s="5">
        <v>170.8</v>
      </c>
      <c r="DM57" s="5">
        <v>171.4</v>
      </c>
      <c r="DN57" s="5">
        <v>172.3</v>
      </c>
      <c r="DO57" s="5">
        <v>173.1</v>
      </c>
      <c r="DP57" s="5">
        <v>174.1</v>
      </c>
      <c r="DQ57" s="5">
        <v>175.3</v>
      </c>
      <c r="DR57" s="5">
        <v>174.1</v>
      </c>
      <c r="DS57" s="5">
        <v>174.1</v>
      </c>
      <c r="DT57" s="5">
        <v>174.9</v>
      </c>
      <c r="DU57" s="5">
        <v>176.3</v>
      </c>
      <c r="DV57" s="5">
        <v>176.3</v>
      </c>
      <c r="DW57" s="5">
        <v>177.4</v>
      </c>
      <c r="DX57" s="5">
        <v>178.2</v>
      </c>
      <c r="DY57">
        <f t="shared" si="0"/>
        <v>0</v>
      </c>
    </row>
    <row r="58" spans="1:129" x14ac:dyDescent="0.35">
      <c r="A58" s="34" t="s">
        <v>34</v>
      </c>
      <c r="B58" s="5" t="s">
        <v>51</v>
      </c>
      <c r="C58" s="5" t="s">
        <v>3</v>
      </c>
      <c r="D58" s="5">
        <v>108.4</v>
      </c>
      <c r="E58" s="5">
        <v>110.4</v>
      </c>
      <c r="F58" s="5">
        <v>111.4</v>
      </c>
      <c r="G58" s="5">
        <v>111.6</v>
      </c>
      <c r="H58" s="5">
        <v>112.3</v>
      </c>
      <c r="I58" s="5">
        <v>113.8</v>
      </c>
      <c r="J58" s="5">
        <v>114.8</v>
      </c>
      <c r="K58" s="5">
        <v>115.6</v>
      </c>
      <c r="L58" s="5">
        <v>116.4</v>
      </c>
      <c r="M58" s="5">
        <v>117.1</v>
      </c>
      <c r="N58" s="5">
        <v>118.1</v>
      </c>
      <c r="O58" s="5">
        <v>119.1</v>
      </c>
      <c r="P58" s="5">
        <v>119.6</v>
      </c>
      <c r="Q58" s="5">
        <v>120.2</v>
      </c>
      <c r="R58" s="5">
        <v>120.7</v>
      </c>
      <c r="S58" s="5">
        <v>120.9</v>
      </c>
      <c r="T58" s="5">
        <v>121.1</v>
      </c>
      <c r="U58" s="5">
        <v>121.5</v>
      </c>
      <c r="V58" s="5">
        <v>122.4</v>
      </c>
      <c r="W58" s="5">
        <v>122.7</v>
      </c>
      <c r="X58" s="5">
        <v>122.9</v>
      </c>
      <c r="Y58" s="5">
        <v>123.2</v>
      </c>
      <c r="Z58" s="5">
        <v>123.3</v>
      </c>
      <c r="AA58" s="5">
        <v>122.9</v>
      </c>
      <c r="AB58" s="5">
        <v>123.4</v>
      </c>
      <c r="AC58" s="5">
        <v>123.7</v>
      </c>
      <c r="AD58" s="5">
        <v>123.5</v>
      </c>
      <c r="AE58" s="5">
        <v>123.5</v>
      </c>
      <c r="AF58" s="5">
        <v>123.6</v>
      </c>
      <c r="AG58" s="5">
        <v>123.9</v>
      </c>
      <c r="AH58" s="5">
        <v>123.7</v>
      </c>
      <c r="AI58" s="5">
        <v>124.2</v>
      </c>
      <c r="AJ58" s="5">
        <v>124.6</v>
      </c>
      <c r="AK58" s="5">
        <v>125</v>
      </c>
      <c r="AL58" s="5">
        <v>125.4</v>
      </c>
      <c r="AM58" s="5">
        <v>125.7</v>
      </c>
      <c r="AN58" s="5">
        <v>126.1</v>
      </c>
      <c r="AO58" s="5">
        <v>126.4</v>
      </c>
      <c r="AP58" s="5">
        <v>126.5</v>
      </c>
      <c r="AQ58" s="5">
        <v>126.6</v>
      </c>
      <c r="AR58" s="5">
        <v>126.8</v>
      </c>
      <c r="AS58" s="5">
        <v>127.7</v>
      </c>
      <c r="AT58" s="5">
        <v>128.5</v>
      </c>
      <c r="AU58" s="5">
        <v>129.30000000000001</v>
      </c>
      <c r="AV58" s="5">
        <v>129.9</v>
      </c>
      <c r="AW58" s="5">
        <v>130.5</v>
      </c>
      <c r="AX58" s="5">
        <v>131.4</v>
      </c>
      <c r="AY58" s="5">
        <v>132.30000000000001</v>
      </c>
      <c r="AZ58" s="5">
        <v>132.80000000000001</v>
      </c>
      <c r="BA58" s="5">
        <v>133.1</v>
      </c>
      <c r="BB58" s="5">
        <v>133.30000000000001</v>
      </c>
      <c r="BC58" s="5">
        <v>133</v>
      </c>
      <c r="BD58" s="5">
        <v>132.9</v>
      </c>
      <c r="BE58" s="5">
        <v>133.30000000000001</v>
      </c>
      <c r="BF58" s="5">
        <v>133.6</v>
      </c>
      <c r="BG58" s="5">
        <v>134.30000000000001</v>
      </c>
      <c r="BH58" s="5">
        <v>134.69999999999999</v>
      </c>
      <c r="BI58" s="5">
        <v>135.30000000000001</v>
      </c>
      <c r="BJ58" s="5">
        <v>135.69999999999999</v>
      </c>
      <c r="BK58" s="5">
        <v>135.80000000000001</v>
      </c>
      <c r="BL58" s="5">
        <v>136</v>
      </c>
      <c r="BM58" s="5">
        <v>135.9</v>
      </c>
      <c r="BN58" s="5">
        <v>136.19999999999999</v>
      </c>
      <c r="BO58" s="5">
        <v>136.4</v>
      </c>
      <c r="BP58" s="5">
        <v>136.6</v>
      </c>
      <c r="BQ58" s="5">
        <v>136.9</v>
      </c>
      <c r="BR58" s="5">
        <v>137.5</v>
      </c>
      <c r="BS58" s="5">
        <v>138.30000000000001</v>
      </c>
      <c r="BT58" s="5">
        <v>138.6</v>
      </c>
      <c r="BU58" s="5">
        <v>137.4</v>
      </c>
      <c r="BV58" s="5">
        <v>137.4</v>
      </c>
      <c r="BW58" s="5">
        <v>137.5</v>
      </c>
      <c r="BX58" s="5">
        <v>137.1</v>
      </c>
      <c r="BY58" s="5">
        <v>137.6</v>
      </c>
      <c r="BZ58" s="5">
        <v>137.80000000000001</v>
      </c>
      <c r="CA58" s="75">
        <v>138.1</v>
      </c>
      <c r="CB58" s="5">
        <v>138.30000000000001</v>
      </c>
      <c r="CC58" s="5">
        <v>138.69999999999999</v>
      </c>
      <c r="CD58" s="5">
        <v>139.30000000000001</v>
      </c>
      <c r="CE58" s="5">
        <v>140.1</v>
      </c>
      <c r="CF58" s="5">
        <v>140.9</v>
      </c>
      <c r="CG58" s="5">
        <v>141.80000000000001</v>
      </c>
      <c r="CH58" s="5">
        <v>142.5</v>
      </c>
      <c r="CI58" s="5">
        <v>143.5</v>
      </c>
      <c r="CJ58" s="5">
        <v>144.30000000000001</v>
      </c>
      <c r="CK58" s="5">
        <v>144.80000000000001</v>
      </c>
      <c r="CL58" s="5">
        <v>145.1</v>
      </c>
      <c r="CM58" s="5">
        <v>148.69999999999999</v>
      </c>
      <c r="CN58" s="75">
        <v>148.25</v>
      </c>
      <c r="CO58" s="5">
        <v>149.6</v>
      </c>
      <c r="CP58" s="5">
        <v>149.6</v>
      </c>
      <c r="CQ58" s="5">
        <v>148.9</v>
      </c>
      <c r="CR58" s="5">
        <v>148.4</v>
      </c>
      <c r="CS58" s="5">
        <v>147.5</v>
      </c>
      <c r="CT58" s="5">
        <v>146.80000000000001</v>
      </c>
      <c r="CU58" s="5">
        <v>146</v>
      </c>
      <c r="CV58" s="5">
        <v>144.9</v>
      </c>
      <c r="CW58" s="5">
        <v>144.30000000000001</v>
      </c>
      <c r="CX58" s="5">
        <v>144.1</v>
      </c>
      <c r="CY58" s="5">
        <v>144.30000000000001</v>
      </c>
      <c r="CZ58" s="5">
        <v>146.30000000000001</v>
      </c>
      <c r="DA58" s="5">
        <v>146.69999999999999</v>
      </c>
      <c r="DB58" s="5">
        <v>146.4</v>
      </c>
      <c r="DC58" s="5">
        <v>146.6</v>
      </c>
      <c r="DD58" s="5">
        <v>146.6</v>
      </c>
      <c r="DE58" s="5">
        <v>147.4</v>
      </c>
      <c r="DF58" s="5">
        <v>148.19999999999999</v>
      </c>
      <c r="DG58" s="5">
        <v>148.69999999999999</v>
      </c>
      <c r="DH58" s="5">
        <v>149.5</v>
      </c>
      <c r="DI58" s="5">
        <v>150</v>
      </c>
      <c r="DJ58" s="5">
        <v>151.30000000000001</v>
      </c>
      <c r="DK58" s="5">
        <v>152.9</v>
      </c>
      <c r="DL58" s="5">
        <v>154.1</v>
      </c>
      <c r="DM58" s="5">
        <v>155</v>
      </c>
      <c r="DN58" s="5">
        <v>156.5</v>
      </c>
      <c r="DO58" s="5">
        <v>160.30000000000001</v>
      </c>
      <c r="DP58" s="5">
        <v>163.5</v>
      </c>
      <c r="DQ58" s="5">
        <v>165.2</v>
      </c>
      <c r="DR58" s="5">
        <v>167.4</v>
      </c>
      <c r="DS58" s="5">
        <v>169.2</v>
      </c>
      <c r="DT58" s="5">
        <v>173.8</v>
      </c>
      <c r="DU58" s="5">
        <v>174.4</v>
      </c>
      <c r="DV58" s="5">
        <v>174.4</v>
      </c>
      <c r="DW58" s="5">
        <v>173.8</v>
      </c>
      <c r="DX58" s="5">
        <v>173.7</v>
      </c>
      <c r="DY58">
        <f t="shared" si="0"/>
        <v>0</v>
      </c>
    </row>
    <row r="59" spans="1:129" x14ac:dyDescent="0.35">
      <c r="A59" s="34" t="s">
        <v>34</v>
      </c>
      <c r="B59" s="5" t="s">
        <v>51</v>
      </c>
      <c r="C59" s="5" t="s">
        <v>4</v>
      </c>
      <c r="D59" s="5">
        <v>107.3</v>
      </c>
      <c r="E59" s="5">
        <v>110.2</v>
      </c>
      <c r="F59" s="5">
        <v>109.7</v>
      </c>
      <c r="G59" s="5">
        <v>110.9</v>
      </c>
      <c r="H59" s="5">
        <v>111.3</v>
      </c>
      <c r="I59" s="5">
        <v>114.9</v>
      </c>
      <c r="J59" s="5">
        <v>116.4</v>
      </c>
      <c r="K59" s="5">
        <v>117.2</v>
      </c>
      <c r="L59" s="5">
        <v>116.9</v>
      </c>
      <c r="M59" s="5">
        <v>116.3</v>
      </c>
      <c r="N59" s="5">
        <v>115.4</v>
      </c>
      <c r="O59" s="5">
        <v>116.7</v>
      </c>
      <c r="P59" s="5">
        <v>118.8</v>
      </c>
      <c r="Q59" s="5">
        <v>119.2</v>
      </c>
      <c r="R59" s="5">
        <v>119.3</v>
      </c>
      <c r="S59" s="5">
        <v>119.9</v>
      </c>
      <c r="T59" s="5">
        <v>121.6</v>
      </c>
      <c r="U59" s="5">
        <v>123.1</v>
      </c>
      <c r="V59" s="5">
        <v>123.9</v>
      </c>
      <c r="W59" s="5">
        <v>124.4</v>
      </c>
      <c r="X59" s="5">
        <v>123.5</v>
      </c>
      <c r="Y59" s="5">
        <v>123.8</v>
      </c>
      <c r="Z59" s="5">
        <v>123.7</v>
      </c>
      <c r="AA59" s="5">
        <v>123.2</v>
      </c>
      <c r="AB59" s="5">
        <v>123.9</v>
      </c>
      <c r="AC59" s="5">
        <v>125.1</v>
      </c>
      <c r="AD59" s="5">
        <v>125.4</v>
      </c>
      <c r="AE59" s="5">
        <v>126.4</v>
      </c>
      <c r="AF59" s="5">
        <v>128</v>
      </c>
      <c r="AG59" s="5">
        <v>131.80000000000001</v>
      </c>
      <c r="AH59" s="5">
        <v>132.5</v>
      </c>
      <c r="AI59" s="5">
        <v>131.4</v>
      </c>
      <c r="AJ59" s="5">
        <v>130.4</v>
      </c>
      <c r="AK59" s="5">
        <v>129.80000000000001</v>
      </c>
      <c r="AL59" s="5">
        <v>130.30000000000001</v>
      </c>
      <c r="AM59" s="5">
        <v>131.4</v>
      </c>
      <c r="AN59" s="5">
        <v>134.1</v>
      </c>
      <c r="AO59" s="5">
        <v>134.19999999999999</v>
      </c>
      <c r="AP59" s="5">
        <v>135.1</v>
      </c>
      <c r="AQ59" s="5">
        <v>136.80000000000001</v>
      </c>
      <c r="AR59" s="5">
        <v>139.1</v>
      </c>
      <c r="AS59" s="5">
        <v>140.5</v>
      </c>
      <c r="AT59" s="5">
        <v>141.19999999999999</v>
      </c>
      <c r="AU59" s="5">
        <v>139.30000000000001</v>
      </c>
      <c r="AV59" s="5">
        <v>138</v>
      </c>
      <c r="AW59" s="5">
        <v>137.9</v>
      </c>
      <c r="AX59" s="5">
        <v>137.80000000000001</v>
      </c>
      <c r="AY59" s="5">
        <v>137.6</v>
      </c>
      <c r="AZ59" s="5">
        <v>138.19999999999999</v>
      </c>
      <c r="BA59" s="5">
        <v>138.80000000000001</v>
      </c>
      <c r="BB59" s="5">
        <v>139</v>
      </c>
      <c r="BC59" s="5">
        <v>139.4</v>
      </c>
      <c r="BD59" s="5">
        <v>141.6</v>
      </c>
      <c r="BE59" s="5">
        <v>145.5</v>
      </c>
      <c r="BF59" s="5">
        <v>145.69999999999999</v>
      </c>
      <c r="BG59" s="5">
        <v>143.4</v>
      </c>
      <c r="BH59" s="5">
        <v>142.4</v>
      </c>
      <c r="BI59" s="5">
        <v>142.19999999999999</v>
      </c>
      <c r="BJ59" s="5">
        <v>142.4</v>
      </c>
      <c r="BK59" s="5">
        <v>143.30000000000001</v>
      </c>
      <c r="BL59" s="5">
        <v>144.19999999999999</v>
      </c>
      <c r="BM59" s="5">
        <v>143.5</v>
      </c>
      <c r="BN59" s="5">
        <v>143.6</v>
      </c>
      <c r="BO59" s="5">
        <v>144.4</v>
      </c>
      <c r="BP59" s="5">
        <v>146.6</v>
      </c>
      <c r="BQ59" s="5">
        <v>148.69999999999999</v>
      </c>
      <c r="BR59" s="5">
        <v>149.1</v>
      </c>
      <c r="BS59" s="5">
        <v>148</v>
      </c>
      <c r="BT59" s="5">
        <v>145.80000000000001</v>
      </c>
      <c r="BU59" s="5">
        <v>149.5</v>
      </c>
      <c r="BV59" s="5">
        <v>149.19999999999999</v>
      </c>
      <c r="BW59" s="5">
        <v>150.5</v>
      </c>
      <c r="BX59" s="5">
        <v>151.4</v>
      </c>
      <c r="BY59" s="5">
        <v>152</v>
      </c>
      <c r="BZ59" s="5">
        <v>153</v>
      </c>
      <c r="CA59" s="75">
        <v>156.4</v>
      </c>
      <c r="CB59" s="5">
        <v>158.5</v>
      </c>
      <c r="CC59" s="5">
        <v>162.1</v>
      </c>
      <c r="CD59" s="5">
        <v>162.69999999999999</v>
      </c>
      <c r="CE59" s="5">
        <v>160.6</v>
      </c>
      <c r="CF59" s="5">
        <v>160.80000000000001</v>
      </c>
      <c r="CG59" s="5">
        <v>161</v>
      </c>
      <c r="CH59" s="5">
        <v>163.19999999999999</v>
      </c>
      <c r="CI59" s="5">
        <v>165</v>
      </c>
      <c r="CJ59" s="5">
        <v>167.4</v>
      </c>
      <c r="CK59" s="5">
        <v>167.5</v>
      </c>
      <c r="CL59" s="5">
        <v>167</v>
      </c>
      <c r="CM59" s="5">
        <f>CL59</f>
        <v>167</v>
      </c>
      <c r="CN59" s="75">
        <v>179.85</v>
      </c>
      <c r="CO59" s="5">
        <v>192.7</v>
      </c>
      <c r="CP59" s="5">
        <v>192.7</v>
      </c>
      <c r="CQ59" s="5">
        <v>190.9</v>
      </c>
      <c r="CR59" s="5">
        <v>187.1</v>
      </c>
      <c r="CS59" s="5">
        <v>188.9</v>
      </c>
      <c r="CT59" s="5">
        <v>191</v>
      </c>
      <c r="CU59" s="5">
        <v>191</v>
      </c>
      <c r="CV59" s="5">
        <v>190.1</v>
      </c>
      <c r="CW59" s="5">
        <v>186.5</v>
      </c>
      <c r="CX59" s="5">
        <v>192.2</v>
      </c>
      <c r="CY59" s="5">
        <v>198</v>
      </c>
      <c r="CZ59" s="5">
        <v>200.5</v>
      </c>
      <c r="DA59" s="5">
        <v>202</v>
      </c>
      <c r="DB59" s="5">
        <v>206.8</v>
      </c>
      <c r="DC59" s="5">
        <v>204</v>
      </c>
      <c r="DD59" s="5">
        <v>204</v>
      </c>
      <c r="DE59" s="5">
        <v>204.6</v>
      </c>
      <c r="DF59" s="5">
        <v>201.6</v>
      </c>
      <c r="DG59" s="5">
        <v>198.8</v>
      </c>
      <c r="DH59" s="5">
        <v>198.7</v>
      </c>
      <c r="DI59" s="5">
        <v>200.6</v>
      </c>
      <c r="DJ59" s="5">
        <v>210.7</v>
      </c>
      <c r="DK59" s="5">
        <v>211.8</v>
      </c>
      <c r="DL59" s="5">
        <v>217</v>
      </c>
      <c r="DM59" s="5">
        <v>219.4</v>
      </c>
      <c r="DN59" s="5">
        <v>213</v>
      </c>
      <c r="DO59" s="5">
        <v>206.5</v>
      </c>
      <c r="DP59" s="5">
        <v>209.2</v>
      </c>
      <c r="DQ59" s="5">
        <v>210.9</v>
      </c>
      <c r="DR59" s="5">
        <v>209.4</v>
      </c>
      <c r="DS59" s="5">
        <v>209</v>
      </c>
      <c r="DT59" s="5">
        <v>210.7</v>
      </c>
      <c r="DU59" s="5">
        <v>207.7</v>
      </c>
      <c r="DV59" s="5">
        <v>207.7</v>
      </c>
      <c r="DW59" s="5">
        <v>209.3</v>
      </c>
      <c r="DX59" s="5">
        <v>214.3</v>
      </c>
      <c r="DY59">
        <f t="shared" si="0"/>
        <v>0</v>
      </c>
    </row>
    <row r="60" spans="1:129" x14ac:dyDescent="0.35">
      <c r="A60" s="34" t="s">
        <v>34</v>
      </c>
      <c r="B60" s="5" t="s">
        <v>51</v>
      </c>
      <c r="C60" s="5" t="s">
        <v>5</v>
      </c>
      <c r="D60" s="5">
        <v>110</v>
      </c>
      <c r="E60" s="5">
        <v>112.8</v>
      </c>
      <c r="F60" s="5">
        <v>111.2</v>
      </c>
      <c r="G60" s="5">
        <v>106.6</v>
      </c>
      <c r="H60" s="5">
        <v>104.7</v>
      </c>
      <c r="I60" s="5">
        <v>109.8</v>
      </c>
      <c r="J60" s="5">
        <v>111.9</v>
      </c>
      <c r="K60" s="5">
        <v>111.7</v>
      </c>
      <c r="L60" s="5">
        <v>112.3</v>
      </c>
      <c r="M60" s="5">
        <v>113.3</v>
      </c>
      <c r="N60" s="5">
        <v>118.7</v>
      </c>
      <c r="O60" s="5">
        <v>123.5</v>
      </c>
      <c r="P60" s="5">
        <v>124.1</v>
      </c>
      <c r="Q60" s="5">
        <v>122.5</v>
      </c>
      <c r="R60" s="5">
        <v>121</v>
      </c>
      <c r="S60" s="5">
        <v>116.2</v>
      </c>
      <c r="T60" s="5">
        <v>115.9</v>
      </c>
      <c r="U60" s="5">
        <v>115.8</v>
      </c>
      <c r="V60" s="5">
        <v>117.8</v>
      </c>
      <c r="W60" s="5">
        <v>117.3</v>
      </c>
      <c r="X60" s="5">
        <v>117.3</v>
      </c>
      <c r="Y60" s="5">
        <v>118.1</v>
      </c>
      <c r="Z60" s="5">
        <v>121</v>
      </c>
      <c r="AA60" s="5">
        <v>123.5</v>
      </c>
      <c r="AB60" s="5">
        <v>123.8</v>
      </c>
      <c r="AC60" s="5">
        <v>121.1</v>
      </c>
      <c r="AD60" s="5">
        <v>116.8</v>
      </c>
      <c r="AE60" s="5">
        <v>114.4</v>
      </c>
      <c r="AF60" s="5">
        <v>115</v>
      </c>
      <c r="AG60" s="5">
        <v>121.6</v>
      </c>
      <c r="AH60" s="5">
        <v>121</v>
      </c>
      <c r="AI60" s="5">
        <v>120.1</v>
      </c>
      <c r="AJ60" s="5">
        <v>118.7</v>
      </c>
      <c r="AK60" s="5">
        <v>118.9</v>
      </c>
      <c r="AL60" s="5">
        <v>121.6</v>
      </c>
      <c r="AM60" s="5">
        <v>124.8</v>
      </c>
      <c r="AN60" s="5">
        <v>128.6</v>
      </c>
      <c r="AO60" s="5">
        <v>128.69999999999999</v>
      </c>
      <c r="AP60" s="5">
        <v>124.6</v>
      </c>
      <c r="AQ60" s="5">
        <v>122</v>
      </c>
      <c r="AR60" s="5">
        <v>125.4</v>
      </c>
      <c r="AS60" s="5">
        <v>128.30000000000001</v>
      </c>
      <c r="AT60" s="5">
        <v>132.30000000000001</v>
      </c>
      <c r="AU60" s="5">
        <v>131.6</v>
      </c>
      <c r="AV60" s="5">
        <v>130.5</v>
      </c>
      <c r="AW60" s="5">
        <v>130.19999999999999</v>
      </c>
      <c r="AX60" s="5">
        <v>132</v>
      </c>
      <c r="AY60" s="5">
        <v>132.9</v>
      </c>
      <c r="AZ60" s="5">
        <v>132.19999999999999</v>
      </c>
      <c r="BA60" s="5">
        <v>129.30000000000001</v>
      </c>
      <c r="BB60" s="5">
        <v>128.6</v>
      </c>
      <c r="BC60" s="5">
        <v>126.1</v>
      </c>
      <c r="BD60" s="5">
        <v>126.3</v>
      </c>
      <c r="BE60" s="5">
        <v>128.1</v>
      </c>
      <c r="BF60" s="5">
        <v>129.6</v>
      </c>
      <c r="BG60" s="5">
        <v>129.30000000000001</v>
      </c>
      <c r="BH60" s="5">
        <v>130.19999999999999</v>
      </c>
      <c r="BI60" s="5">
        <v>131.19999999999999</v>
      </c>
      <c r="BJ60" s="5">
        <v>142.9</v>
      </c>
      <c r="BK60" s="5">
        <v>145.19999999999999</v>
      </c>
      <c r="BL60" s="5">
        <v>143.69999999999999</v>
      </c>
      <c r="BM60" s="5">
        <v>140.30000000000001</v>
      </c>
      <c r="BN60" s="5">
        <v>138.30000000000001</v>
      </c>
      <c r="BO60" s="5">
        <v>133.9</v>
      </c>
      <c r="BP60" s="5">
        <v>133.6</v>
      </c>
      <c r="BQ60" s="5">
        <v>135.6</v>
      </c>
      <c r="BR60" s="5">
        <v>139.19999999999999</v>
      </c>
      <c r="BS60" s="5">
        <v>138.1</v>
      </c>
      <c r="BT60" s="5">
        <v>135.1</v>
      </c>
      <c r="BU60" s="5">
        <v>137.30000000000001</v>
      </c>
      <c r="BV60" s="5">
        <v>137.1</v>
      </c>
      <c r="BW60" s="5">
        <v>138.80000000000001</v>
      </c>
      <c r="BX60" s="5">
        <v>140.19999999999999</v>
      </c>
      <c r="BY60" s="5">
        <v>141.5</v>
      </c>
      <c r="BZ60" s="5">
        <v>140.30000000000001</v>
      </c>
      <c r="CA60" s="75">
        <v>138.9</v>
      </c>
      <c r="CB60" s="5">
        <v>136</v>
      </c>
      <c r="CC60" s="5">
        <v>137.80000000000001</v>
      </c>
      <c r="CD60" s="5">
        <v>140</v>
      </c>
      <c r="CE60" s="5">
        <v>138.5</v>
      </c>
      <c r="CF60" s="5">
        <v>139.6</v>
      </c>
      <c r="CG60" s="5">
        <v>142.6</v>
      </c>
      <c r="CH60" s="5">
        <v>145.6</v>
      </c>
      <c r="CI60" s="5">
        <v>151.1</v>
      </c>
      <c r="CJ60" s="5">
        <v>154.9</v>
      </c>
      <c r="CK60" s="5">
        <v>151.80000000000001</v>
      </c>
      <c r="CL60" s="5">
        <v>148.1</v>
      </c>
      <c r="CM60" s="5">
        <v>148.80000000000001</v>
      </c>
      <c r="CN60" s="75">
        <v>149.92500000000001</v>
      </c>
      <c r="CO60" s="5">
        <v>151.4</v>
      </c>
      <c r="CP60" s="5">
        <v>151.4</v>
      </c>
      <c r="CQ60" s="5">
        <v>150.80000000000001</v>
      </c>
      <c r="CR60" s="5">
        <v>152.5</v>
      </c>
      <c r="CS60" s="5">
        <v>161.4</v>
      </c>
      <c r="CT60" s="5">
        <v>173.6</v>
      </c>
      <c r="CU60" s="5">
        <v>175.3</v>
      </c>
      <c r="CV60" s="5">
        <v>175.3</v>
      </c>
      <c r="CW60" s="5">
        <v>168.7</v>
      </c>
      <c r="CX60" s="5">
        <v>163.80000000000001</v>
      </c>
      <c r="CY60" s="5">
        <v>164.6</v>
      </c>
      <c r="CZ60" s="5">
        <v>170.3</v>
      </c>
      <c r="DA60" s="5">
        <v>180.7</v>
      </c>
      <c r="DB60" s="5">
        <v>182.2</v>
      </c>
      <c r="DC60" s="5">
        <v>172.8</v>
      </c>
      <c r="DD60" s="5">
        <v>172.8</v>
      </c>
      <c r="DE60" s="5">
        <v>171.2</v>
      </c>
      <c r="DF60" s="5">
        <v>173</v>
      </c>
      <c r="DG60" s="5">
        <v>177.9</v>
      </c>
      <c r="DH60" s="5">
        <v>178.8</v>
      </c>
      <c r="DI60" s="5">
        <v>175.8</v>
      </c>
      <c r="DJ60" s="5">
        <v>167.8</v>
      </c>
      <c r="DK60" s="5">
        <v>164.5</v>
      </c>
      <c r="DL60" s="5">
        <v>162.4</v>
      </c>
      <c r="DM60" s="5">
        <v>170.8</v>
      </c>
      <c r="DN60" s="5">
        <v>175.2</v>
      </c>
      <c r="DO60" s="5">
        <v>169.2</v>
      </c>
      <c r="DP60" s="5">
        <v>169.7</v>
      </c>
      <c r="DQ60" s="5">
        <v>170.9</v>
      </c>
      <c r="DR60" s="5">
        <v>181.4</v>
      </c>
      <c r="DS60" s="5">
        <v>190.2</v>
      </c>
      <c r="DT60" s="5">
        <v>194.5</v>
      </c>
      <c r="DU60" s="5">
        <v>175.2</v>
      </c>
      <c r="DV60" s="5">
        <v>175.2</v>
      </c>
      <c r="DW60" s="5">
        <v>169.6</v>
      </c>
      <c r="DX60" s="5">
        <v>173.2</v>
      </c>
      <c r="DY60">
        <f t="shared" si="0"/>
        <v>0</v>
      </c>
    </row>
    <row r="61" spans="1:129" x14ac:dyDescent="0.35">
      <c r="A61" s="34" t="s">
        <v>34</v>
      </c>
      <c r="B61" s="5" t="s">
        <v>51</v>
      </c>
      <c r="C61" s="5" t="s">
        <v>6</v>
      </c>
      <c r="D61" s="5">
        <v>104.4</v>
      </c>
      <c r="E61" s="5">
        <v>104.9</v>
      </c>
      <c r="F61" s="5">
        <v>105.1</v>
      </c>
      <c r="G61" s="5">
        <v>105.7</v>
      </c>
      <c r="H61" s="5">
        <v>106.8</v>
      </c>
      <c r="I61" s="5">
        <v>107.9</v>
      </c>
      <c r="J61" s="5">
        <v>108.9</v>
      </c>
      <c r="K61" s="5">
        <v>109.6</v>
      </c>
      <c r="L61" s="5">
        <v>110.5</v>
      </c>
      <c r="M61" s="5">
        <v>111.2</v>
      </c>
      <c r="N61" s="5">
        <v>112.5</v>
      </c>
      <c r="O61" s="5">
        <v>113.4</v>
      </c>
      <c r="P61" s="5">
        <v>114.1</v>
      </c>
      <c r="Q61" s="5">
        <v>115.1</v>
      </c>
      <c r="R61" s="5">
        <v>116.1</v>
      </c>
      <c r="S61" s="5">
        <v>117</v>
      </c>
      <c r="T61" s="5">
        <v>118.4</v>
      </c>
      <c r="U61" s="5">
        <v>119.7</v>
      </c>
      <c r="V61" s="5">
        <v>121</v>
      </c>
      <c r="W61" s="5">
        <v>122</v>
      </c>
      <c r="X61" s="5">
        <v>122.7</v>
      </c>
      <c r="Y61" s="5">
        <v>123.2</v>
      </c>
      <c r="Z61" s="5">
        <v>124.2</v>
      </c>
      <c r="AA61" s="5">
        <v>124.5</v>
      </c>
      <c r="AB61" s="5">
        <v>125</v>
      </c>
      <c r="AC61" s="5">
        <v>125.7</v>
      </c>
      <c r="AD61" s="5">
        <v>126</v>
      </c>
      <c r="AE61" s="5">
        <v>126.6</v>
      </c>
      <c r="AF61" s="5">
        <v>127.3</v>
      </c>
      <c r="AG61" s="5">
        <v>128.19999999999999</v>
      </c>
      <c r="AH61" s="5">
        <v>128.30000000000001</v>
      </c>
      <c r="AI61" s="5">
        <v>128.5</v>
      </c>
      <c r="AJ61" s="5">
        <v>128.9</v>
      </c>
      <c r="AK61" s="5">
        <v>129.1</v>
      </c>
      <c r="AL61" s="5">
        <v>129.19999999999999</v>
      </c>
      <c r="AM61" s="5">
        <v>129.4</v>
      </c>
      <c r="AN61" s="5">
        <v>129.9</v>
      </c>
      <c r="AO61" s="5">
        <v>130.30000000000001</v>
      </c>
      <c r="AP61" s="5">
        <v>130.19999999999999</v>
      </c>
      <c r="AQ61" s="5">
        <v>130.9</v>
      </c>
      <c r="AR61" s="5">
        <v>131.69999999999999</v>
      </c>
      <c r="AS61" s="5">
        <v>132.6</v>
      </c>
      <c r="AT61" s="5">
        <v>133.5</v>
      </c>
      <c r="AU61" s="5">
        <v>134.1</v>
      </c>
      <c r="AV61" s="5">
        <v>134.4</v>
      </c>
      <c r="AW61" s="5">
        <v>134.80000000000001</v>
      </c>
      <c r="AX61" s="5">
        <v>135</v>
      </c>
      <c r="AY61" s="5">
        <v>135.1</v>
      </c>
      <c r="AZ61" s="5">
        <v>135.4</v>
      </c>
      <c r="BA61" s="5">
        <v>135.80000000000001</v>
      </c>
      <c r="BB61" s="5">
        <v>136.30000000000001</v>
      </c>
      <c r="BC61" s="5">
        <v>137.19999999999999</v>
      </c>
      <c r="BD61" s="5">
        <v>137.69999999999999</v>
      </c>
      <c r="BE61" s="5">
        <v>138.1</v>
      </c>
      <c r="BF61" s="5">
        <v>138.5</v>
      </c>
      <c r="BG61" s="5">
        <v>139</v>
      </c>
      <c r="BH61" s="5">
        <v>139.6</v>
      </c>
      <c r="BI61" s="5">
        <v>140.6</v>
      </c>
      <c r="BJ61" s="5">
        <v>140.80000000000001</v>
      </c>
      <c r="BK61" s="5">
        <v>141</v>
      </c>
      <c r="BL61" s="5">
        <v>141.1</v>
      </c>
      <c r="BM61" s="5">
        <v>140.9</v>
      </c>
      <c r="BN61" s="5">
        <v>141.19999999999999</v>
      </c>
      <c r="BO61" s="5">
        <v>141.6</v>
      </c>
      <c r="BP61" s="5">
        <v>142.1</v>
      </c>
      <c r="BQ61" s="5">
        <v>142.30000000000001</v>
      </c>
      <c r="BR61" s="5">
        <v>142.5</v>
      </c>
      <c r="BS61" s="5">
        <v>142.6</v>
      </c>
      <c r="BT61" s="5">
        <v>142.9</v>
      </c>
      <c r="BU61" s="5">
        <v>141.9</v>
      </c>
      <c r="BV61" s="5">
        <v>141.80000000000001</v>
      </c>
      <c r="BW61" s="5">
        <v>142.1</v>
      </c>
      <c r="BX61" s="5">
        <v>142.1</v>
      </c>
      <c r="BY61" s="5">
        <v>142.19999999999999</v>
      </c>
      <c r="BZ61" s="5">
        <v>142.30000000000001</v>
      </c>
      <c r="CA61" s="75">
        <v>142.57499999999999</v>
      </c>
      <c r="CB61" s="5">
        <v>142.5</v>
      </c>
      <c r="CC61" s="5">
        <v>143.30000000000001</v>
      </c>
      <c r="CD61" s="5">
        <v>144</v>
      </c>
      <c r="CE61" s="5">
        <v>144.69999999999999</v>
      </c>
      <c r="CF61" s="5">
        <v>145.4</v>
      </c>
      <c r="CG61" s="5">
        <v>146.19999999999999</v>
      </c>
      <c r="CH61" s="5">
        <v>146.69999999999999</v>
      </c>
      <c r="CI61" s="5">
        <v>148.30000000000001</v>
      </c>
      <c r="CJ61" s="5">
        <v>150.1</v>
      </c>
      <c r="CK61" s="5">
        <v>150.80000000000001</v>
      </c>
      <c r="CL61" s="5">
        <v>151.5</v>
      </c>
      <c r="CM61" s="5">
        <v>155.6</v>
      </c>
      <c r="CN61" s="75">
        <v>153.42500000000001</v>
      </c>
      <c r="CO61" s="5">
        <v>153.30000000000001</v>
      </c>
      <c r="CP61" s="5">
        <v>153.30000000000001</v>
      </c>
      <c r="CQ61" s="5">
        <v>153.30000000000001</v>
      </c>
      <c r="CR61" s="5">
        <v>153.6</v>
      </c>
      <c r="CS61" s="5">
        <v>153.6</v>
      </c>
      <c r="CT61" s="5">
        <v>153.80000000000001</v>
      </c>
      <c r="CU61" s="5">
        <v>154.1</v>
      </c>
      <c r="CV61" s="5">
        <v>154.1</v>
      </c>
      <c r="CW61" s="5">
        <v>154.69999999999999</v>
      </c>
      <c r="CX61" s="5">
        <v>154.9</v>
      </c>
      <c r="CY61" s="5">
        <v>155.4</v>
      </c>
      <c r="CZ61" s="5">
        <v>156.1</v>
      </c>
      <c r="DA61" s="5">
        <v>156.19999999999999</v>
      </c>
      <c r="DB61" s="5">
        <v>157.5</v>
      </c>
      <c r="DC61" s="5">
        <v>158.4</v>
      </c>
      <c r="DD61" s="5">
        <v>158.4</v>
      </c>
      <c r="DE61" s="5">
        <v>158.69999999999999</v>
      </c>
      <c r="DF61" s="5">
        <v>159.30000000000001</v>
      </c>
      <c r="DG61" s="5">
        <v>159.9</v>
      </c>
      <c r="DH61" s="5">
        <v>160.5</v>
      </c>
      <c r="DI61" s="5">
        <v>160.69999999999999</v>
      </c>
      <c r="DJ61" s="5">
        <v>162.19999999999999</v>
      </c>
      <c r="DK61" s="5">
        <v>163.9</v>
      </c>
      <c r="DL61" s="5">
        <v>164.9</v>
      </c>
      <c r="DM61" s="5">
        <v>165.8</v>
      </c>
      <c r="DN61" s="5">
        <v>166.6</v>
      </c>
      <c r="DO61" s="5">
        <v>168.1</v>
      </c>
      <c r="DP61" s="5">
        <v>169.7</v>
      </c>
      <c r="DQ61" s="5">
        <v>170.9</v>
      </c>
      <c r="DR61" s="5">
        <v>172.3</v>
      </c>
      <c r="DS61" s="5">
        <v>173.6</v>
      </c>
      <c r="DT61" s="5">
        <v>174.6</v>
      </c>
      <c r="DU61" s="5">
        <v>177.3</v>
      </c>
      <c r="DV61" s="5">
        <v>177.3</v>
      </c>
      <c r="DW61" s="5">
        <v>178.4</v>
      </c>
      <c r="DX61" s="5">
        <v>179.5</v>
      </c>
      <c r="DY61">
        <f t="shared" si="0"/>
        <v>0</v>
      </c>
    </row>
    <row r="62" spans="1:129" x14ac:dyDescent="0.35">
      <c r="A62" s="34" t="s">
        <v>34</v>
      </c>
      <c r="B62" s="5" t="s">
        <v>51</v>
      </c>
      <c r="C62" s="5" t="s">
        <v>7</v>
      </c>
      <c r="D62" s="5">
        <v>105.1</v>
      </c>
      <c r="E62" s="5">
        <v>105.5</v>
      </c>
      <c r="F62" s="5">
        <v>104.9</v>
      </c>
      <c r="G62" s="5">
        <v>104.4</v>
      </c>
      <c r="H62" s="5">
        <v>103.9</v>
      </c>
      <c r="I62" s="5">
        <v>104.2</v>
      </c>
      <c r="J62" s="5">
        <v>104.3</v>
      </c>
      <c r="K62" s="5">
        <v>104.5</v>
      </c>
      <c r="L62" s="5">
        <v>105.3</v>
      </c>
      <c r="M62" s="5">
        <v>105.7</v>
      </c>
      <c r="N62" s="5">
        <v>106.8</v>
      </c>
      <c r="O62" s="5">
        <v>107.3</v>
      </c>
      <c r="P62" s="5">
        <v>106.8</v>
      </c>
      <c r="Q62" s="5">
        <v>106.6</v>
      </c>
      <c r="R62" s="5">
        <v>106.9</v>
      </c>
      <c r="S62" s="5">
        <v>107.3</v>
      </c>
      <c r="T62" s="5">
        <v>107.7</v>
      </c>
      <c r="U62" s="5">
        <v>107.8</v>
      </c>
      <c r="V62" s="5">
        <v>107.9</v>
      </c>
      <c r="W62" s="5">
        <v>108</v>
      </c>
      <c r="X62" s="5">
        <v>107.9</v>
      </c>
      <c r="Y62" s="5">
        <v>107.9</v>
      </c>
      <c r="Z62" s="5">
        <v>107.8</v>
      </c>
      <c r="AA62" s="5">
        <v>107.6</v>
      </c>
      <c r="AB62" s="5">
        <v>108.5</v>
      </c>
      <c r="AC62" s="5">
        <v>109.1</v>
      </c>
      <c r="AD62" s="5">
        <v>109.2</v>
      </c>
      <c r="AE62" s="5">
        <v>109.2</v>
      </c>
      <c r="AF62" s="5">
        <v>109.8</v>
      </c>
      <c r="AG62" s="5">
        <v>111.1</v>
      </c>
      <c r="AH62" s="5">
        <v>110.9</v>
      </c>
      <c r="AI62" s="5">
        <v>111.4</v>
      </c>
      <c r="AJ62" s="5">
        <v>111.9</v>
      </c>
      <c r="AK62" s="5">
        <v>113.3</v>
      </c>
      <c r="AL62" s="5">
        <v>114.9</v>
      </c>
      <c r="AM62" s="5">
        <v>115.3</v>
      </c>
      <c r="AN62" s="5">
        <v>115.5</v>
      </c>
      <c r="AO62" s="5">
        <v>114.8</v>
      </c>
      <c r="AP62" s="5">
        <v>114.5</v>
      </c>
      <c r="AQ62" s="5">
        <v>114.8</v>
      </c>
      <c r="AR62" s="5">
        <v>115</v>
      </c>
      <c r="AS62" s="5">
        <v>115.5</v>
      </c>
      <c r="AT62" s="5">
        <v>116.4</v>
      </c>
      <c r="AU62" s="5">
        <v>116.9</v>
      </c>
      <c r="AV62" s="5">
        <v>117.2</v>
      </c>
      <c r="AW62" s="5">
        <v>117.8</v>
      </c>
      <c r="AX62" s="5">
        <v>118</v>
      </c>
      <c r="AY62" s="5">
        <v>118.6</v>
      </c>
      <c r="AZ62" s="5">
        <v>119.1</v>
      </c>
      <c r="BA62" s="5">
        <v>119.2</v>
      </c>
      <c r="BB62" s="5">
        <v>118.8</v>
      </c>
      <c r="BC62" s="5">
        <v>118.4</v>
      </c>
      <c r="BD62" s="5">
        <v>118.1</v>
      </c>
      <c r="BE62" s="5">
        <v>118.2</v>
      </c>
      <c r="BF62" s="5">
        <v>118.1</v>
      </c>
      <c r="BG62" s="5">
        <v>118.1</v>
      </c>
      <c r="BH62" s="5">
        <v>118.4</v>
      </c>
      <c r="BI62" s="5">
        <v>119</v>
      </c>
      <c r="BJ62" s="5">
        <v>119.2</v>
      </c>
      <c r="BK62" s="5">
        <v>120.5</v>
      </c>
      <c r="BL62" s="5">
        <v>120.7</v>
      </c>
      <c r="BM62" s="5">
        <v>120.4</v>
      </c>
      <c r="BN62" s="5">
        <v>120.7</v>
      </c>
      <c r="BO62" s="5">
        <v>121</v>
      </c>
      <c r="BP62" s="5">
        <v>121</v>
      </c>
      <c r="BQ62" s="5">
        <v>121.3</v>
      </c>
      <c r="BR62" s="5">
        <v>121.4</v>
      </c>
      <c r="BS62" s="5">
        <v>122.2</v>
      </c>
      <c r="BT62" s="5">
        <v>122.1</v>
      </c>
      <c r="BU62" s="5">
        <v>121.1</v>
      </c>
      <c r="BV62" s="5">
        <v>121.1</v>
      </c>
      <c r="BW62" s="5">
        <v>122</v>
      </c>
      <c r="BX62" s="5">
        <v>121.8</v>
      </c>
      <c r="BY62" s="5">
        <v>122</v>
      </c>
      <c r="BZ62" s="5">
        <v>122</v>
      </c>
      <c r="CA62" s="75">
        <v>122.05</v>
      </c>
      <c r="CB62" s="5">
        <v>122</v>
      </c>
      <c r="CC62" s="5">
        <v>122.2</v>
      </c>
      <c r="CD62" s="5">
        <v>122.5</v>
      </c>
      <c r="CE62" s="5">
        <v>122.9</v>
      </c>
      <c r="CF62" s="5">
        <v>123.5</v>
      </c>
      <c r="CG62" s="5">
        <v>123.9</v>
      </c>
      <c r="CH62" s="5">
        <v>124.3</v>
      </c>
      <c r="CI62" s="5">
        <v>125.7</v>
      </c>
      <c r="CJ62" s="5">
        <v>129.9</v>
      </c>
      <c r="CK62" s="5">
        <v>131.4</v>
      </c>
      <c r="CL62" s="5">
        <v>131.19999999999999</v>
      </c>
      <c r="CM62" s="5">
        <v>135.1</v>
      </c>
      <c r="CN62" s="75">
        <v>134.72499999999999</v>
      </c>
      <c r="CO62" s="5">
        <v>136.30000000000001</v>
      </c>
      <c r="CP62" s="5">
        <v>136.30000000000001</v>
      </c>
      <c r="CQ62" s="5">
        <v>137.4</v>
      </c>
      <c r="CR62" s="5">
        <v>138.19999999999999</v>
      </c>
      <c r="CS62" s="5">
        <v>140.1</v>
      </c>
      <c r="CT62" s="5">
        <v>142.69999999999999</v>
      </c>
      <c r="CU62" s="5">
        <v>146.6</v>
      </c>
      <c r="CV62" s="5">
        <v>150.9</v>
      </c>
      <c r="CW62" s="5">
        <v>158.69999999999999</v>
      </c>
      <c r="CX62" s="5">
        <v>163.9</v>
      </c>
      <c r="CY62" s="5">
        <v>170.1</v>
      </c>
      <c r="CZ62" s="5">
        <v>178.7</v>
      </c>
      <c r="DA62" s="5">
        <v>183.7</v>
      </c>
      <c r="DB62" s="5">
        <v>182.1</v>
      </c>
      <c r="DC62" s="5">
        <v>188</v>
      </c>
      <c r="DD62" s="5">
        <v>188</v>
      </c>
      <c r="DE62" s="5">
        <v>190.6</v>
      </c>
      <c r="DF62" s="5">
        <v>190.1</v>
      </c>
      <c r="DG62" s="5">
        <v>187.6</v>
      </c>
      <c r="DH62" s="5">
        <v>184.7</v>
      </c>
      <c r="DI62" s="5">
        <v>184.9</v>
      </c>
      <c r="DJ62" s="5">
        <v>194.6</v>
      </c>
      <c r="DK62" s="5">
        <v>199.5</v>
      </c>
      <c r="DL62" s="5">
        <v>202.4</v>
      </c>
      <c r="DM62" s="5">
        <v>200.9</v>
      </c>
      <c r="DN62" s="5">
        <v>195.8</v>
      </c>
      <c r="DO62" s="5">
        <v>192.4</v>
      </c>
      <c r="DP62" s="5">
        <v>188.7</v>
      </c>
      <c r="DQ62" s="5">
        <v>186.5</v>
      </c>
      <c r="DR62" s="5">
        <v>188.9</v>
      </c>
      <c r="DS62" s="5">
        <v>188.5</v>
      </c>
      <c r="DT62" s="5">
        <v>187.2</v>
      </c>
      <c r="DU62" s="5">
        <v>179.3</v>
      </c>
      <c r="DV62" s="5">
        <v>179.2</v>
      </c>
      <c r="DW62" s="5">
        <v>174.9</v>
      </c>
      <c r="DX62" s="5">
        <v>170</v>
      </c>
      <c r="DY62">
        <f t="shared" si="0"/>
        <v>0</v>
      </c>
    </row>
    <row r="63" spans="1:129" x14ac:dyDescent="0.35">
      <c r="A63" s="34" t="s">
        <v>34</v>
      </c>
      <c r="B63" s="5" t="s">
        <v>51</v>
      </c>
      <c r="C63" s="5" t="s">
        <v>8</v>
      </c>
      <c r="D63" s="5">
        <v>103.2</v>
      </c>
      <c r="E63" s="5">
        <v>103.6</v>
      </c>
      <c r="F63" s="5">
        <v>105.3</v>
      </c>
      <c r="G63" s="5">
        <v>108.9</v>
      </c>
      <c r="H63" s="5">
        <v>109.3</v>
      </c>
      <c r="I63" s="5">
        <v>110.7</v>
      </c>
      <c r="J63" s="5">
        <v>111.7</v>
      </c>
      <c r="K63" s="5">
        <v>109.8</v>
      </c>
      <c r="L63" s="5">
        <v>107.3</v>
      </c>
      <c r="M63" s="5">
        <v>109.9</v>
      </c>
      <c r="N63" s="5">
        <v>113.5</v>
      </c>
      <c r="O63" s="5">
        <v>113.3</v>
      </c>
      <c r="P63" s="5">
        <v>113.9</v>
      </c>
      <c r="Q63" s="5">
        <v>115.4</v>
      </c>
      <c r="R63" s="5">
        <v>118.7</v>
      </c>
      <c r="S63" s="5">
        <v>126.1</v>
      </c>
      <c r="T63" s="5">
        <v>127.7</v>
      </c>
      <c r="U63" s="5">
        <v>128.30000000000001</v>
      </c>
      <c r="V63" s="5">
        <v>131.19999999999999</v>
      </c>
      <c r="W63" s="5">
        <v>131.1</v>
      </c>
      <c r="X63" s="5">
        <v>127.3</v>
      </c>
      <c r="Y63" s="5">
        <v>126.4</v>
      </c>
      <c r="Z63" s="5">
        <v>125.7</v>
      </c>
      <c r="AA63" s="5">
        <v>125.7</v>
      </c>
      <c r="AB63" s="5">
        <v>126.2</v>
      </c>
      <c r="AC63" s="5">
        <v>125.8</v>
      </c>
      <c r="AD63" s="5">
        <v>127.6</v>
      </c>
      <c r="AE63" s="5">
        <v>132.5</v>
      </c>
      <c r="AF63" s="5">
        <v>132.6</v>
      </c>
      <c r="AG63" s="5">
        <v>132.80000000000001</v>
      </c>
      <c r="AH63" s="5">
        <v>133.1</v>
      </c>
      <c r="AI63" s="5">
        <v>132.30000000000001</v>
      </c>
      <c r="AJ63" s="5">
        <v>128.4</v>
      </c>
      <c r="AK63" s="5">
        <v>129</v>
      </c>
      <c r="AL63" s="5">
        <v>128.19999999999999</v>
      </c>
      <c r="AM63" s="5">
        <v>126.6</v>
      </c>
      <c r="AN63" s="5">
        <v>125.7</v>
      </c>
      <c r="AO63" s="5">
        <v>124.9</v>
      </c>
      <c r="AP63" s="5">
        <v>126.2</v>
      </c>
      <c r="AQ63" s="5">
        <v>134.80000000000001</v>
      </c>
      <c r="AR63" s="5">
        <v>136</v>
      </c>
      <c r="AS63" s="5">
        <v>136.5</v>
      </c>
      <c r="AT63" s="5">
        <v>137.80000000000001</v>
      </c>
      <c r="AU63" s="5">
        <v>138.1</v>
      </c>
      <c r="AV63" s="5">
        <v>136.1</v>
      </c>
      <c r="AW63" s="5">
        <v>134.69999999999999</v>
      </c>
      <c r="AX63" s="5">
        <v>134.1</v>
      </c>
      <c r="AY63" s="5">
        <v>132.69999999999999</v>
      </c>
      <c r="AZ63" s="5">
        <v>133</v>
      </c>
      <c r="BA63" s="5">
        <v>135.30000000000001</v>
      </c>
      <c r="BB63" s="5">
        <v>138.30000000000001</v>
      </c>
      <c r="BC63" s="5">
        <v>139.9</v>
      </c>
      <c r="BD63" s="5">
        <v>137.9</v>
      </c>
      <c r="BE63" s="5">
        <v>139.19999999999999</v>
      </c>
      <c r="BF63" s="5">
        <v>141.80000000000001</v>
      </c>
      <c r="BG63" s="5">
        <v>145.5</v>
      </c>
      <c r="BH63" s="5">
        <v>143</v>
      </c>
      <c r="BI63" s="5">
        <v>141.5</v>
      </c>
      <c r="BJ63" s="5">
        <v>142.19999999999999</v>
      </c>
      <c r="BK63" s="5">
        <v>141.5</v>
      </c>
      <c r="BL63" s="5">
        <v>141.30000000000001</v>
      </c>
      <c r="BM63" s="5">
        <v>142.9</v>
      </c>
      <c r="BN63" s="5">
        <v>146.19999999999999</v>
      </c>
      <c r="BO63" s="5">
        <v>153.5</v>
      </c>
      <c r="BP63" s="5">
        <v>154.6</v>
      </c>
      <c r="BQ63" s="5">
        <v>153.19999999999999</v>
      </c>
      <c r="BR63" s="5">
        <v>151.6</v>
      </c>
      <c r="BS63" s="5">
        <v>150.6</v>
      </c>
      <c r="BT63" s="5">
        <v>145.4</v>
      </c>
      <c r="BU63" s="5">
        <v>142.5</v>
      </c>
      <c r="BV63" s="5">
        <v>142.80000000000001</v>
      </c>
      <c r="BW63" s="5">
        <v>139.4</v>
      </c>
      <c r="BX63" s="5">
        <v>135.4</v>
      </c>
      <c r="BY63" s="5">
        <v>136.4</v>
      </c>
      <c r="BZ63" s="5">
        <v>137.6</v>
      </c>
      <c r="CA63" s="75">
        <v>141.82499999999999</v>
      </c>
      <c r="CB63" s="5">
        <v>146.5</v>
      </c>
      <c r="CC63" s="5">
        <v>146.80000000000001</v>
      </c>
      <c r="CD63" s="5">
        <v>150.30000000000001</v>
      </c>
      <c r="CE63" s="5">
        <v>149.4</v>
      </c>
      <c r="CF63" s="5">
        <v>146.6</v>
      </c>
      <c r="CG63" s="5">
        <v>148</v>
      </c>
      <c r="CH63" s="5">
        <v>147.4</v>
      </c>
      <c r="CI63" s="5">
        <v>145.69999999999999</v>
      </c>
      <c r="CJ63" s="5">
        <v>143.19999999999999</v>
      </c>
      <c r="CK63" s="5">
        <v>141.80000000000001</v>
      </c>
      <c r="CL63" s="5">
        <v>142.5</v>
      </c>
      <c r="CM63" s="5">
        <v>149.9</v>
      </c>
      <c r="CN63" s="75">
        <v>146.69999999999999</v>
      </c>
      <c r="CO63" s="5">
        <v>147.19999999999999</v>
      </c>
      <c r="CP63" s="5">
        <v>147.19999999999999</v>
      </c>
      <c r="CQ63" s="5">
        <v>150.4</v>
      </c>
      <c r="CR63" s="5">
        <v>150.9</v>
      </c>
      <c r="CS63" s="5">
        <v>151.19999999999999</v>
      </c>
      <c r="CT63" s="5">
        <v>148.4</v>
      </c>
      <c r="CU63" s="5">
        <v>147.69999999999999</v>
      </c>
      <c r="CV63" s="5">
        <v>149.6</v>
      </c>
      <c r="CW63" s="5">
        <v>150.69999999999999</v>
      </c>
      <c r="CX63" s="5">
        <v>153.69999999999999</v>
      </c>
      <c r="CY63" s="5">
        <v>164.4</v>
      </c>
      <c r="CZ63" s="5">
        <v>167.1</v>
      </c>
      <c r="DA63" s="5">
        <v>164.6</v>
      </c>
      <c r="DB63" s="5">
        <v>163.9</v>
      </c>
      <c r="DC63" s="5">
        <v>156.80000000000001</v>
      </c>
      <c r="DD63" s="5">
        <v>156.69999999999999</v>
      </c>
      <c r="DE63" s="5">
        <v>155.69999999999999</v>
      </c>
      <c r="DF63" s="5">
        <v>156.5</v>
      </c>
      <c r="DG63" s="5">
        <v>154.9</v>
      </c>
      <c r="DH63" s="5">
        <v>153.69999999999999</v>
      </c>
      <c r="DI63" s="5">
        <v>153.69999999999999</v>
      </c>
      <c r="DJ63" s="5">
        <v>157.6</v>
      </c>
      <c r="DK63" s="5">
        <v>172.6</v>
      </c>
      <c r="DL63" s="5">
        <v>171</v>
      </c>
      <c r="DM63" s="5">
        <v>169.7</v>
      </c>
      <c r="DN63" s="5">
        <v>174.2</v>
      </c>
      <c r="DO63" s="5">
        <v>172.9</v>
      </c>
      <c r="DP63" s="5">
        <v>165.7</v>
      </c>
      <c r="DQ63" s="5">
        <v>163.80000000000001</v>
      </c>
      <c r="DR63" s="5">
        <v>160.69999999999999</v>
      </c>
      <c r="DS63" s="5">
        <v>158</v>
      </c>
      <c r="DT63" s="5">
        <v>158.30000000000001</v>
      </c>
      <c r="DU63" s="5">
        <v>169.5</v>
      </c>
      <c r="DV63" s="5">
        <v>169.5</v>
      </c>
      <c r="DW63" s="5">
        <v>176.3</v>
      </c>
      <c r="DX63" s="5">
        <v>172.2</v>
      </c>
      <c r="DY63">
        <f t="shared" si="0"/>
        <v>0</v>
      </c>
    </row>
    <row r="64" spans="1:129" x14ac:dyDescent="0.35">
      <c r="A64" s="34" t="s">
        <v>34</v>
      </c>
      <c r="B64" s="5" t="s">
        <v>51</v>
      </c>
      <c r="C64" s="5" t="s">
        <v>9</v>
      </c>
      <c r="D64" s="5">
        <v>102.2</v>
      </c>
      <c r="E64" s="5">
        <v>103.2</v>
      </c>
      <c r="F64" s="5">
        <v>102.2</v>
      </c>
      <c r="G64" s="5">
        <v>105.5</v>
      </c>
      <c r="H64" s="5">
        <v>112.9</v>
      </c>
      <c r="I64" s="5">
        <v>126.7</v>
      </c>
      <c r="J64" s="5">
        <v>140</v>
      </c>
      <c r="K64" s="5">
        <v>151.80000000000001</v>
      </c>
      <c r="L64" s="5">
        <v>160.9</v>
      </c>
      <c r="M64" s="5">
        <v>171.2</v>
      </c>
      <c r="N64" s="5">
        <v>183.1</v>
      </c>
      <c r="O64" s="5">
        <v>145.4</v>
      </c>
      <c r="P64" s="5">
        <v>122.2</v>
      </c>
      <c r="Q64" s="5">
        <v>114.5</v>
      </c>
      <c r="R64" s="5">
        <v>116.3</v>
      </c>
      <c r="S64" s="5">
        <v>120.7</v>
      </c>
      <c r="T64" s="5">
        <v>125</v>
      </c>
      <c r="U64" s="5">
        <v>132.1</v>
      </c>
      <c r="V64" s="5">
        <v>157.69999999999999</v>
      </c>
      <c r="W64" s="5">
        <v>168.2</v>
      </c>
      <c r="X64" s="5">
        <v>162.1</v>
      </c>
      <c r="Y64" s="5">
        <v>156.80000000000001</v>
      </c>
      <c r="Z64" s="5">
        <v>152.4</v>
      </c>
      <c r="AA64" s="5">
        <v>140.5</v>
      </c>
      <c r="AB64" s="5">
        <v>133</v>
      </c>
      <c r="AC64" s="5">
        <v>129.4</v>
      </c>
      <c r="AD64" s="5">
        <v>129.19999999999999</v>
      </c>
      <c r="AE64" s="5">
        <v>128.6</v>
      </c>
      <c r="AF64" s="5">
        <v>130.9</v>
      </c>
      <c r="AG64" s="5">
        <v>139.1</v>
      </c>
      <c r="AH64" s="5">
        <v>145.1</v>
      </c>
      <c r="AI64" s="5">
        <v>157.6</v>
      </c>
      <c r="AJ64" s="5">
        <v>162.19999999999999</v>
      </c>
      <c r="AK64" s="5">
        <v>160.4</v>
      </c>
      <c r="AL64" s="5">
        <v>158.4</v>
      </c>
      <c r="AM64" s="5">
        <v>146.69999999999999</v>
      </c>
      <c r="AN64" s="5">
        <v>141.5</v>
      </c>
      <c r="AO64" s="5">
        <v>130.30000000000001</v>
      </c>
      <c r="AP64" s="5">
        <v>129.80000000000001</v>
      </c>
      <c r="AQ64" s="5">
        <v>135</v>
      </c>
      <c r="AR64" s="5">
        <v>145.1</v>
      </c>
      <c r="AS64" s="5">
        <v>159.69999999999999</v>
      </c>
      <c r="AT64" s="5">
        <v>165.4</v>
      </c>
      <c r="AU64" s="5">
        <v>159.1</v>
      </c>
      <c r="AV64" s="5">
        <v>150.69999999999999</v>
      </c>
      <c r="AW64" s="5">
        <v>151.19999999999999</v>
      </c>
      <c r="AX64" s="5">
        <v>141.9</v>
      </c>
      <c r="AY64" s="5">
        <v>125.3</v>
      </c>
      <c r="AZ64" s="5">
        <v>119.4</v>
      </c>
      <c r="BA64" s="5">
        <v>119.5</v>
      </c>
      <c r="BB64" s="5">
        <v>120.5</v>
      </c>
      <c r="BC64" s="5">
        <v>123.4</v>
      </c>
      <c r="BD64" s="5">
        <v>125.6</v>
      </c>
      <c r="BE64" s="5">
        <v>133.30000000000001</v>
      </c>
      <c r="BF64" s="5">
        <v>159.5</v>
      </c>
      <c r="BG64" s="5">
        <v>168.6</v>
      </c>
      <c r="BH64" s="5">
        <v>156.6</v>
      </c>
      <c r="BI64" s="5">
        <v>162.6</v>
      </c>
      <c r="BJ64" s="5">
        <v>173.8</v>
      </c>
      <c r="BK64" s="5">
        <v>161.69999999999999</v>
      </c>
      <c r="BL64" s="5">
        <v>151.6</v>
      </c>
      <c r="BM64" s="5">
        <v>140.5</v>
      </c>
      <c r="BN64" s="5">
        <v>134.6</v>
      </c>
      <c r="BO64" s="5">
        <v>132.6</v>
      </c>
      <c r="BP64" s="5">
        <v>135.6</v>
      </c>
      <c r="BQ64" s="5">
        <v>143.69999999999999</v>
      </c>
      <c r="BR64" s="5">
        <v>155.9</v>
      </c>
      <c r="BS64" s="5">
        <v>156.6</v>
      </c>
      <c r="BT64" s="5">
        <v>150</v>
      </c>
      <c r="BU64" s="5">
        <v>146.69999999999999</v>
      </c>
      <c r="BV64" s="5">
        <v>146.69999999999999</v>
      </c>
      <c r="BW64" s="5">
        <v>135.19999999999999</v>
      </c>
      <c r="BX64" s="5">
        <v>131.30000000000001</v>
      </c>
      <c r="BY64" s="5">
        <v>129.69999999999999</v>
      </c>
      <c r="BZ64" s="5">
        <v>132.6</v>
      </c>
      <c r="CA64" s="75">
        <v>138.94999999999999</v>
      </c>
      <c r="CB64" s="5">
        <v>143</v>
      </c>
      <c r="CC64" s="5">
        <v>150.5</v>
      </c>
      <c r="CD64" s="5">
        <v>160.30000000000001</v>
      </c>
      <c r="CE64" s="5">
        <v>167.4</v>
      </c>
      <c r="CF64" s="5">
        <v>173.2</v>
      </c>
      <c r="CG64" s="5">
        <v>188.4</v>
      </c>
      <c r="CH64" s="5">
        <v>199.6</v>
      </c>
      <c r="CI64" s="5">
        <v>217</v>
      </c>
      <c r="CJ64" s="5">
        <v>197</v>
      </c>
      <c r="CK64" s="5">
        <v>170.7</v>
      </c>
      <c r="CL64" s="5">
        <v>157.30000000000001</v>
      </c>
      <c r="CM64" s="5">
        <v>168.6</v>
      </c>
      <c r="CN64" s="75">
        <v>159.72499999999999</v>
      </c>
      <c r="CO64" s="5">
        <v>156.5</v>
      </c>
      <c r="CP64" s="5">
        <v>156.5</v>
      </c>
      <c r="CQ64" s="5">
        <v>178.1</v>
      </c>
      <c r="CR64" s="5">
        <v>186.7</v>
      </c>
      <c r="CS64" s="5">
        <v>209.2</v>
      </c>
      <c r="CT64" s="5">
        <v>230</v>
      </c>
      <c r="CU64" s="5">
        <v>230.5</v>
      </c>
      <c r="CV64" s="5">
        <v>194.2</v>
      </c>
      <c r="CW64" s="5">
        <v>160</v>
      </c>
      <c r="CX64" s="5">
        <v>149.5</v>
      </c>
      <c r="CY64" s="5">
        <v>144.1</v>
      </c>
      <c r="CZ64" s="5">
        <v>147.9</v>
      </c>
      <c r="DA64" s="5">
        <v>155.4</v>
      </c>
      <c r="DB64" s="5">
        <v>164.2</v>
      </c>
      <c r="DC64" s="5">
        <v>162.19999999999999</v>
      </c>
      <c r="DD64" s="5">
        <v>162.30000000000001</v>
      </c>
      <c r="DE64" s="5">
        <v>185.3</v>
      </c>
      <c r="DF64" s="5">
        <v>199.2</v>
      </c>
      <c r="DG64" s="5">
        <v>188.3</v>
      </c>
      <c r="DH64" s="5">
        <v>174.3</v>
      </c>
      <c r="DI64" s="5">
        <v>169.7</v>
      </c>
      <c r="DJ64" s="5">
        <v>166.9</v>
      </c>
      <c r="DK64" s="5">
        <v>166.2</v>
      </c>
      <c r="DL64" s="5">
        <v>174.9</v>
      </c>
      <c r="DM64" s="5">
        <v>182.3</v>
      </c>
      <c r="DN64" s="5">
        <v>182.1</v>
      </c>
      <c r="DO64" s="5">
        <v>186.7</v>
      </c>
      <c r="DP64" s="5">
        <v>191.8</v>
      </c>
      <c r="DQ64" s="5">
        <v>199.7</v>
      </c>
      <c r="DR64" s="5">
        <v>183.1</v>
      </c>
      <c r="DS64" s="5">
        <v>159.9</v>
      </c>
      <c r="DT64" s="5">
        <v>153.9</v>
      </c>
      <c r="DU64" s="5">
        <v>152.69999999999999</v>
      </c>
      <c r="DV64" s="5">
        <v>152.80000000000001</v>
      </c>
      <c r="DW64" s="5">
        <v>155.4</v>
      </c>
      <c r="DX64" s="5">
        <v>161</v>
      </c>
      <c r="DY64">
        <f t="shared" si="0"/>
        <v>0</v>
      </c>
    </row>
    <row r="65" spans="1:129" x14ac:dyDescent="0.35">
      <c r="A65" s="34" t="s">
        <v>34</v>
      </c>
      <c r="B65" s="5" t="s">
        <v>51</v>
      </c>
      <c r="C65" s="5" t="s">
        <v>10</v>
      </c>
      <c r="D65" s="5">
        <v>106</v>
      </c>
      <c r="E65" s="5">
        <v>105.3</v>
      </c>
      <c r="F65" s="5">
        <v>105</v>
      </c>
      <c r="G65" s="5">
        <v>105.3</v>
      </c>
      <c r="H65" s="5">
        <v>105.8</v>
      </c>
      <c r="I65" s="5">
        <v>106.3</v>
      </c>
      <c r="J65" s="5">
        <v>106.4</v>
      </c>
      <c r="K65" s="5">
        <v>106.5</v>
      </c>
      <c r="L65" s="5">
        <v>107.1</v>
      </c>
      <c r="M65" s="5">
        <v>107.3</v>
      </c>
      <c r="N65" s="5">
        <v>108.2</v>
      </c>
      <c r="O65" s="5">
        <v>108.7</v>
      </c>
      <c r="P65" s="5">
        <v>108.9</v>
      </c>
      <c r="Q65" s="5">
        <v>109.3</v>
      </c>
      <c r="R65" s="5">
        <v>109.8</v>
      </c>
      <c r="S65" s="5">
        <v>111</v>
      </c>
      <c r="T65" s="5">
        <v>111.9</v>
      </c>
      <c r="U65" s="5">
        <v>112.4</v>
      </c>
      <c r="V65" s="5">
        <v>113.2</v>
      </c>
      <c r="W65" s="5">
        <v>114.5</v>
      </c>
      <c r="X65" s="5">
        <v>115.6</v>
      </c>
      <c r="Y65" s="5">
        <v>116.1</v>
      </c>
      <c r="Z65" s="5">
        <v>117.2</v>
      </c>
      <c r="AA65" s="5">
        <v>117.6</v>
      </c>
      <c r="AB65" s="5">
        <v>119.1</v>
      </c>
      <c r="AC65" s="5">
        <v>120.9</v>
      </c>
      <c r="AD65" s="5">
        <v>122.4</v>
      </c>
      <c r="AE65" s="5">
        <v>124.8</v>
      </c>
      <c r="AF65" s="5">
        <v>130.5</v>
      </c>
      <c r="AG65" s="5">
        <v>137.4</v>
      </c>
      <c r="AH65" s="5">
        <v>139.1</v>
      </c>
      <c r="AI65" s="5">
        <v>144</v>
      </c>
      <c r="AJ65" s="5">
        <v>150</v>
      </c>
      <c r="AK65" s="5">
        <v>165.3</v>
      </c>
      <c r="AL65" s="5">
        <v>171.2</v>
      </c>
      <c r="AM65" s="5">
        <v>171.5</v>
      </c>
      <c r="AN65" s="5">
        <v>170.7</v>
      </c>
      <c r="AO65" s="5">
        <v>167.4</v>
      </c>
      <c r="AP65" s="5">
        <v>164.3</v>
      </c>
      <c r="AQ65" s="5">
        <v>167.5</v>
      </c>
      <c r="AR65" s="5">
        <v>171.7</v>
      </c>
      <c r="AS65" s="5">
        <v>174.3</v>
      </c>
      <c r="AT65" s="5">
        <v>177.4</v>
      </c>
      <c r="AU65" s="5">
        <v>175.6</v>
      </c>
      <c r="AV65" s="5">
        <v>171.5</v>
      </c>
      <c r="AW65" s="5">
        <v>172.1</v>
      </c>
      <c r="AX65" s="5">
        <v>171.7</v>
      </c>
      <c r="AY65" s="5">
        <v>168.7</v>
      </c>
      <c r="AZ65" s="5">
        <v>159.5</v>
      </c>
      <c r="BA65" s="5">
        <v>152.19999999999999</v>
      </c>
      <c r="BB65" s="5">
        <v>143.9</v>
      </c>
      <c r="BC65" s="5">
        <v>140.9</v>
      </c>
      <c r="BD65" s="5">
        <v>138.30000000000001</v>
      </c>
      <c r="BE65" s="5">
        <v>136.19999999999999</v>
      </c>
      <c r="BF65" s="5">
        <v>133.6</v>
      </c>
      <c r="BG65" s="5">
        <v>132.69999999999999</v>
      </c>
      <c r="BH65" s="5">
        <v>132.9</v>
      </c>
      <c r="BI65" s="5">
        <v>132.30000000000001</v>
      </c>
      <c r="BJ65" s="5">
        <v>131.19999999999999</v>
      </c>
      <c r="BK65" s="5">
        <v>129.1</v>
      </c>
      <c r="BL65" s="5">
        <v>127.3</v>
      </c>
      <c r="BM65" s="5">
        <v>125.8</v>
      </c>
      <c r="BN65" s="5">
        <v>124.6</v>
      </c>
      <c r="BO65" s="5">
        <v>123.5</v>
      </c>
      <c r="BP65" s="5">
        <v>122.3</v>
      </c>
      <c r="BQ65" s="5">
        <v>121.4</v>
      </c>
      <c r="BR65" s="5">
        <v>121.7</v>
      </c>
      <c r="BS65" s="5">
        <v>122.4</v>
      </c>
      <c r="BT65" s="5">
        <v>121.4</v>
      </c>
      <c r="BU65" s="5">
        <v>119.1</v>
      </c>
      <c r="BV65" s="5">
        <v>119.1</v>
      </c>
      <c r="BW65" s="5">
        <v>119.8</v>
      </c>
      <c r="BX65" s="5">
        <v>120.3</v>
      </c>
      <c r="BY65" s="5">
        <v>121</v>
      </c>
      <c r="BZ65" s="5">
        <v>121.8</v>
      </c>
      <c r="CA65" s="75">
        <v>124</v>
      </c>
      <c r="CB65" s="5">
        <v>124.9</v>
      </c>
      <c r="CC65" s="5">
        <v>128.30000000000001</v>
      </c>
      <c r="CD65" s="5">
        <v>130</v>
      </c>
      <c r="CE65" s="5">
        <v>130.9</v>
      </c>
      <c r="CF65" s="5">
        <v>131.6</v>
      </c>
      <c r="CG65" s="5">
        <v>132.5</v>
      </c>
      <c r="CH65" s="5">
        <v>135.69999999999999</v>
      </c>
      <c r="CI65" s="5">
        <v>138.30000000000001</v>
      </c>
      <c r="CJ65" s="5">
        <v>140.4</v>
      </c>
      <c r="CK65" s="5">
        <v>141.1</v>
      </c>
      <c r="CL65" s="5">
        <v>141.1</v>
      </c>
      <c r="CM65" s="5">
        <v>150.4</v>
      </c>
      <c r="CN65" s="75">
        <v>148.32499999999999</v>
      </c>
      <c r="CO65" s="5">
        <v>150.9</v>
      </c>
      <c r="CP65" s="5">
        <v>150.9</v>
      </c>
      <c r="CQ65" s="5">
        <v>150.4</v>
      </c>
      <c r="CR65" s="5">
        <v>149.80000000000001</v>
      </c>
      <c r="CS65" s="5">
        <v>150.9</v>
      </c>
      <c r="CT65" s="5">
        <v>156.80000000000001</v>
      </c>
      <c r="CU65" s="5">
        <v>160.19999999999999</v>
      </c>
      <c r="CV65" s="5">
        <v>160.4</v>
      </c>
      <c r="CW65" s="5">
        <v>158.80000000000001</v>
      </c>
      <c r="CX65" s="5">
        <v>159.80000000000001</v>
      </c>
      <c r="CY65" s="5">
        <v>161.69999999999999</v>
      </c>
      <c r="CZ65" s="5">
        <v>165.4</v>
      </c>
      <c r="DA65" s="5">
        <v>166</v>
      </c>
      <c r="DB65" s="5">
        <v>164</v>
      </c>
      <c r="DC65" s="5">
        <v>164.1</v>
      </c>
      <c r="DD65" s="5">
        <v>164.1</v>
      </c>
      <c r="DE65" s="5">
        <v>165.2</v>
      </c>
      <c r="DF65" s="5">
        <v>165.3</v>
      </c>
      <c r="DG65" s="5">
        <v>164.4</v>
      </c>
      <c r="DH65" s="5">
        <v>163.9</v>
      </c>
      <c r="DI65" s="5">
        <v>163.69999999999999</v>
      </c>
      <c r="DJ65" s="5">
        <v>163.9</v>
      </c>
      <c r="DK65" s="5">
        <v>164.7</v>
      </c>
      <c r="DL65" s="5">
        <v>164.7</v>
      </c>
      <c r="DM65" s="5">
        <v>164.3</v>
      </c>
      <c r="DN65" s="5">
        <v>164.3</v>
      </c>
      <c r="DO65" s="5">
        <v>167.2</v>
      </c>
      <c r="DP65" s="5">
        <v>169.1</v>
      </c>
      <c r="DQ65" s="5">
        <v>169.8</v>
      </c>
      <c r="DR65" s="5">
        <v>170.5</v>
      </c>
      <c r="DS65" s="5">
        <v>170.8</v>
      </c>
      <c r="DT65" s="5">
        <v>170.9</v>
      </c>
      <c r="DU65" s="5">
        <v>171</v>
      </c>
      <c r="DV65" s="5">
        <v>171.1</v>
      </c>
      <c r="DW65" s="5">
        <v>173.4</v>
      </c>
      <c r="DX65" s="5">
        <v>175.6</v>
      </c>
      <c r="DY65">
        <f t="shared" si="0"/>
        <v>0</v>
      </c>
    </row>
    <row r="66" spans="1:129" x14ac:dyDescent="0.35">
      <c r="A66" s="34" t="s">
        <v>34</v>
      </c>
      <c r="B66" s="5" t="s">
        <v>51</v>
      </c>
      <c r="C66" s="5" t="s">
        <v>11</v>
      </c>
      <c r="D66" s="5">
        <v>106.2</v>
      </c>
      <c r="E66" s="5">
        <v>105.1</v>
      </c>
      <c r="F66" s="5">
        <v>104.2</v>
      </c>
      <c r="G66" s="5">
        <v>103.5</v>
      </c>
      <c r="H66" s="5">
        <v>103.1</v>
      </c>
      <c r="I66" s="5">
        <v>103.2</v>
      </c>
      <c r="J66" s="5">
        <v>103.3</v>
      </c>
      <c r="K66" s="5">
        <v>103.1</v>
      </c>
      <c r="L66" s="5">
        <v>103.1</v>
      </c>
      <c r="M66" s="5">
        <v>102.7</v>
      </c>
      <c r="N66" s="5">
        <v>102.2</v>
      </c>
      <c r="O66" s="5">
        <v>101.5</v>
      </c>
      <c r="P66" s="5">
        <v>100.2</v>
      </c>
      <c r="Q66" s="5">
        <v>99.2</v>
      </c>
      <c r="R66" s="5">
        <v>99.6</v>
      </c>
      <c r="S66" s="5">
        <v>101.8</v>
      </c>
      <c r="T66" s="5">
        <v>102.8</v>
      </c>
      <c r="U66" s="5">
        <v>102.9</v>
      </c>
      <c r="V66" s="5">
        <v>104.1</v>
      </c>
      <c r="W66" s="5">
        <v>104.3</v>
      </c>
      <c r="X66" s="5">
        <v>103.8</v>
      </c>
      <c r="Y66" s="5">
        <v>103.1</v>
      </c>
      <c r="Z66" s="5">
        <v>102.1</v>
      </c>
      <c r="AA66" s="5">
        <v>100.6</v>
      </c>
      <c r="AB66" s="5">
        <v>99</v>
      </c>
      <c r="AC66" s="5">
        <v>98.3</v>
      </c>
      <c r="AD66" s="5">
        <v>97</v>
      </c>
      <c r="AE66" s="5">
        <v>95.7</v>
      </c>
      <c r="AF66" s="5">
        <v>95.3</v>
      </c>
      <c r="AG66" s="5">
        <v>94.1</v>
      </c>
      <c r="AH66" s="5">
        <v>91.3</v>
      </c>
      <c r="AI66" s="5">
        <v>90.5</v>
      </c>
      <c r="AJ66" s="5">
        <v>90.4</v>
      </c>
      <c r="AK66" s="5">
        <v>92.3</v>
      </c>
      <c r="AL66" s="5">
        <v>93.3</v>
      </c>
      <c r="AM66" s="5">
        <v>94.5</v>
      </c>
      <c r="AN66" s="5">
        <v>97.4</v>
      </c>
      <c r="AO66" s="5">
        <v>98.8</v>
      </c>
      <c r="AP66" s="5">
        <v>100.9</v>
      </c>
      <c r="AQ66" s="5">
        <v>106.4</v>
      </c>
      <c r="AR66" s="5">
        <v>108.7</v>
      </c>
      <c r="AS66" s="5">
        <v>109.9</v>
      </c>
      <c r="AT66" s="5">
        <v>111.3</v>
      </c>
      <c r="AU66" s="5">
        <v>112.9</v>
      </c>
      <c r="AV66" s="5">
        <v>113.8</v>
      </c>
      <c r="AW66" s="5">
        <v>114.1</v>
      </c>
      <c r="AX66" s="5">
        <v>114.1</v>
      </c>
      <c r="AY66" s="5">
        <v>114.4</v>
      </c>
      <c r="AZ66" s="5">
        <v>115.6</v>
      </c>
      <c r="BA66" s="5">
        <v>117.3</v>
      </c>
      <c r="BB66" s="5">
        <v>118</v>
      </c>
      <c r="BC66" s="5">
        <v>118.5</v>
      </c>
      <c r="BD66" s="5">
        <v>119.4</v>
      </c>
      <c r="BE66" s="5">
        <v>119.6</v>
      </c>
      <c r="BF66" s="5">
        <v>120.5</v>
      </c>
      <c r="BG66" s="5">
        <v>121.2</v>
      </c>
      <c r="BH66" s="5">
        <v>121.5</v>
      </c>
      <c r="BI66" s="5">
        <v>121.8</v>
      </c>
      <c r="BJ66" s="5">
        <v>123</v>
      </c>
      <c r="BK66" s="5">
        <v>121.5</v>
      </c>
      <c r="BL66" s="5">
        <v>118.8</v>
      </c>
      <c r="BM66" s="5">
        <v>117.1</v>
      </c>
      <c r="BN66" s="5">
        <v>116.1</v>
      </c>
      <c r="BO66" s="5">
        <v>113.7</v>
      </c>
      <c r="BP66" s="5">
        <v>109.6</v>
      </c>
      <c r="BQ66" s="5">
        <v>111.1</v>
      </c>
      <c r="BR66" s="5">
        <v>113.5</v>
      </c>
      <c r="BS66" s="5">
        <v>114.7</v>
      </c>
      <c r="BT66" s="5">
        <v>113.7</v>
      </c>
      <c r="BU66" s="5">
        <v>111.9</v>
      </c>
      <c r="BV66" s="5">
        <v>111.9</v>
      </c>
      <c r="BW66" s="5">
        <v>110.3</v>
      </c>
      <c r="BX66" s="5">
        <v>109.1</v>
      </c>
      <c r="BY66" s="5">
        <v>109</v>
      </c>
      <c r="BZ66" s="5">
        <v>109</v>
      </c>
      <c r="CA66" s="75">
        <v>109.72499999999999</v>
      </c>
      <c r="CB66" s="5">
        <v>109.9</v>
      </c>
      <c r="CC66" s="5">
        <v>111</v>
      </c>
      <c r="CD66" s="5">
        <v>111.1</v>
      </c>
      <c r="CE66" s="5">
        <v>112</v>
      </c>
      <c r="CF66" s="5">
        <v>113.2</v>
      </c>
      <c r="CG66" s="5">
        <v>114</v>
      </c>
      <c r="CH66" s="5">
        <v>114.2</v>
      </c>
      <c r="CI66" s="5">
        <v>114</v>
      </c>
      <c r="CJ66" s="5">
        <v>114.1</v>
      </c>
      <c r="CK66" s="5">
        <v>113.6</v>
      </c>
      <c r="CL66" s="5">
        <v>113.2</v>
      </c>
      <c r="CM66" s="5">
        <v>120.3</v>
      </c>
      <c r="CN66" s="75">
        <v>115.47499999999999</v>
      </c>
      <c r="CO66" s="5">
        <v>114.2</v>
      </c>
      <c r="CP66" s="5">
        <v>114.2</v>
      </c>
      <c r="CQ66" s="5">
        <v>115.1</v>
      </c>
      <c r="CR66" s="5">
        <v>116.4</v>
      </c>
      <c r="CS66" s="5">
        <v>116.2</v>
      </c>
      <c r="CT66" s="5">
        <v>115.7</v>
      </c>
      <c r="CU66" s="5">
        <v>115.3</v>
      </c>
      <c r="CV66" s="5">
        <v>114.6</v>
      </c>
      <c r="CW66" s="5">
        <v>112.8</v>
      </c>
      <c r="CX66" s="5">
        <v>112.6</v>
      </c>
      <c r="CY66" s="5">
        <v>113.1</v>
      </c>
      <c r="CZ66" s="5">
        <v>114.8</v>
      </c>
      <c r="DA66" s="5">
        <v>115.1</v>
      </c>
      <c r="DB66" s="5">
        <v>114.5</v>
      </c>
      <c r="DC66" s="5">
        <v>119.7</v>
      </c>
      <c r="DD66" s="5">
        <v>119.7</v>
      </c>
      <c r="DE66" s="5">
        <v>121.9</v>
      </c>
      <c r="DF66" s="5">
        <v>122.4</v>
      </c>
      <c r="DG66" s="5">
        <v>121</v>
      </c>
      <c r="DH66" s="5">
        <v>120</v>
      </c>
      <c r="DI66" s="5">
        <v>118.9</v>
      </c>
      <c r="DJ66" s="5">
        <v>118.8</v>
      </c>
      <c r="DK66" s="5">
        <v>119</v>
      </c>
      <c r="DL66" s="5">
        <v>119.7</v>
      </c>
      <c r="DM66" s="5">
        <v>119.9</v>
      </c>
      <c r="DN66" s="5">
        <v>120</v>
      </c>
      <c r="DO66" s="5">
        <v>120.9</v>
      </c>
      <c r="DP66" s="5">
        <v>121.6</v>
      </c>
      <c r="DQ66" s="5">
        <v>121.9</v>
      </c>
      <c r="DR66" s="5">
        <v>122.1</v>
      </c>
      <c r="DS66" s="5">
        <v>121.8</v>
      </c>
      <c r="DT66" s="5">
        <v>121.1</v>
      </c>
      <c r="DU66" s="5">
        <v>120</v>
      </c>
      <c r="DV66" s="5">
        <v>120</v>
      </c>
      <c r="DW66" s="5">
        <v>121.3</v>
      </c>
      <c r="DX66" s="5">
        <v>122.7</v>
      </c>
      <c r="DY66">
        <f t="shared" si="0"/>
        <v>0</v>
      </c>
    </row>
    <row r="67" spans="1:129" x14ac:dyDescent="0.35">
      <c r="A67" s="34" t="s">
        <v>34</v>
      </c>
      <c r="B67" s="5" t="s">
        <v>51</v>
      </c>
      <c r="C67" s="5" t="s">
        <v>12</v>
      </c>
      <c r="D67" s="5">
        <v>102.7</v>
      </c>
      <c r="E67" s="5">
        <v>102.8</v>
      </c>
      <c r="F67" s="5">
        <v>103</v>
      </c>
      <c r="G67" s="5">
        <v>103.3</v>
      </c>
      <c r="H67" s="5">
        <v>104.3</v>
      </c>
      <c r="I67" s="5">
        <v>105.7</v>
      </c>
      <c r="J67" s="5">
        <v>106.8</v>
      </c>
      <c r="K67" s="5">
        <v>107.4</v>
      </c>
      <c r="L67" s="5">
        <v>108.3</v>
      </c>
      <c r="M67" s="5">
        <v>108.7</v>
      </c>
      <c r="N67" s="5">
        <v>109.4</v>
      </c>
      <c r="O67" s="5">
        <v>110.5</v>
      </c>
      <c r="P67" s="5">
        <v>111</v>
      </c>
      <c r="Q67" s="5">
        <v>111.4</v>
      </c>
      <c r="R67" s="5">
        <v>111.8</v>
      </c>
      <c r="S67" s="5">
        <v>112.6</v>
      </c>
      <c r="T67" s="5">
        <v>113.4</v>
      </c>
      <c r="U67" s="5">
        <v>114.3</v>
      </c>
      <c r="V67" s="5">
        <v>115.5</v>
      </c>
      <c r="W67" s="5">
        <v>117.1</v>
      </c>
      <c r="X67" s="5">
        <v>117.6</v>
      </c>
      <c r="Y67" s="5">
        <v>118.1</v>
      </c>
      <c r="Z67" s="5">
        <v>118.7</v>
      </c>
      <c r="AA67" s="5">
        <v>119.1</v>
      </c>
      <c r="AB67" s="5">
        <v>120.3</v>
      </c>
      <c r="AC67" s="5">
        <v>121.6</v>
      </c>
      <c r="AD67" s="5">
        <v>122.1</v>
      </c>
      <c r="AE67" s="5">
        <v>122.4</v>
      </c>
      <c r="AF67" s="5">
        <v>123.4</v>
      </c>
      <c r="AG67" s="5">
        <v>125.5</v>
      </c>
      <c r="AH67" s="5">
        <v>126.1</v>
      </c>
      <c r="AI67" s="5">
        <v>126.8</v>
      </c>
      <c r="AJ67" s="5">
        <v>128.4</v>
      </c>
      <c r="AK67" s="5">
        <v>129.69999999999999</v>
      </c>
      <c r="AL67" s="5">
        <v>131.19999999999999</v>
      </c>
      <c r="AM67" s="5">
        <v>132.1</v>
      </c>
      <c r="AN67" s="5">
        <v>132.9</v>
      </c>
      <c r="AO67" s="5">
        <v>133.6</v>
      </c>
      <c r="AP67" s="5">
        <v>133.9</v>
      </c>
      <c r="AQ67" s="5">
        <v>134.4</v>
      </c>
      <c r="AR67" s="5">
        <v>135.30000000000001</v>
      </c>
      <c r="AS67" s="5">
        <v>136.30000000000001</v>
      </c>
      <c r="AT67" s="5">
        <v>137.5</v>
      </c>
      <c r="AU67" s="5">
        <v>138.1</v>
      </c>
      <c r="AV67" s="5">
        <v>138.80000000000001</v>
      </c>
      <c r="AW67" s="5">
        <v>139.30000000000001</v>
      </c>
      <c r="AX67" s="5">
        <v>139.69999999999999</v>
      </c>
      <c r="AY67" s="5">
        <v>140.19999999999999</v>
      </c>
      <c r="AZ67" s="5">
        <v>139.6</v>
      </c>
      <c r="BA67" s="5">
        <v>138.69999999999999</v>
      </c>
      <c r="BB67" s="5">
        <v>137.9</v>
      </c>
      <c r="BC67" s="5">
        <v>136.5</v>
      </c>
      <c r="BD67" s="5">
        <v>136</v>
      </c>
      <c r="BE67" s="5">
        <v>135.30000000000001</v>
      </c>
      <c r="BF67" s="5">
        <v>135.19999999999999</v>
      </c>
      <c r="BG67" s="5">
        <v>135.6</v>
      </c>
      <c r="BH67" s="5">
        <v>135.6</v>
      </c>
      <c r="BI67" s="5">
        <v>136.30000000000001</v>
      </c>
      <c r="BJ67" s="5">
        <v>136.80000000000001</v>
      </c>
      <c r="BK67" s="5">
        <v>137.1</v>
      </c>
      <c r="BL67" s="5">
        <v>137.5</v>
      </c>
      <c r="BM67" s="5">
        <v>137.30000000000001</v>
      </c>
      <c r="BN67" s="5">
        <v>137.80000000000001</v>
      </c>
      <c r="BO67" s="5">
        <v>138.19999999999999</v>
      </c>
      <c r="BP67" s="5">
        <v>138.1</v>
      </c>
      <c r="BQ67" s="5">
        <v>138.4</v>
      </c>
      <c r="BR67" s="5">
        <v>138.9</v>
      </c>
      <c r="BS67" s="5">
        <v>139.4</v>
      </c>
      <c r="BT67" s="5">
        <v>139.5</v>
      </c>
      <c r="BU67" s="5">
        <v>141</v>
      </c>
      <c r="BV67" s="5">
        <v>140.9</v>
      </c>
      <c r="BW67" s="5">
        <v>140.6</v>
      </c>
      <c r="BX67" s="5">
        <v>139.4</v>
      </c>
      <c r="BY67" s="5">
        <v>139.69999999999999</v>
      </c>
      <c r="BZ67" s="5">
        <v>139.5</v>
      </c>
      <c r="CA67" s="75">
        <v>139.92500000000001</v>
      </c>
      <c r="CB67" s="5">
        <v>139.9</v>
      </c>
      <c r="CC67" s="5">
        <v>140.6</v>
      </c>
      <c r="CD67" s="5">
        <v>141.69999999999999</v>
      </c>
      <c r="CE67" s="5">
        <v>142.6</v>
      </c>
      <c r="CF67" s="5">
        <v>144.1</v>
      </c>
      <c r="CG67" s="5">
        <v>145.4</v>
      </c>
      <c r="CH67" s="5">
        <v>147</v>
      </c>
      <c r="CI67" s="5">
        <v>148.69999999999999</v>
      </c>
      <c r="CJ67" s="5">
        <v>150.9</v>
      </c>
      <c r="CK67" s="5">
        <v>152</v>
      </c>
      <c r="CL67" s="5">
        <v>153.19999999999999</v>
      </c>
      <c r="CM67" s="5">
        <v>157.1</v>
      </c>
      <c r="CN67" s="75">
        <v>157.32499999999999</v>
      </c>
      <c r="CO67" s="5">
        <v>159.5</v>
      </c>
      <c r="CP67" s="5">
        <v>159.5</v>
      </c>
      <c r="CQ67" s="5">
        <v>160</v>
      </c>
      <c r="CR67" s="5">
        <v>160.30000000000001</v>
      </c>
      <c r="CS67" s="5">
        <v>161</v>
      </c>
      <c r="CT67" s="5">
        <v>161.80000000000001</v>
      </c>
      <c r="CU67" s="5">
        <v>163</v>
      </c>
      <c r="CV67" s="5">
        <v>164</v>
      </c>
      <c r="CW67" s="5">
        <v>164.2</v>
      </c>
      <c r="CX67" s="5">
        <v>163.5</v>
      </c>
      <c r="CY67" s="5">
        <v>163.9</v>
      </c>
      <c r="CZ67" s="5">
        <v>168.2</v>
      </c>
      <c r="DA67" s="5">
        <v>168.5</v>
      </c>
      <c r="DB67" s="5">
        <v>168.3</v>
      </c>
      <c r="DC67" s="5">
        <v>168.8</v>
      </c>
      <c r="DD67" s="5">
        <v>168.8</v>
      </c>
      <c r="DE67" s="5">
        <v>169.3</v>
      </c>
      <c r="DF67" s="5">
        <v>169.6</v>
      </c>
      <c r="DG67" s="5">
        <v>170.5</v>
      </c>
      <c r="DH67" s="5">
        <v>172.1</v>
      </c>
      <c r="DI67" s="5">
        <v>174.3</v>
      </c>
      <c r="DJ67" s="5">
        <v>177.4</v>
      </c>
      <c r="DK67" s="5">
        <v>181.3</v>
      </c>
      <c r="DL67" s="5">
        <v>184.9</v>
      </c>
      <c r="DM67" s="5">
        <v>187.1</v>
      </c>
      <c r="DN67" s="5">
        <v>190</v>
      </c>
      <c r="DO67" s="5">
        <v>193.6</v>
      </c>
      <c r="DP67" s="5">
        <v>197.3</v>
      </c>
      <c r="DQ67" s="5">
        <v>199.9</v>
      </c>
      <c r="DR67" s="5">
        <v>202.8</v>
      </c>
      <c r="DS67" s="5">
        <v>205.2</v>
      </c>
      <c r="DT67" s="5">
        <v>208.4</v>
      </c>
      <c r="DU67" s="5">
        <v>209.7</v>
      </c>
      <c r="DV67" s="5">
        <v>209.7</v>
      </c>
      <c r="DW67" s="5">
        <v>212.9</v>
      </c>
      <c r="DX67" s="5">
        <v>218</v>
      </c>
      <c r="DY67">
        <f t="shared" si="0"/>
        <v>0</v>
      </c>
    </row>
    <row r="68" spans="1:129" x14ac:dyDescent="0.35">
      <c r="A68" s="34" t="s">
        <v>34</v>
      </c>
      <c r="B68" s="5" t="s">
        <v>51</v>
      </c>
      <c r="C68" s="5" t="s">
        <v>13</v>
      </c>
      <c r="D68" s="5">
        <v>104.9</v>
      </c>
      <c r="E68" s="5">
        <v>105.5</v>
      </c>
      <c r="F68" s="5">
        <v>106.2</v>
      </c>
      <c r="G68" s="5">
        <v>107.2</v>
      </c>
      <c r="H68" s="5">
        <v>108.1</v>
      </c>
      <c r="I68" s="5">
        <v>109</v>
      </c>
      <c r="J68" s="5">
        <v>109.6</v>
      </c>
      <c r="K68" s="5">
        <v>110.2</v>
      </c>
      <c r="L68" s="5">
        <v>110.7</v>
      </c>
      <c r="M68" s="5">
        <v>111.2</v>
      </c>
      <c r="N68" s="5">
        <v>111.8</v>
      </c>
      <c r="O68" s="5">
        <v>112.1</v>
      </c>
      <c r="P68" s="5">
        <v>112.3</v>
      </c>
      <c r="Q68" s="5">
        <v>112.6</v>
      </c>
      <c r="R68" s="5">
        <v>112.7</v>
      </c>
      <c r="S68" s="5">
        <v>113.2</v>
      </c>
      <c r="T68" s="5">
        <v>113.7</v>
      </c>
      <c r="U68" s="5">
        <v>114.2</v>
      </c>
      <c r="V68" s="5">
        <v>114.8</v>
      </c>
      <c r="W68" s="5">
        <v>115.2</v>
      </c>
      <c r="X68" s="5">
        <v>115.8</v>
      </c>
      <c r="Y68" s="5">
        <v>116.1</v>
      </c>
      <c r="Z68" s="5">
        <v>116.4</v>
      </c>
      <c r="AA68" s="5">
        <v>116.8</v>
      </c>
      <c r="AB68" s="5">
        <v>117.3</v>
      </c>
      <c r="AC68" s="5">
        <v>118</v>
      </c>
      <c r="AD68" s="5">
        <v>118.1</v>
      </c>
      <c r="AE68" s="5">
        <v>118.5</v>
      </c>
      <c r="AF68" s="5">
        <v>119.2</v>
      </c>
      <c r="AG68" s="5">
        <v>119.8</v>
      </c>
      <c r="AH68" s="5">
        <v>119.9</v>
      </c>
      <c r="AI68" s="5">
        <v>120.4</v>
      </c>
      <c r="AJ68" s="5">
        <v>120.7</v>
      </c>
      <c r="AK68" s="5">
        <v>121.1</v>
      </c>
      <c r="AL68" s="5">
        <v>121.7</v>
      </c>
      <c r="AM68" s="5">
        <v>122</v>
      </c>
      <c r="AN68" s="5">
        <v>122.7</v>
      </c>
      <c r="AO68" s="5">
        <v>123</v>
      </c>
      <c r="AP68" s="5">
        <v>123.1</v>
      </c>
      <c r="AQ68" s="5">
        <v>123.6</v>
      </c>
      <c r="AR68" s="5">
        <v>124.2</v>
      </c>
      <c r="AS68" s="5">
        <v>124.4</v>
      </c>
      <c r="AT68" s="5">
        <v>125</v>
      </c>
      <c r="AU68" s="5">
        <v>125.5</v>
      </c>
      <c r="AV68" s="5">
        <v>126</v>
      </c>
      <c r="AW68" s="5">
        <v>126.1</v>
      </c>
      <c r="AX68" s="5">
        <v>126.2</v>
      </c>
      <c r="AY68" s="5">
        <v>126.6</v>
      </c>
      <c r="AZ68" s="5">
        <v>126.6</v>
      </c>
      <c r="BA68" s="5">
        <v>126.9</v>
      </c>
      <c r="BB68" s="5">
        <v>127.2</v>
      </c>
      <c r="BC68" s="5">
        <v>127.4</v>
      </c>
      <c r="BD68" s="5">
        <v>127.6</v>
      </c>
      <c r="BE68" s="5">
        <v>127.8</v>
      </c>
      <c r="BF68" s="5">
        <v>128.5</v>
      </c>
      <c r="BG68" s="5">
        <v>128.69999999999999</v>
      </c>
      <c r="BH68" s="5">
        <v>128.80000000000001</v>
      </c>
      <c r="BI68" s="5">
        <v>128.69999999999999</v>
      </c>
      <c r="BJ68" s="5">
        <v>129.19999999999999</v>
      </c>
      <c r="BK68" s="5">
        <v>128.80000000000001</v>
      </c>
      <c r="BL68" s="5">
        <v>129</v>
      </c>
      <c r="BM68" s="5">
        <v>128.6</v>
      </c>
      <c r="BN68" s="5">
        <v>129.1</v>
      </c>
      <c r="BO68" s="5">
        <v>129.6</v>
      </c>
      <c r="BP68" s="5">
        <v>129.9</v>
      </c>
      <c r="BQ68" s="5">
        <v>130.30000000000001</v>
      </c>
      <c r="BR68" s="5">
        <v>130.30000000000001</v>
      </c>
      <c r="BS68" s="5">
        <v>131.1</v>
      </c>
      <c r="BT68" s="5">
        <v>130.80000000000001</v>
      </c>
      <c r="BU68" s="5">
        <v>133.6</v>
      </c>
      <c r="BV68" s="5">
        <v>133.5</v>
      </c>
      <c r="BW68" s="5">
        <v>133.80000000000001</v>
      </c>
      <c r="BX68" s="5">
        <v>133.30000000000001</v>
      </c>
      <c r="BY68" s="5">
        <v>133.6</v>
      </c>
      <c r="BZ68" s="5">
        <v>133.69999999999999</v>
      </c>
      <c r="CA68" s="75">
        <v>133.875</v>
      </c>
      <c r="CB68" s="5">
        <v>134</v>
      </c>
      <c r="CC68" s="5">
        <v>134.19999999999999</v>
      </c>
      <c r="CD68" s="5">
        <v>134.69999999999999</v>
      </c>
      <c r="CE68" s="5">
        <v>134.9</v>
      </c>
      <c r="CF68" s="5">
        <v>135</v>
      </c>
      <c r="CG68" s="5">
        <v>135.1</v>
      </c>
      <c r="CH68" s="5">
        <v>135.30000000000001</v>
      </c>
      <c r="CI68" s="5">
        <v>135.80000000000001</v>
      </c>
      <c r="CJ68" s="5">
        <v>136.1</v>
      </c>
      <c r="CK68" s="5">
        <v>136.5</v>
      </c>
      <c r="CL68" s="5">
        <v>136.69999999999999</v>
      </c>
      <c r="CM68" s="5">
        <v>136.80000000000001</v>
      </c>
      <c r="CN68" s="75">
        <v>138.07499999999999</v>
      </c>
      <c r="CO68" s="5">
        <v>139.4</v>
      </c>
      <c r="CP68" s="5">
        <v>139.4</v>
      </c>
      <c r="CQ68" s="5">
        <v>140.6</v>
      </c>
      <c r="CR68" s="5">
        <v>142.19999999999999</v>
      </c>
      <c r="CS68" s="5">
        <v>144</v>
      </c>
      <c r="CT68" s="5">
        <v>146.5</v>
      </c>
      <c r="CU68" s="5">
        <v>149.19999999999999</v>
      </c>
      <c r="CV68" s="5">
        <v>151.80000000000001</v>
      </c>
      <c r="CW68" s="5">
        <v>155.5</v>
      </c>
      <c r="CX68" s="5">
        <v>156.5</v>
      </c>
      <c r="CY68" s="5">
        <v>157.6</v>
      </c>
      <c r="CZ68" s="5">
        <v>159.30000000000001</v>
      </c>
      <c r="DA68" s="5">
        <v>160</v>
      </c>
      <c r="DB68" s="5">
        <v>160.9</v>
      </c>
      <c r="DC68" s="5">
        <v>162.69999999999999</v>
      </c>
      <c r="DD68" s="5">
        <v>162.69999999999999</v>
      </c>
      <c r="DE68" s="5">
        <v>163.19999999999999</v>
      </c>
      <c r="DF68" s="5">
        <v>163.69999999999999</v>
      </c>
      <c r="DG68" s="5">
        <v>164.2</v>
      </c>
      <c r="DH68" s="5">
        <v>164.3</v>
      </c>
      <c r="DI68" s="5">
        <v>164.7</v>
      </c>
      <c r="DJ68" s="5">
        <v>165.3</v>
      </c>
      <c r="DK68" s="5">
        <v>166.2</v>
      </c>
      <c r="DL68" s="5">
        <v>167.1</v>
      </c>
      <c r="DM68" s="5">
        <v>167.9</v>
      </c>
      <c r="DN68" s="5">
        <v>168.4</v>
      </c>
      <c r="DO68" s="5">
        <v>168.8</v>
      </c>
      <c r="DP68" s="5">
        <v>169.4</v>
      </c>
      <c r="DQ68" s="5">
        <v>169.9</v>
      </c>
      <c r="DR68" s="5">
        <v>170.4</v>
      </c>
      <c r="DS68" s="5">
        <v>171</v>
      </c>
      <c r="DT68" s="5">
        <v>171.4</v>
      </c>
      <c r="DU68" s="5">
        <v>172.3</v>
      </c>
      <c r="DV68" s="5">
        <v>172.3</v>
      </c>
      <c r="DW68" s="5">
        <v>172.9</v>
      </c>
      <c r="DX68" s="5">
        <v>173.4</v>
      </c>
      <c r="DY68">
        <f t="shared" si="0"/>
        <v>0</v>
      </c>
    </row>
    <row r="69" spans="1:129" x14ac:dyDescent="0.35">
      <c r="A69" s="34" t="s">
        <v>34</v>
      </c>
      <c r="B69" s="5" t="s">
        <v>51</v>
      </c>
      <c r="C69" s="5" t="s">
        <v>14</v>
      </c>
      <c r="D69" s="5">
        <v>107.3</v>
      </c>
      <c r="E69" s="5">
        <v>108.3</v>
      </c>
      <c r="F69" s="5">
        <v>108.9</v>
      </c>
      <c r="G69" s="5">
        <v>109.6</v>
      </c>
      <c r="H69" s="5">
        <v>110.5</v>
      </c>
      <c r="I69" s="5">
        <v>111.6</v>
      </c>
      <c r="J69" s="5">
        <v>112.6</v>
      </c>
      <c r="K69" s="5">
        <v>113.4</v>
      </c>
      <c r="L69" s="5">
        <v>114.6</v>
      </c>
      <c r="M69" s="5">
        <v>115.4</v>
      </c>
      <c r="N69" s="5">
        <v>116.5</v>
      </c>
      <c r="O69" s="5">
        <v>117.4</v>
      </c>
      <c r="P69" s="5">
        <v>118.1</v>
      </c>
      <c r="Q69" s="5">
        <v>118.8</v>
      </c>
      <c r="R69" s="5">
        <v>119.3</v>
      </c>
      <c r="S69" s="5">
        <v>119.8</v>
      </c>
      <c r="T69" s="5">
        <v>120.4</v>
      </c>
      <c r="U69" s="5">
        <v>121.2</v>
      </c>
      <c r="V69" s="5">
        <v>122.1</v>
      </c>
      <c r="W69" s="5">
        <v>123.1</v>
      </c>
      <c r="X69" s="5">
        <v>123.8</v>
      </c>
      <c r="Y69" s="5">
        <v>124.5</v>
      </c>
      <c r="Z69" s="5">
        <v>125.6</v>
      </c>
      <c r="AA69" s="5">
        <v>126.1</v>
      </c>
      <c r="AB69" s="5">
        <v>126.7</v>
      </c>
      <c r="AC69" s="5">
        <v>127.6</v>
      </c>
      <c r="AD69" s="5">
        <v>128.4</v>
      </c>
      <c r="AE69" s="5">
        <v>129.1</v>
      </c>
      <c r="AF69" s="5">
        <v>129.80000000000001</v>
      </c>
      <c r="AG69" s="5">
        <v>130.9</v>
      </c>
      <c r="AH69" s="5">
        <v>131.4</v>
      </c>
      <c r="AI69" s="5">
        <v>132.1</v>
      </c>
      <c r="AJ69" s="5">
        <v>132.5</v>
      </c>
      <c r="AK69" s="5">
        <v>133</v>
      </c>
      <c r="AL69" s="5">
        <v>134</v>
      </c>
      <c r="AM69" s="5">
        <v>134.69999999999999</v>
      </c>
      <c r="AN69" s="5">
        <v>135.30000000000001</v>
      </c>
      <c r="AO69" s="5">
        <v>135.80000000000001</v>
      </c>
      <c r="AP69" s="5">
        <v>136.30000000000001</v>
      </c>
      <c r="AQ69" s="5">
        <v>136.69999999999999</v>
      </c>
      <c r="AR69" s="5">
        <v>137.4</v>
      </c>
      <c r="AS69" s="5">
        <v>138.1</v>
      </c>
      <c r="AT69" s="5">
        <v>138.80000000000001</v>
      </c>
      <c r="AU69" s="5">
        <v>139.5</v>
      </c>
      <c r="AV69" s="5">
        <v>140.19999999999999</v>
      </c>
      <c r="AW69" s="5">
        <v>141.1</v>
      </c>
      <c r="AX69" s="5">
        <v>141.80000000000001</v>
      </c>
      <c r="AY69" s="5">
        <v>142.30000000000001</v>
      </c>
      <c r="AZ69" s="5">
        <v>142.80000000000001</v>
      </c>
      <c r="BA69" s="5">
        <v>143.19999999999999</v>
      </c>
      <c r="BB69" s="5">
        <v>144</v>
      </c>
      <c r="BC69" s="5">
        <v>144.19999999999999</v>
      </c>
      <c r="BD69" s="5">
        <v>144.5</v>
      </c>
      <c r="BE69" s="5">
        <v>144.9</v>
      </c>
      <c r="BF69" s="5">
        <v>145.80000000000001</v>
      </c>
      <c r="BG69" s="5">
        <v>146.80000000000001</v>
      </c>
      <c r="BH69" s="5">
        <v>147.30000000000001</v>
      </c>
      <c r="BI69" s="5">
        <v>148.1</v>
      </c>
      <c r="BJ69" s="5">
        <v>148.9</v>
      </c>
      <c r="BK69" s="5">
        <v>149</v>
      </c>
      <c r="BL69" s="5">
        <v>149.5</v>
      </c>
      <c r="BM69" s="5">
        <v>149.6</v>
      </c>
      <c r="BN69" s="5">
        <v>150.4</v>
      </c>
      <c r="BO69" s="5">
        <v>151.19999999999999</v>
      </c>
      <c r="BP69" s="5">
        <v>151.69999999999999</v>
      </c>
      <c r="BQ69" s="5">
        <v>151.80000000000001</v>
      </c>
      <c r="BR69" s="5">
        <v>152.30000000000001</v>
      </c>
      <c r="BS69" s="5">
        <v>153</v>
      </c>
      <c r="BT69" s="5">
        <v>153.80000000000001</v>
      </c>
      <c r="BU69" s="5">
        <v>154.5</v>
      </c>
      <c r="BV69" s="5">
        <v>154.5</v>
      </c>
      <c r="BW69" s="5">
        <v>154.6</v>
      </c>
      <c r="BX69" s="5">
        <v>154.6</v>
      </c>
      <c r="BY69" s="5">
        <v>154.9</v>
      </c>
      <c r="BZ69" s="5">
        <v>155.19999999999999</v>
      </c>
      <c r="CA69" s="75">
        <v>155.375</v>
      </c>
      <c r="CB69" s="5">
        <v>155.5</v>
      </c>
      <c r="CC69" s="5">
        <v>155.9</v>
      </c>
      <c r="CD69" s="5">
        <v>156.19999999999999</v>
      </c>
      <c r="CE69" s="5">
        <v>156.6</v>
      </c>
      <c r="CF69" s="5">
        <v>156.80000000000001</v>
      </c>
      <c r="CG69" s="5">
        <v>157.1</v>
      </c>
      <c r="CH69" s="5">
        <v>157.5</v>
      </c>
      <c r="CI69" s="5">
        <v>158</v>
      </c>
      <c r="CJ69" s="5">
        <v>158.6</v>
      </c>
      <c r="CK69" s="5">
        <v>159.1</v>
      </c>
      <c r="CL69" s="5">
        <v>159.6</v>
      </c>
      <c r="CM69" s="5">
        <f>CL69</f>
        <v>159.6</v>
      </c>
      <c r="CN69" s="75">
        <v>160.69999999999999</v>
      </c>
      <c r="CO69" s="5">
        <v>161.80000000000001</v>
      </c>
      <c r="CP69" s="5">
        <v>161.80000000000001</v>
      </c>
      <c r="CQ69" s="5">
        <v>162.30000000000001</v>
      </c>
      <c r="CR69" s="5">
        <v>162.9</v>
      </c>
      <c r="CS69" s="5">
        <v>163.19999999999999</v>
      </c>
      <c r="CT69" s="5">
        <v>163.80000000000001</v>
      </c>
      <c r="CU69" s="5">
        <v>164.8</v>
      </c>
      <c r="CV69" s="5">
        <v>165.6</v>
      </c>
      <c r="CW69" s="5">
        <v>167.5</v>
      </c>
      <c r="CX69" s="5">
        <v>168.2</v>
      </c>
      <c r="CY69" s="5">
        <v>168.9</v>
      </c>
      <c r="CZ69" s="5">
        <v>170.4</v>
      </c>
      <c r="DA69" s="5">
        <v>172.4</v>
      </c>
      <c r="DB69" s="5">
        <v>172.2</v>
      </c>
      <c r="DC69" s="5">
        <v>173.9</v>
      </c>
      <c r="DD69" s="5">
        <v>173.9</v>
      </c>
      <c r="DE69" s="5">
        <v>174.7</v>
      </c>
      <c r="DF69" s="5">
        <v>175.5</v>
      </c>
      <c r="DG69" s="5">
        <v>176.5</v>
      </c>
      <c r="DH69" s="5">
        <v>177.3</v>
      </c>
      <c r="DI69" s="5">
        <v>178</v>
      </c>
      <c r="DJ69" s="5">
        <v>179.3</v>
      </c>
      <c r="DK69" s="5">
        <v>180.9</v>
      </c>
      <c r="DL69" s="5">
        <v>182.5</v>
      </c>
      <c r="DM69" s="5">
        <v>183.9</v>
      </c>
      <c r="DN69" s="5">
        <v>185.2</v>
      </c>
      <c r="DO69" s="5">
        <v>186.3</v>
      </c>
      <c r="DP69" s="5">
        <v>187.4</v>
      </c>
      <c r="DQ69" s="5">
        <v>188.3</v>
      </c>
      <c r="DR69" s="5">
        <v>189.5</v>
      </c>
      <c r="DS69" s="5">
        <v>190.3</v>
      </c>
      <c r="DT69" s="5">
        <v>191.2</v>
      </c>
      <c r="DU69" s="5">
        <v>193</v>
      </c>
      <c r="DV69" s="5">
        <v>193</v>
      </c>
      <c r="DW69" s="5">
        <v>193.5</v>
      </c>
      <c r="DX69" s="5">
        <v>194.2</v>
      </c>
      <c r="DY69">
        <f t="shared" ref="DY69:DY84" si="7">COUNTIF(A69:DX69,"")+COUNTIF(A69:DX69,"NA")+COUNTIF(A69:DX69,"-")</f>
        <v>0</v>
      </c>
    </row>
    <row r="70" spans="1:129" x14ac:dyDescent="0.35">
      <c r="A70" s="34" t="s">
        <v>34</v>
      </c>
      <c r="B70" s="5" t="s">
        <v>51</v>
      </c>
      <c r="C70" s="5" t="s">
        <v>15</v>
      </c>
      <c r="D70" s="5">
        <v>105.6</v>
      </c>
      <c r="E70" s="5">
        <v>106.6</v>
      </c>
      <c r="F70" s="5">
        <v>106.9</v>
      </c>
      <c r="G70" s="5">
        <v>107.7</v>
      </c>
      <c r="H70" s="5">
        <v>109.2</v>
      </c>
      <c r="I70" s="5">
        <v>112.2</v>
      </c>
      <c r="J70" s="5">
        <v>114.7</v>
      </c>
      <c r="K70" s="5">
        <v>116.6</v>
      </c>
      <c r="L70" s="5">
        <v>118.3</v>
      </c>
      <c r="M70" s="5">
        <v>120.2</v>
      </c>
      <c r="N70" s="5">
        <v>122.6</v>
      </c>
      <c r="O70" s="5">
        <v>118.4</v>
      </c>
      <c r="P70" s="5">
        <v>115.8</v>
      </c>
      <c r="Q70" s="5">
        <v>115.3</v>
      </c>
      <c r="R70" s="5">
        <v>116.1</v>
      </c>
      <c r="S70" s="5">
        <v>117.6</v>
      </c>
      <c r="T70" s="5">
        <v>118.9</v>
      </c>
      <c r="U70" s="5">
        <v>120.4</v>
      </c>
      <c r="V70" s="5">
        <v>124.7</v>
      </c>
      <c r="W70" s="5">
        <v>126.6</v>
      </c>
      <c r="X70" s="5">
        <v>125.8</v>
      </c>
      <c r="Y70" s="5">
        <v>125.4</v>
      </c>
      <c r="Z70" s="5">
        <v>125.1</v>
      </c>
      <c r="AA70" s="5">
        <v>123.6</v>
      </c>
      <c r="AB70" s="5">
        <v>123.1</v>
      </c>
      <c r="AC70" s="5">
        <v>123.1</v>
      </c>
      <c r="AD70" s="5">
        <v>123.4</v>
      </c>
      <c r="AE70" s="5">
        <v>124</v>
      </c>
      <c r="AF70" s="5">
        <v>125</v>
      </c>
      <c r="AG70" s="5">
        <v>127.3</v>
      </c>
      <c r="AH70" s="5">
        <v>128.19999999999999</v>
      </c>
      <c r="AI70" s="5">
        <v>130.30000000000001</v>
      </c>
      <c r="AJ70" s="5">
        <v>131.19999999999999</v>
      </c>
      <c r="AK70" s="5">
        <v>132.1</v>
      </c>
      <c r="AL70" s="5">
        <v>132.69999999999999</v>
      </c>
      <c r="AM70" s="5">
        <v>131.4</v>
      </c>
      <c r="AN70" s="5">
        <v>131.30000000000001</v>
      </c>
      <c r="AO70" s="5">
        <v>129.9</v>
      </c>
      <c r="AP70" s="5">
        <v>129.80000000000001</v>
      </c>
      <c r="AQ70" s="5">
        <v>131.80000000000001</v>
      </c>
      <c r="AR70" s="5">
        <v>134</v>
      </c>
      <c r="AS70" s="5">
        <v>136.80000000000001</v>
      </c>
      <c r="AT70" s="5">
        <v>138.4</v>
      </c>
      <c r="AU70" s="5">
        <v>137.9</v>
      </c>
      <c r="AV70" s="5">
        <v>136.6</v>
      </c>
      <c r="AW70" s="5">
        <v>137</v>
      </c>
      <c r="AX70" s="5">
        <v>136.1</v>
      </c>
      <c r="AY70" s="5">
        <v>134</v>
      </c>
      <c r="AZ70" s="5">
        <v>133.1</v>
      </c>
      <c r="BA70" s="5">
        <v>133</v>
      </c>
      <c r="BB70" s="5">
        <v>133.1</v>
      </c>
      <c r="BC70" s="5">
        <v>133.5</v>
      </c>
      <c r="BD70" s="5">
        <v>133.69999999999999</v>
      </c>
      <c r="BE70" s="5">
        <v>135.19999999999999</v>
      </c>
      <c r="BF70" s="5">
        <v>139</v>
      </c>
      <c r="BG70" s="5">
        <v>140.6</v>
      </c>
      <c r="BH70" s="5">
        <v>139</v>
      </c>
      <c r="BI70" s="5">
        <v>140.1</v>
      </c>
      <c r="BJ70" s="5">
        <v>142.1</v>
      </c>
      <c r="BK70" s="5">
        <v>140.5</v>
      </c>
      <c r="BL70" s="5">
        <v>139.19999999999999</v>
      </c>
      <c r="BM70" s="5">
        <v>137.6</v>
      </c>
      <c r="BN70" s="5">
        <v>137.19999999999999</v>
      </c>
      <c r="BO70" s="5">
        <v>137.5</v>
      </c>
      <c r="BP70" s="5">
        <v>138.1</v>
      </c>
      <c r="BQ70" s="5">
        <v>139.4</v>
      </c>
      <c r="BR70" s="5">
        <v>141.4</v>
      </c>
      <c r="BS70" s="5">
        <v>141.69999999999999</v>
      </c>
      <c r="BT70" s="5">
        <v>140.4</v>
      </c>
      <c r="BU70" s="5">
        <v>139.69999999999999</v>
      </c>
      <c r="BV70" s="5">
        <v>139.69999999999999</v>
      </c>
      <c r="BW70" s="5">
        <v>138.19999999999999</v>
      </c>
      <c r="BX70" s="5">
        <v>137.4</v>
      </c>
      <c r="BY70" s="5">
        <v>137.5</v>
      </c>
      <c r="BZ70" s="5">
        <v>138.1</v>
      </c>
      <c r="CA70" s="75">
        <v>139.80000000000001</v>
      </c>
      <c r="CB70" s="5">
        <v>140.9</v>
      </c>
      <c r="CC70" s="5">
        <v>142.69999999999999</v>
      </c>
      <c r="CD70" s="5">
        <v>144.69999999999999</v>
      </c>
      <c r="CE70" s="5">
        <v>145.9</v>
      </c>
      <c r="CF70" s="5">
        <v>147</v>
      </c>
      <c r="CG70" s="5">
        <v>149.6</v>
      </c>
      <c r="CH70" s="5">
        <v>151.9</v>
      </c>
      <c r="CI70" s="5">
        <v>155</v>
      </c>
      <c r="CJ70" s="5">
        <v>153.5</v>
      </c>
      <c r="CK70" s="5">
        <v>150.5</v>
      </c>
      <c r="CL70" s="5">
        <v>148.9</v>
      </c>
      <c r="CM70" s="5">
        <v>151.4</v>
      </c>
      <c r="CN70" s="75">
        <v>152.07499999999999</v>
      </c>
      <c r="CO70" s="5">
        <v>154</v>
      </c>
      <c r="CP70" s="5">
        <v>154</v>
      </c>
      <c r="CQ70" s="5">
        <v>157</v>
      </c>
      <c r="CR70" s="5">
        <v>158</v>
      </c>
      <c r="CS70" s="5">
        <v>161.4</v>
      </c>
      <c r="CT70" s="5">
        <v>164.7</v>
      </c>
      <c r="CU70" s="5">
        <v>165.4</v>
      </c>
      <c r="CV70" s="5">
        <v>161</v>
      </c>
      <c r="CW70" s="5">
        <v>156.9</v>
      </c>
      <c r="CX70" s="5">
        <v>156.69999999999999</v>
      </c>
      <c r="CY70" s="5">
        <v>158</v>
      </c>
      <c r="CZ70" s="5">
        <v>160.69999999999999</v>
      </c>
      <c r="DA70" s="5">
        <v>162.6</v>
      </c>
      <c r="DB70" s="5">
        <v>164</v>
      </c>
      <c r="DC70" s="5">
        <v>164</v>
      </c>
      <c r="DD70" s="5">
        <v>164</v>
      </c>
      <c r="DE70" s="5">
        <v>167.7</v>
      </c>
      <c r="DF70" s="5">
        <v>169.7</v>
      </c>
      <c r="DG70" s="5">
        <v>168.2</v>
      </c>
      <c r="DH70" s="5">
        <v>166.4</v>
      </c>
      <c r="DI70" s="5">
        <v>166.2</v>
      </c>
      <c r="DJ70" s="5">
        <v>168.4</v>
      </c>
      <c r="DK70" s="5">
        <v>170.8</v>
      </c>
      <c r="DL70" s="5">
        <v>173.3</v>
      </c>
      <c r="DM70" s="5">
        <v>174.9</v>
      </c>
      <c r="DN70" s="5">
        <v>175</v>
      </c>
      <c r="DO70" s="5">
        <v>176.3</v>
      </c>
      <c r="DP70" s="5">
        <v>177.8</v>
      </c>
      <c r="DQ70" s="5">
        <v>179.6</v>
      </c>
      <c r="DR70" s="5">
        <v>178.3</v>
      </c>
      <c r="DS70" s="5">
        <v>175.9</v>
      </c>
      <c r="DT70" s="5">
        <v>176.7</v>
      </c>
      <c r="DU70" s="5">
        <v>177</v>
      </c>
      <c r="DV70" s="5">
        <v>177</v>
      </c>
      <c r="DW70" s="5">
        <v>177.9</v>
      </c>
      <c r="DX70" s="5">
        <v>179.1</v>
      </c>
      <c r="DY70">
        <f t="shared" si="7"/>
        <v>0</v>
      </c>
    </row>
    <row r="71" spans="1:129" x14ac:dyDescent="0.35">
      <c r="A71" s="34" t="s">
        <v>34</v>
      </c>
      <c r="B71" s="5" t="s">
        <v>52</v>
      </c>
      <c r="C71" s="5" t="s">
        <v>16</v>
      </c>
      <c r="D71" s="5">
        <v>105.1</v>
      </c>
      <c r="E71" s="5">
        <v>105.7</v>
      </c>
      <c r="F71" s="5">
        <v>106.6</v>
      </c>
      <c r="G71" s="5">
        <v>107.5</v>
      </c>
      <c r="H71" s="5">
        <v>108.6</v>
      </c>
      <c r="I71" s="5">
        <v>109.5</v>
      </c>
      <c r="J71" s="5">
        <v>110.3</v>
      </c>
      <c r="K71" s="5">
        <v>111.2</v>
      </c>
      <c r="L71" s="5">
        <v>112</v>
      </c>
      <c r="M71" s="5">
        <v>112.5</v>
      </c>
      <c r="N71" s="5">
        <v>113.1</v>
      </c>
      <c r="O71" s="5">
        <v>114</v>
      </c>
      <c r="P71" s="5">
        <v>114.5</v>
      </c>
      <c r="Q71" s="5">
        <v>114.7</v>
      </c>
      <c r="R71" s="5">
        <v>115.2</v>
      </c>
      <c r="S71" s="5">
        <v>116</v>
      </c>
      <c r="T71" s="5">
        <v>116.8</v>
      </c>
      <c r="U71" s="5">
        <v>117.8</v>
      </c>
      <c r="V71" s="5">
        <v>118.8</v>
      </c>
      <c r="W71" s="5">
        <v>119.9</v>
      </c>
      <c r="X71" s="5">
        <v>120.8</v>
      </c>
      <c r="Y71" s="5">
        <v>121.1</v>
      </c>
      <c r="Z71" s="5">
        <v>122.1</v>
      </c>
      <c r="AA71" s="5">
        <v>123</v>
      </c>
      <c r="AB71" s="5">
        <v>124</v>
      </c>
      <c r="AC71" s="5">
        <v>125.2</v>
      </c>
      <c r="AD71" s="5">
        <v>125.8</v>
      </c>
      <c r="AE71" s="5">
        <v>126.9</v>
      </c>
      <c r="AF71" s="5">
        <v>127.9</v>
      </c>
      <c r="AG71" s="5">
        <v>129.19999999999999</v>
      </c>
      <c r="AH71" s="5">
        <v>130.4</v>
      </c>
      <c r="AI71" s="5">
        <v>131.19999999999999</v>
      </c>
      <c r="AJ71" s="5">
        <v>132</v>
      </c>
      <c r="AK71" s="5">
        <v>132.5</v>
      </c>
      <c r="AL71" s="5">
        <v>133.6</v>
      </c>
      <c r="AM71" s="5">
        <v>134.5</v>
      </c>
      <c r="AN71" s="5">
        <v>135.19999999999999</v>
      </c>
      <c r="AO71" s="5">
        <v>135.9</v>
      </c>
      <c r="AP71" s="5">
        <v>136.5</v>
      </c>
      <c r="AQ71" s="5">
        <v>137.1</v>
      </c>
      <c r="AR71" s="5">
        <v>137.69999999999999</v>
      </c>
      <c r="AS71" s="5">
        <v>138.69999999999999</v>
      </c>
      <c r="AT71" s="5">
        <v>139.30000000000001</v>
      </c>
      <c r="AU71" s="5">
        <v>140.19999999999999</v>
      </c>
      <c r="AV71" s="5">
        <v>141</v>
      </c>
      <c r="AW71" s="5">
        <v>141.80000000000001</v>
      </c>
      <c r="AX71" s="5">
        <v>142</v>
      </c>
      <c r="AY71" s="5">
        <v>143.1</v>
      </c>
      <c r="AZ71" s="5">
        <v>143.80000000000001</v>
      </c>
      <c r="BA71" s="5">
        <v>144.4</v>
      </c>
      <c r="BB71" s="5">
        <v>145.1</v>
      </c>
      <c r="BC71" s="5">
        <v>145.4</v>
      </c>
      <c r="BD71" s="5">
        <v>146.19999999999999</v>
      </c>
      <c r="BE71" s="5">
        <v>146.5</v>
      </c>
      <c r="BF71" s="5">
        <v>148.19999999999999</v>
      </c>
      <c r="BG71" s="5">
        <v>149.80000000000001</v>
      </c>
      <c r="BH71" s="5">
        <v>150.80000000000001</v>
      </c>
      <c r="BI71" s="5">
        <v>151.6</v>
      </c>
      <c r="BJ71" s="5">
        <v>153.19999999999999</v>
      </c>
      <c r="BK71" s="5">
        <v>154.19999999999999</v>
      </c>
      <c r="BL71" s="5">
        <v>154.69999999999999</v>
      </c>
      <c r="BM71" s="5">
        <v>154.9</v>
      </c>
      <c r="BN71" s="5">
        <v>156.30000000000001</v>
      </c>
      <c r="BO71" s="5">
        <v>156.9</v>
      </c>
      <c r="BP71" s="5">
        <v>157.9</v>
      </c>
      <c r="BQ71" s="5">
        <v>158.30000000000001</v>
      </c>
      <c r="BR71" s="5">
        <v>157.5</v>
      </c>
      <c r="BS71" s="5">
        <v>157.9</v>
      </c>
      <c r="BT71" s="5">
        <v>159.19999999999999</v>
      </c>
      <c r="BU71" s="5">
        <v>162.6</v>
      </c>
      <c r="BV71" s="5">
        <v>162.6</v>
      </c>
      <c r="BW71" s="5">
        <v>163</v>
      </c>
      <c r="BX71" s="5">
        <v>163.19999999999999</v>
      </c>
      <c r="BY71" s="5">
        <v>163.4</v>
      </c>
      <c r="BZ71" s="5">
        <v>163.5</v>
      </c>
      <c r="CA71" s="75">
        <v>163.97499999999999</v>
      </c>
      <c r="CB71" s="5">
        <v>164.1</v>
      </c>
      <c r="CC71" s="5">
        <v>164.9</v>
      </c>
      <c r="CD71" s="5">
        <v>165.2</v>
      </c>
      <c r="CE71" s="5">
        <v>165.8</v>
      </c>
      <c r="CF71" s="5">
        <v>166.5</v>
      </c>
      <c r="CG71" s="5">
        <v>167.1</v>
      </c>
      <c r="CH71" s="5">
        <v>167.9</v>
      </c>
      <c r="CI71" s="5">
        <v>168.5</v>
      </c>
      <c r="CJ71" s="5">
        <v>169.2</v>
      </c>
      <c r="CK71" s="5">
        <v>170.1</v>
      </c>
      <c r="CL71" s="5">
        <v>171.2</v>
      </c>
      <c r="CM71" s="5">
        <f t="shared" ref="CM71:CM74" si="8">CL71</f>
        <v>171.2</v>
      </c>
      <c r="CN71" s="75">
        <v>177.35</v>
      </c>
      <c r="CO71" s="5">
        <v>183.5</v>
      </c>
      <c r="CP71" s="5">
        <v>183.5</v>
      </c>
      <c r="CQ71" s="5">
        <v>182.6</v>
      </c>
      <c r="CR71" s="5">
        <v>184.4</v>
      </c>
      <c r="CS71" s="5">
        <v>184.3</v>
      </c>
      <c r="CT71" s="5">
        <v>184.8</v>
      </c>
      <c r="CU71" s="5">
        <v>185.4</v>
      </c>
      <c r="CV71" s="5">
        <v>186.5</v>
      </c>
      <c r="CW71" s="5">
        <v>188.3</v>
      </c>
      <c r="CX71" s="5">
        <v>188.1</v>
      </c>
      <c r="CY71" s="5">
        <v>188.8</v>
      </c>
      <c r="CZ71" s="5">
        <v>191.9</v>
      </c>
      <c r="DA71" s="5">
        <v>190.8</v>
      </c>
      <c r="DB71" s="5">
        <v>191.2</v>
      </c>
      <c r="DC71" s="5">
        <v>192.1</v>
      </c>
      <c r="DD71" s="5">
        <v>192.1</v>
      </c>
      <c r="DE71" s="5">
        <v>192.7</v>
      </c>
      <c r="DF71" s="5">
        <v>192.9</v>
      </c>
      <c r="DG71" s="5">
        <v>192.4</v>
      </c>
      <c r="DH71" s="5">
        <v>192.2</v>
      </c>
      <c r="DI71" s="5">
        <v>192.8</v>
      </c>
      <c r="DJ71" s="5">
        <v>193.7</v>
      </c>
      <c r="DK71" s="5">
        <v>193.9</v>
      </c>
      <c r="DL71" s="5">
        <v>194.1</v>
      </c>
      <c r="DM71" s="5">
        <v>194.3</v>
      </c>
      <c r="DN71" s="5">
        <v>194.6</v>
      </c>
      <c r="DO71" s="5">
        <v>195</v>
      </c>
      <c r="DP71" s="5">
        <v>195.9</v>
      </c>
      <c r="DQ71" s="5">
        <v>196.3</v>
      </c>
      <c r="DR71" s="5">
        <v>196.9</v>
      </c>
      <c r="DS71" s="5">
        <v>197.3</v>
      </c>
      <c r="DT71" s="5">
        <v>198.2</v>
      </c>
      <c r="DU71" s="5">
        <v>199.5</v>
      </c>
      <c r="DV71" s="5">
        <v>199.5</v>
      </c>
      <c r="DW71" s="5">
        <v>200.6</v>
      </c>
      <c r="DX71" s="5">
        <v>201</v>
      </c>
      <c r="DY71">
        <f t="shared" si="7"/>
        <v>0</v>
      </c>
    </row>
    <row r="72" spans="1:129" x14ac:dyDescent="0.35">
      <c r="A72" s="34" t="s">
        <v>34</v>
      </c>
      <c r="B72" s="5" t="s">
        <v>53</v>
      </c>
      <c r="C72" s="5" t="s">
        <v>17</v>
      </c>
      <c r="D72" s="5">
        <v>106.3</v>
      </c>
      <c r="E72" s="5">
        <v>106.9</v>
      </c>
      <c r="F72" s="5">
        <v>107.4</v>
      </c>
      <c r="G72" s="5">
        <v>108</v>
      </c>
      <c r="H72" s="5">
        <v>108.7</v>
      </c>
      <c r="I72" s="5">
        <v>109.5</v>
      </c>
      <c r="J72" s="5">
        <v>110.2</v>
      </c>
      <c r="K72" s="5">
        <v>111</v>
      </c>
      <c r="L72" s="5">
        <v>112.2</v>
      </c>
      <c r="M72" s="5">
        <v>113.2</v>
      </c>
      <c r="N72" s="5">
        <v>114.2</v>
      </c>
      <c r="O72" s="5">
        <v>115.2</v>
      </c>
      <c r="P72" s="5">
        <v>115.8</v>
      </c>
      <c r="Q72" s="5">
        <v>116.4</v>
      </c>
      <c r="R72" s="5">
        <v>116.8</v>
      </c>
      <c r="S72" s="5">
        <v>117.4</v>
      </c>
      <c r="T72" s="5">
        <v>118</v>
      </c>
      <c r="U72" s="5">
        <v>118.8</v>
      </c>
      <c r="V72" s="5">
        <v>119.6</v>
      </c>
      <c r="W72" s="5">
        <v>120</v>
      </c>
      <c r="X72" s="5">
        <v>120.7</v>
      </c>
      <c r="Y72" s="5">
        <v>121.5</v>
      </c>
      <c r="Z72" s="5">
        <v>122.1</v>
      </c>
      <c r="AA72" s="5">
        <v>122.6</v>
      </c>
      <c r="AB72" s="5">
        <v>123.1</v>
      </c>
      <c r="AC72" s="5">
        <v>123.8</v>
      </c>
      <c r="AD72" s="5">
        <v>124.3</v>
      </c>
      <c r="AE72" s="5">
        <v>124.7</v>
      </c>
      <c r="AF72" s="5">
        <v>125.4</v>
      </c>
      <c r="AG72" s="5">
        <v>126.4</v>
      </c>
      <c r="AH72" s="5">
        <v>126.7</v>
      </c>
      <c r="AI72" s="5">
        <v>127.2</v>
      </c>
      <c r="AJ72" s="5">
        <v>127.9</v>
      </c>
      <c r="AK72" s="5">
        <v>128.5</v>
      </c>
      <c r="AL72" s="5">
        <v>129.30000000000001</v>
      </c>
      <c r="AM72" s="5">
        <v>129.69999999999999</v>
      </c>
      <c r="AN72" s="5">
        <v>130.30000000000001</v>
      </c>
      <c r="AO72" s="5">
        <v>130.9</v>
      </c>
      <c r="AP72" s="5">
        <v>131.30000000000001</v>
      </c>
      <c r="AQ72" s="5">
        <v>131.80000000000001</v>
      </c>
      <c r="AR72" s="5">
        <v>132.19999999999999</v>
      </c>
      <c r="AS72" s="5">
        <v>132.9</v>
      </c>
      <c r="AT72" s="5">
        <v>133.5</v>
      </c>
      <c r="AU72" s="5">
        <v>134.1</v>
      </c>
      <c r="AV72" s="5">
        <v>134.6</v>
      </c>
      <c r="AW72" s="5">
        <v>135.5</v>
      </c>
      <c r="AX72" s="5">
        <v>135.80000000000001</v>
      </c>
      <c r="AY72" s="5">
        <v>136.30000000000001</v>
      </c>
      <c r="AZ72" s="5">
        <v>136.6</v>
      </c>
      <c r="BA72" s="5">
        <v>136.80000000000001</v>
      </c>
      <c r="BB72" s="5">
        <v>137.30000000000001</v>
      </c>
      <c r="BC72" s="5">
        <v>138</v>
      </c>
      <c r="BD72" s="5">
        <v>138.19999999999999</v>
      </c>
      <c r="BE72" s="5">
        <v>138.5</v>
      </c>
      <c r="BF72" s="5">
        <v>139.30000000000001</v>
      </c>
      <c r="BG72" s="5">
        <v>140.30000000000001</v>
      </c>
      <c r="BH72" s="5">
        <v>141.1</v>
      </c>
      <c r="BI72" s="5">
        <v>142</v>
      </c>
      <c r="BJ72" s="5">
        <v>143</v>
      </c>
      <c r="BK72" s="5">
        <v>143.1</v>
      </c>
      <c r="BL72" s="5">
        <v>143.5</v>
      </c>
      <c r="BM72" s="5">
        <v>143.80000000000001</v>
      </c>
      <c r="BN72" s="5">
        <v>144.30000000000001</v>
      </c>
      <c r="BO72" s="5">
        <v>145.30000000000001</v>
      </c>
      <c r="BP72" s="5">
        <v>146</v>
      </c>
      <c r="BQ72" s="5">
        <v>146.4</v>
      </c>
      <c r="BR72" s="5">
        <v>146.80000000000001</v>
      </c>
      <c r="BS72" s="5">
        <v>147.30000000000001</v>
      </c>
      <c r="BT72" s="5">
        <v>147.69999999999999</v>
      </c>
      <c r="BU72" s="5">
        <v>148</v>
      </c>
      <c r="BV72" s="5">
        <v>148</v>
      </c>
      <c r="BW72" s="5">
        <v>148.1</v>
      </c>
      <c r="BX72" s="5">
        <v>147.6</v>
      </c>
      <c r="BY72" s="5">
        <v>147.69999999999999</v>
      </c>
      <c r="BZ72" s="5">
        <v>147.9</v>
      </c>
      <c r="CA72" s="75">
        <v>148.15</v>
      </c>
      <c r="CB72" s="5">
        <v>148.4</v>
      </c>
      <c r="CC72" s="5">
        <v>148.6</v>
      </c>
      <c r="CD72" s="5">
        <v>148.9</v>
      </c>
      <c r="CE72" s="5">
        <v>149.1</v>
      </c>
      <c r="CF72" s="5">
        <v>149.19999999999999</v>
      </c>
      <c r="CG72" s="5">
        <v>149.4</v>
      </c>
      <c r="CH72" s="5">
        <v>149.9</v>
      </c>
      <c r="CI72" s="5">
        <v>150.30000000000001</v>
      </c>
      <c r="CJ72" s="5">
        <v>150.5</v>
      </c>
      <c r="CK72" s="5">
        <v>150.80000000000001</v>
      </c>
      <c r="CL72" s="5">
        <v>151.19999999999999</v>
      </c>
      <c r="CM72" s="5">
        <f t="shared" si="8"/>
        <v>151.19999999999999</v>
      </c>
      <c r="CN72" s="75">
        <v>151.85</v>
      </c>
      <c r="CO72" s="5">
        <v>152.5</v>
      </c>
      <c r="CP72" s="5">
        <v>152.5</v>
      </c>
      <c r="CQ72" s="5">
        <v>153.1</v>
      </c>
      <c r="CR72" s="5">
        <v>153.4</v>
      </c>
      <c r="CS72" s="5">
        <v>153.69999999999999</v>
      </c>
      <c r="CT72" s="5">
        <v>154.30000000000001</v>
      </c>
      <c r="CU72" s="5">
        <v>155</v>
      </c>
      <c r="CV72" s="5">
        <v>155.5</v>
      </c>
      <c r="CW72" s="5">
        <v>157.19999999999999</v>
      </c>
      <c r="CX72" s="5">
        <v>157.80000000000001</v>
      </c>
      <c r="CY72" s="5">
        <v>158.80000000000001</v>
      </c>
      <c r="CZ72" s="5">
        <v>161.80000000000001</v>
      </c>
      <c r="DA72" s="5">
        <v>162.19999999999999</v>
      </c>
      <c r="DB72" s="5">
        <v>162.80000000000001</v>
      </c>
      <c r="DC72" s="5">
        <v>164.5</v>
      </c>
      <c r="DD72" s="5">
        <v>164.6</v>
      </c>
      <c r="DE72" s="5">
        <v>165.7</v>
      </c>
      <c r="DF72" s="5">
        <v>167.2</v>
      </c>
      <c r="DG72" s="5">
        <v>168.5</v>
      </c>
      <c r="DH72" s="5">
        <v>169.9</v>
      </c>
      <c r="DI72" s="5">
        <v>170.8</v>
      </c>
      <c r="DJ72" s="5">
        <v>172.1</v>
      </c>
      <c r="DK72" s="5">
        <v>173.9</v>
      </c>
      <c r="DL72" s="5">
        <v>175.6</v>
      </c>
      <c r="DM72" s="5">
        <v>177.1</v>
      </c>
      <c r="DN72" s="5">
        <v>178.3</v>
      </c>
      <c r="DO72" s="5">
        <v>179.5</v>
      </c>
      <c r="DP72" s="5">
        <v>180.9</v>
      </c>
      <c r="DQ72" s="5">
        <v>181.9</v>
      </c>
      <c r="DR72" s="5">
        <v>183.1</v>
      </c>
      <c r="DS72" s="5">
        <v>184</v>
      </c>
      <c r="DT72" s="5">
        <v>184.9</v>
      </c>
      <c r="DU72" s="5">
        <v>186.2</v>
      </c>
      <c r="DV72" s="5">
        <v>186.1</v>
      </c>
      <c r="DW72" s="5">
        <v>186.9</v>
      </c>
      <c r="DX72" s="5">
        <v>187.3</v>
      </c>
      <c r="DY72">
        <f t="shared" si="7"/>
        <v>0</v>
      </c>
    </row>
    <row r="73" spans="1:129" x14ac:dyDescent="0.35">
      <c r="A73" s="34" t="s">
        <v>34</v>
      </c>
      <c r="B73" s="5" t="s">
        <v>53</v>
      </c>
      <c r="C73" s="5" t="s">
        <v>18</v>
      </c>
      <c r="D73" s="5">
        <v>105.5</v>
      </c>
      <c r="E73" s="5">
        <v>106</v>
      </c>
      <c r="F73" s="5">
        <v>106.5</v>
      </c>
      <c r="G73" s="5">
        <v>107</v>
      </c>
      <c r="H73" s="5">
        <v>107.4</v>
      </c>
      <c r="I73" s="5">
        <v>108.1</v>
      </c>
      <c r="J73" s="5">
        <v>108.8</v>
      </c>
      <c r="K73" s="5">
        <v>109.4</v>
      </c>
      <c r="L73" s="5">
        <v>110.4</v>
      </c>
      <c r="M73" s="5">
        <v>111.2</v>
      </c>
      <c r="N73" s="5">
        <v>111.9</v>
      </c>
      <c r="O73" s="5">
        <v>112.7</v>
      </c>
      <c r="P73" s="5">
        <v>113.2</v>
      </c>
      <c r="Q73" s="5">
        <v>113.3</v>
      </c>
      <c r="R73" s="5">
        <v>113.7</v>
      </c>
      <c r="S73" s="5">
        <v>114.6</v>
      </c>
      <c r="T73" s="5">
        <v>115.2</v>
      </c>
      <c r="U73" s="5">
        <v>115.6</v>
      </c>
      <c r="V73" s="5">
        <v>116.3</v>
      </c>
      <c r="W73" s="5">
        <v>116.8</v>
      </c>
      <c r="X73" s="5">
        <v>117.2</v>
      </c>
      <c r="Y73" s="5">
        <v>118.1</v>
      </c>
      <c r="Z73" s="5">
        <v>118.4</v>
      </c>
      <c r="AA73" s="5">
        <v>118.6</v>
      </c>
      <c r="AB73" s="5">
        <v>119.3</v>
      </c>
      <c r="AC73" s="5">
        <v>120.1</v>
      </c>
      <c r="AD73" s="5">
        <v>120.4</v>
      </c>
      <c r="AE73" s="5">
        <v>120.8</v>
      </c>
      <c r="AF73" s="5">
        <v>121.3</v>
      </c>
      <c r="AG73" s="5">
        <v>122</v>
      </c>
      <c r="AH73" s="5">
        <v>122.3</v>
      </c>
      <c r="AI73" s="5">
        <v>122.9</v>
      </c>
      <c r="AJ73" s="5">
        <v>123.4</v>
      </c>
      <c r="AK73" s="5">
        <v>123.8</v>
      </c>
      <c r="AL73" s="5">
        <v>124.5</v>
      </c>
      <c r="AM73" s="5">
        <v>124.8</v>
      </c>
      <c r="AN73" s="5">
        <v>125.1</v>
      </c>
      <c r="AO73" s="5">
        <v>125.8</v>
      </c>
      <c r="AP73" s="5">
        <v>126.1</v>
      </c>
      <c r="AQ73" s="5">
        <v>126.4</v>
      </c>
      <c r="AR73" s="5">
        <v>126.8</v>
      </c>
      <c r="AS73" s="5">
        <v>127.2</v>
      </c>
      <c r="AT73" s="5">
        <v>127.6</v>
      </c>
      <c r="AU73" s="5">
        <v>128.19999999999999</v>
      </c>
      <c r="AV73" s="5">
        <v>128.6</v>
      </c>
      <c r="AW73" s="5">
        <v>129.1</v>
      </c>
      <c r="AX73" s="5">
        <v>129.30000000000001</v>
      </c>
      <c r="AY73" s="5">
        <v>129.80000000000001</v>
      </c>
      <c r="AZ73" s="5">
        <v>130.19999999999999</v>
      </c>
      <c r="BA73" s="5">
        <v>130.30000000000001</v>
      </c>
      <c r="BB73" s="5">
        <v>130.6</v>
      </c>
      <c r="BC73" s="5">
        <v>131.1</v>
      </c>
      <c r="BD73" s="5">
        <v>131.4</v>
      </c>
      <c r="BE73" s="5">
        <v>131.69999999999999</v>
      </c>
      <c r="BF73" s="5">
        <v>132.1</v>
      </c>
      <c r="BG73" s="5">
        <v>133</v>
      </c>
      <c r="BH73" s="5">
        <v>133.4</v>
      </c>
      <c r="BI73" s="5">
        <v>134.1</v>
      </c>
      <c r="BJ73" s="5">
        <v>134.80000000000001</v>
      </c>
      <c r="BK73" s="5">
        <v>135.1</v>
      </c>
      <c r="BL73" s="5">
        <v>135.5</v>
      </c>
      <c r="BM73" s="5">
        <v>135.6</v>
      </c>
      <c r="BN73" s="5">
        <v>136.19999999999999</v>
      </c>
      <c r="BO73" s="5">
        <v>136.69999999999999</v>
      </c>
      <c r="BP73" s="5">
        <v>137.4</v>
      </c>
      <c r="BQ73" s="5">
        <v>138.1</v>
      </c>
      <c r="BR73" s="5">
        <v>138.4</v>
      </c>
      <c r="BS73" s="5">
        <v>138.80000000000001</v>
      </c>
      <c r="BT73" s="5">
        <v>139.1</v>
      </c>
      <c r="BU73" s="5">
        <v>139.19999999999999</v>
      </c>
      <c r="BV73" s="5">
        <v>139.1</v>
      </c>
      <c r="BW73" s="5">
        <v>139.4</v>
      </c>
      <c r="BX73" s="5">
        <v>139</v>
      </c>
      <c r="BY73" s="5">
        <v>139.69999999999999</v>
      </c>
      <c r="BZ73" s="5">
        <v>139.9</v>
      </c>
      <c r="CA73" s="75">
        <v>140.10000000000002</v>
      </c>
      <c r="CB73" s="5">
        <v>140.4</v>
      </c>
      <c r="CC73" s="5">
        <v>140.4</v>
      </c>
      <c r="CD73" s="5">
        <v>140.5</v>
      </c>
      <c r="CE73" s="5">
        <v>140.6</v>
      </c>
      <c r="CF73" s="5">
        <v>140.6</v>
      </c>
      <c r="CG73" s="5">
        <v>140.80000000000001</v>
      </c>
      <c r="CH73" s="5">
        <v>141</v>
      </c>
      <c r="CI73" s="5">
        <v>141.30000000000001</v>
      </c>
      <c r="CJ73" s="5">
        <v>141.5</v>
      </c>
      <c r="CK73" s="5">
        <v>141.69999999999999</v>
      </c>
      <c r="CL73" s="5">
        <v>141.9</v>
      </c>
      <c r="CM73" s="5">
        <f t="shared" si="8"/>
        <v>141.9</v>
      </c>
      <c r="CN73" s="75">
        <v>143.15</v>
      </c>
      <c r="CO73" s="5">
        <v>144.4</v>
      </c>
      <c r="CP73" s="5">
        <v>144.4</v>
      </c>
      <c r="CQ73" s="5">
        <v>143.4</v>
      </c>
      <c r="CR73" s="5">
        <v>144.30000000000001</v>
      </c>
      <c r="CS73" s="5">
        <v>144.6</v>
      </c>
      <c r="CT73" s="5">
        <v>144.9</v>
      </c>
      <c r="CU73" s="5">
        <v>145.4</v>
      </c>
      <c r="CV73" s="5">
        <v>146.1</v>
      </c>
      <c r="CW73" s="5">
        <v>147.4</v>
      </c>
      <c r="CX73" s="5">
        <v>147.9</v>
      </c>
      <c r="CY73" s="5">
        <v>148.5</v>
      </c>
      <c r="CZ73" s="5">
        <v>152.1</v>
      </c>
      <c r="DA73" s="5">
        <v>151.80000000000001</v>
      </c>
      <c r="DB73" s="5">
        <v>153.1</v>
      </c>
      <c r="DC73" s="5">
        <v>155.30000000000001</v>
      </c>
      <c r="DD73" s="5">
        <v>155.30000000000001</v>
      </c>
      <c r="DE73" s="5">
        <v>156.30000000000001</v>
      </c>
      <c r="DF73" s="5">
        <v>157.4</v>
      </c>
      <c r="DG73" s="5">
        <v>158.69999999999999</v>
      </c>
      <c r="DH73" s="5">
        <v>160.69999999999999</v>
      </c>
      <c r="DI73" s="5">
        <v>162.4</v>
      </c>
      <c r="DJ73" s="5">
        <v>164.6</v>
      </c>
      <c r="DK73" s="5">
        <v>166.5</v>
      </c>
      <c r="DL73" s="5">
        <v>168.4</v>
      </c>
      <c r="DM73" s="5">
        <v>169.9</v>
      </c>
      <c r="DN73" s="5">
        <v>171.3</v>
      </c>
      <c r="DO73" s="5">
        <v>172.7</v>
      </c>
      <c r="DP73" s="5">
        <v>174.3</v>
      </c>
      <c r="DQ73" s="5">
        <v>175.3</v>
      </c>
      <c r="DR73" s="5">
        <v>176.2</v>
      </c>
      <c r="DS73" s="5">
        <v>177</v>
      </c>
      <c r="DT73" s="5">
        <v>177.6</v>
      </c>
      <c r="DU73" s="5">
        <v>178.7</v>
      </c>
      <c r="DV73" s="5">
        <v>178.7</v>
      </c>
      <c r="DW73" s="5">
        <v>179.2</v>
      </c>
      <c r="DX73" s="5">
        <v>179.7</v>
      </c>
      <c r="DY73">
        <f t="shared" si="7"/>
        <v>0</v>
      </c>
    </row>
    <row r="74" spans="1:129" x14ac:dyDescent="0.35">
      <c r="A74" s="34" t="s">
        <v>34</v>
      </c>
      <c r="B74" s="5" t="s">
        <v>53</v>
      </c>
      <c r="C74" s="5" t="s">
        <v>19</v>
      </c>
      <c r="D74" s="5">
        <v>106.2</v>
      </c>
      <c r="E74" s="5">
        <v>106.8</v>
      </c>
      <c r="F74" s="5">
        <v>107.3</v>
      </c>
      <c r="G74" s="5">
        <v>107.9</v>
      </c>
      <c r="H74" s="5">
        <v>108.5</v>
      </c>
      <c r="I74" s="5">
        <v>109.3</v>
      </c>
      <c r="J74" s="5">
        <v>110</v>
      </c>
      <c r="K74" s="5">
        <v>110.7</v>
      </c>
      <c r="L74" s="5">
        <v>111.9</v>
      </c>
      <c r="M74" s="5">
        <v>112.8</v>
      </c>
      <c r="N74" s="5">
        <v>113.8</v>
      </c>
      <c r="O74" s="5">
        <v>114.8</v>
      </c>
      <c r="P74" s="5">
        <v>115.4</v>
      </c>
      <c r="Q74" s="5">
        <v>115.9</v>
      </c>
      <c r="R74" s="5">
        <v>116.4</v>
      </c>
      <c r="S74" s="5">
        <v>117</v>
      </c>
      <c r="T74" s="5">
        <v>117.6</v>
      </c>
      <c r="U74" s="5">
        <v>118.3</v>
      </c>
      <c r="V74" s="5">
        <v>119.1</v>
      </c>
      <c r="W74" s="5">
        <v>119.6</v>
      </c>
      <c r="X74" s="5">
        <v>120.1</v>
      </c>
      <c r="Y74" s="5">
        <v>121</v>
      </c>
      <c r="Z74" s="5">
        <v>121.6</v>
      </c>
      <c r="AA74" s="5">
        <v>122</v>
      </c>
      <c r="AB74" s="5">
        <v>122.5</v>
      </c>
      <c r="AC74" s="5">
        <v>123.3</v>
      </c>
      <c r="AD74" s="5">
        <v>123.7</v>
      </c>
      <c r="AE74" s="5">
        <v>124.1</v>
      </c>
      <c r="AF74" s="5">
        <v>124.7</v>
      </c>
      <c r="AG74" s="5">
        <v>125.7</v>
      </c>
      <c r="AH74" s="5">
        <v>126.1</v>
      </c>
      <c r="AI74" s="5">
        <v>126.6</v>
      </c>
      <c r="AJ74" s="5">
        <v>127.2</v>
      </c>
      <c r="AK74" s="5">
        <v>127.8</v>
      </c>
      <c r="AL74" s="5">
        <v>128.6</v>
      </c>
      <c r="AM74" s="5">
        <v>129</v>
      </c>
      <c r="AN74" s="5">
        <v>129.5</v>
      </c>
      <c r="AO74" s="5">
        <v>130.19999999999999</v>
      </c>
      <c r="AP74" s="5">
        <v>130.5</v>
      </c>
      <c r="AQ74" s="5">
        <v>131</v>
      </c>
      <c r="AR74" s="5">
        <v>131.4</v>
      </c>
      <c r="AS74" s="5">
        <v>132</v>
      </c>
      <c r="AT74" s="5">
        <v>132.69999999999999</v>
      </c>
      <c r="AU74" s="5">
        <v>133.19999999999999</v>
      </c>
      <c r="AV74" s="5">
        <v>133.80000000000001</v>
      </c>
      <c r="AW74" s="5">
        <v>134.5</v>
      </c>
      <c r="AX74" s="5">
        <v>135</v>
      </c>
      <c r="AY74" s="5">
        <v>135.4</v>
      </c>
      <c r="AZ74" s="5">
        <v>135.6</v>
      </c>
      <c r="BA74" s="5">
        <v>135.9</v>
      </c>
      <c r="BB74" s="5">
        <v>136.4</v>
      </c>
      <c r="BC74" s="5">
        <v>137</v>
      </c>
      <c r="BD74" s="5">
        <v>137.19999999999999</v>
      </c>
      <c r="BE74" s="5">
        <v>137.5</v>
      </c>
      <c r="BF74" s="5">
        <v>138.30000000000001</v>
      </c>
      <c r="BG74" s="5">
        <v>139.30000000000001</v>
      </c>
      <c r="BH74" s="5">
        <v>140</v>
      </c>
      <c r="BI74" s="5">
        <v>140.80000000000001</v>
      </c>
      <c r="BJ74" s="5">
        <v>141.80000000000001</v>
      </c>
      <c r="BK74" s="5">
        <v>142</v>
      </c>
      <c r="BL74" s="5">
        <v>142.30000000000001</v>
      </c>
      <c r="BM74" s="5">
        <v>142.6</v>
      </c>
      <c r="BN74" s="5">
        <v>143.1</v>
      </c>
      <c r="BO74" s="5">
        <v>144</v>
      </c>
      <c r="BP74" s="5">
        <v>144.69999999999999</v>
      </c>
      <c r="BQ74" s="5">
        <v>145.19999999999999</v>
      </c>
      <c r="BR74" s="5">
        <v>145.6</v>
      </c>
      <c r="BS74" s="5">
        <v>146.1</v>
      </c>
      <c r="BT74" s="5">
        <v>146.5</v>
      </c>
      <c r="BU74" s="5">
        <v>146.80000000000001</v>
      </c>
      <c r="BV74" s="5">
        <v>146.69999999999999</v>
      </c>
      <c r="BW74" s="5">
        <v>146.80000000000001</v>
      </c>
      <c r="BX74" s="5">
        <v>146.4</v>
      </c>
      <c r="BY74" s="5">
        <v>146.5</v>
      </c>
      <c r="BZ74" s="5">
        <v>146.69999999999999</v>
      </c>
      <c r="CA74" s="75">
        <v>146.97500000000002</v>
      </c>
      <c r="CB74" s="5">
        <v>147.30000000000001</v>
      </c>
      <c r="CC74" s="5">
        <v>147.4</v>
      </c>
      <c r="CD74" s="5">
        <v>147.6</v>
      </c>
      <c r="CE74" s="5">
        <v>147.9</v>
      </c>
      <c r="CF74" s="5">
        <v>147.9</v>
      </c>
      <c r="CG74" s="5">
        <v>148.19999999999999</v>
      </c>
      <c r="CH74" s="5">
        <v>148.6</v>
      </c>
      <c r="CI74" s="5">
        <v>149</v>
      </c>
      <c r="CJ74" s="5">
        <v>149.19999999999999</v>
      </c>
      <c r="CK74" s="5">
        <v>149.5</v>
      </c>
      <c r="CL74" s="5">
        <v>149.80000000000001</v>
      </c>
      <c r="CM74" s="5">
        <f t="shared" si="8"/>
        <v>149.80000000000001</v>
      </c>
      <c r="CN74" s="75">
        <v>150.60000000000002</v>
      </c>
      <c r="CO74" s="5">
        <v>151.4</v>
      </c>
      <c r="CP74" s="5">
        <v>151.4</v>
      </c>
      <c r="CQ74" s="5">
        <v>151.69999999999999</v>
      </c>
      <c r="CR74" s="5">
        <v>152</v>
      </c>
      <c r="CS74" s="5">
        <v>152.30000000000001</v>
      </c>
      <c r="CT74" s="5">
        <v>152.80000000000001</v>
      </c>
      <c r="CU74" s="5">
        <v>153.6</v>
      </c>
      <c r="CV74" s="5">
        <v>154.19999999999999</v>
      </c>
      <c r="CW74" s="5">
        <v>155.80000000000001</v>
      </c>
      <c r="CX74" s="5">
        <v>156.4</v>
      </c>
      <c r="CY74" s="5">
        <v>157.30000000000001</v>
      </c>
      <c r="CZ74" s="5">
        <v>160.4</v>
      </c>
      <c r="DA74" s="5">
        <v>160.69999999999999</v>
      </c>
      <c r="DB74" s="5">
        <v>161.4</v>
      </c>
      <c r="DC74" s="5">
        <v>163.19999999999999</v>
      </c>
      <c r="DD74" s="5">
        <v>163.30000000000001</v>
      </c>
      <c r="DE74" s="5">
        <v>164.3</v>
      </c>
      <c r="DF74" s="5">
        <v>165.8</v>
      </c>
      <c r="DG74" s="5">
        <v>167</v>
      </c>
      <c r="DH74" s="5">
        <v>168.5</v>
      </c>
      <c r="DI74" s="5">
        <v>169.6</v>
      </c>
      <c r="DJ74" s="5">
        <v>171.1</v>
      </c>
      <c r="DK74" s="5">
        <v>172.8</v>
      </c>
      <c r="DL74" s="5">
        <v>174.6</v>
      </c>
      <c r="DM74" s="5">
        <v>176</v>
      </c>
      <c r="DN74" s="5">
        <v>177.3</v>
      </c>
      <c r="DO74" s="5">
        <v>178.5</v>
      </c>
      <c r="DP74" s="5">
        <v>179.9</v>
      </c>
      <c r="DQ74" s="5">
        <v>181</v>
      </c>
      <c r="DR74" s="5">
        <v>182.1</v>
      </c>
      <c r="DS74" s="5">
        <v>183</v>
      </c>
      <c r="DT74" s="5">
        <v>183.8</v>
      </c>
      <c r="DU74" s="5">
        <v>185.1</v>
      </c>
      <c r="DV74" s="5">
        <v>185.1</v>
      </c>
      <c r="DW74" s="5">
        <v>185.7</v>
      </c>
      <c r="DX74" s="5">
        <v>186.2</v>
      </c>
      <c r="DY74">
        <f t="shared" si="7"/>
        <v>0</v>
      </c>
    </row>
    <row r="75" spans="1:129" x14ac:dyDescent="0.35">
      <c r="A75" s="34" t="s">
        <v>34</v>
      </c>
      <c r="B75" s="5" t="s">
        <v>20</v>
      </c>
      <c r="C75" s="5" t="s">
        <v>20</v>
      </c>
      <c r="D75" s="5">
        <v>100.3</v>
      </c>
      <c r="E75" s="5">
        <v>100.4</v>
      </c>
      <c r="F75" s="5">
        <v>100.4</v>
      </c>
      <c r="G75" s="5">
        <v>100.5</v>
      </c>
      <c r="H75" s="5">
        <v>100.5</v>
      </c>
      <c r="I75" s="5">
        <v>106.6</v>
      </c>
      <c r="J75" s="5">
        <v>107.7</v>
      </c>
      <c r="K75" s="5">
        <v>108.9</v>
      </c>
      <c r="L75" s="5">
        <v>109.7</v>
      </c>
      <c r="M75" s="5">
        <v>110.5</v>
      </c>
      <c r="N75" s="5">
        <v>111.1</v>
      </c>
      <c r="O75" s="5">
        <v>110.7</v>
      </c>
      <c r="P75" s="5">
        <v>111.6</v>
      </c>
      <c r="Q75" s="5">
        <v>112.5</v>
      </c>
      <c r="R75" s="5">
        <v>113.2</v>
      </c>
      <c r="S75" s="5">
        <v>113.9</v>
      </c>
      <c r="T75" s="5">
        <v>114.3</v>
      </c>
      <c r="U75" s="5">
        <v>113.9</v>
      </c>
      <c r="V75" s="5">
        <v>114.8</v>
      </c>
      <c r="W75" s="5">
        <v>115.5</v>
      </c>
      <c r="X75" s="5">
        <v>116.1</v>
      </c>
      <c r="Y75" s="5">
        <v>116.7</v>
      </c>
      <c r="Z75" s="5">
        <v>117.1</v>
      </c>
      <c r="AA75" s="5">
        <v>116.5</v>
      </c>
      <c r="AB75" s="5">
        <v>117.3</v>
      </c>
      <c r="AC75" s="5">
        <v>118.1</v>
      </c>
      <c r="AD75" s="5">
        <v>118.6</v>
      </c>
      <c r="AE75" s="5">
        <v>119.2</v>
      </c>
      <c r="AF75" s="5">
        <v>119.6</v>
      </c>
      <c r="AG75" s="5">
        <v>119</v>
      </c>
      <c r="AH75" s="5">
        <v>119.9</v>
      </c>
      <c r="AI75" s="5">
        <v>120.9</v>
      </c>
      <c r="AJ75" s="5">
        <v>121.6</v>
      </c>
      <c r="AK75" s="5">
        <v>122.4</v>
      </c>
      <c r="AL75" s="5">
        <v>122.9</v>
      </c>
      <c r="AM75" s="5">
        <v>122.4</v>
      </c>
      <c r="AN75" s="5">
        <v>123.4</v>
      </c>
      <c r="AO75" s="5">
        <v>124.4</v>
      </c>
      <c r="AP75" s="5">
        <v>124.9</v>
      </c>
      <c r="AQ75" s="5">
        <v>125.6</v>
      </c>
      <c r="AR75" s="5">
        <v>126</v>
      </c>
      <c r="AS75" s="5">
        <v>125.5</v>
      </c>
      <c r="AT75" s="5">
        <v>126.4</v>
      </c>
      <c r="AU75" s="5">
        <v>127.3</v>
      </c>
      <c r="AV75" s="5">
        <v>127.9</v>
      </c>
      <c r="AW75" s="5">
        <v>128.69999999999999</v>
      </c>
      <c r="AX75" s="5">
        <v>129.1</v>
      </c>
      <c r="AY75" s="5">
        <v>128.5</v>
      </c>
      <c r="AZ75" s="5">
        <v>129.6</v>
      </c>
      <c r="BA75" s="5">
        <v>130.5</v>
      </c>
      <c r="BB75" s="5">
        <v>131.1</v>
      </c>
      <c r="BC75" s="5">
        <v>131.69999999999999</v>
      </c>
      <c r="BD75" s="5">
        <v>132.1</v>
      </c>
      <c r="BE75" s="5">
        <v>131.4</v>
      </c>
      <c r="BF75" s="5">
        <v>132.6</v>
      </c>
      <c r="BG75" s="5">
        <v>134.4</v>
      </c>
      <c r="BH75" s="5">
        <v>135.69999999999999</v>
      </c>
      <c r="BI75" s="5">
        <v>137.30000000000001</v>
      </c>
      <c r="BJ75" s="5">
        <v>138.6</v>
      </c>
      <c r="BK75" s="5">
        <v>139.1</v>
      </c>
      <c r="BL75" s="5">
        <v>140.4</v>
      </c>
      <c r="BM75" s="5">
        <v>141.30000000000001</v>
      </c>
      <c r="BN75" s="5">
        <v>142</v>
      </c>
      <c r="BO75" s="5">
        <v>142.9</v>
      </c>
      <c r="BP75" s="5">
        <v>143.19999999999999</v>
      </c>
      <c r="BQ75" s="5">
        <v>142.5</v>
      </c>
      <c r="BR75" s="5">
        <v>143.6</v>
      </c>
      <c r="BS75" s="5">
        <v>144.6</v>
      </c>
      <c r="BT75" s="5">
        <v>145.30000000000001</v>
      </c>
      <c r="BU75" s="5">
        <v>146.9</v>
      </c>
      <c r="BV75" s="5">
        <v>146.9</v>
      </c>
      <c r="BW75" s="5">
        <v>146.5</v>
      </c>
      <c r="BX75" s="5">
        <v>147.69999999999999</v>
      </c>
      <c r="BY75" s="5">
        <v>148.5</v>
      </c>
      <c r="BZ75" s="5">
        <v>149</v>
      </c>
      <c r="CA75" s="75">
        <v>149.25</v>
      </c>
      <c r="CB75" s="5">
        <v>150.1</v>
      </c>
      <c r="CC75" s="5">
        <v>149.4</v>
      </c>
      <c r="CD75" s="5">
        <v>150.6</v>
      </c>
      <c r="CE75" s="5">
        <v>151.6</v>
      </c>
      <c r="CF75" s="5">
        <v>152.19999999999999</v>
      </c>
      <c r="CG75" s="5">
        <v>153</v>
      </c>
      <c r="CH75" s="5">
        <v>153.5</v>
      </c>
      <c r="CI75" s="5">
        <v>152.80000000000001</v>
      </c>
      <c r="CJ75" s="5">
        <v>153.9</v>
      </c>
      <c r="CK75" s="5">
        <v>154.80000000000001</v>
      </c>
      <c r="CL75" s="5">
        <v>154.5</v>
      </c>
      <c r="CM75" s="5">
        <v>155.6</v>
      </c>
      <c r="CN75" s="75">
        <v>154.875</v>
      </c>
      <c r="CO75" s="5">
        <v>154.69999999999999</v>
      </c>
      <c r="CP75" s="5">
        <v>154.69999999999999</v>
      </c>
      <c r="CQ75" s="5">
        <v>155.5</v>
      </c>
      <c r="CR75" s="5">
        <v>156.30000000000001</v>
      </c>
      <c r="CS75" s="5">
        <v>156.5</v>
      </c>
      <c r="CT75" s="5">
        <v>158</v>
      </c>
      <c r="CU75" s="5">
        <v>158.4</v>
      </c>
      <c r="CV75" s="5">
        <v>157.69999999999999</v>
      </c>
      <c r="CW75" s="5">
        <v>159.80000000000001</v>
      </c>
      <c r="CX75" s="5">
        <v>159.9</v>
      </c>
      <c r="CY75" s="5">
        <v>161.4</v>
      </c>
      <c r="CZ75" s="5">
        <v>161.6</v>
      </c>
      <c r="DA75" s="5">
        <v>160.5</v>
      </c>
      <c r="DB75" s="5">
        <v>161.5</v>
      </c>
      <c r="DC75" s="5">
        <v>162.1</v>
      </c>
      <c r="DD75" s="5">
        <v>162.1</v>
      </c>
      <c r="DE75" s="5">
        <v>163.6</v>
      </c>
      <c r="DF75" s="5">
        <v>164.2</v>
      </c>
      <c r="DG75" s="5">
        <v>163.4</v>
      </c>
      <c r="DH75" s="5">
        <v>164.5</v>
      </c>
      <c r="DI75" s="5">
        <v>165.5</v>
      </c>
      <c r="DJ75" s="5">
        <v>165.3</v>
      </c>
      <c r="DK75" s="5">
        <v>167</v>
      </c>
      <c r="DL75" s="5">
        <v>167.5</v>
      </c>
      <c r="DM75" s="5">
        <v>166.8</v>
      </c>
      <c r="DN75" s="5">
        <v>167.8</v>
      </c>
      <c r="DO75" s="5">
        <v>169</v>
      </c>
      <c r="DP75" s="5">
        <v>169.5</v>
      </c>
      <c r="DQ75" s="5">
        <v>171.2</v>
      </c>
      <c r="DR75" s="5">
        <v>171.8</v>
      </c>
      <c r="DS75" s="5">
        <v>170.7</v>
      </c>
      <c r="DT75" s="5">
        <v>172.1</v>
      </c>
      <c r="DU75" s="5">
        <v>173.5</v>
      </c>
      <c r="DV75" s="5">
        <v>173.5</v>
      </c>
      <c r="DW75" s="5">
        <v>175.2</v>
      </c>
      <c r="DX75" s="5">
        <v>175.6</v>
      </c>
      <c r="DY75">
        <f t="shared" si="7"/>
        <v>0</v>
      </c>
    </row>
    <row r="76" spans="1:129" x14ac:dyDescent="0.35">
      <c r="A76" s="34" t="s">
        <v>34</v>
      </c>
      <c r="B76" s="5" t="s">
        <v>21</v>
      </c>
      <c r="C76" s="5" t="s">
        <v>21</v>
      </c>
      <c r="D76" s="5">
        <v>105.5</v>
      </c>
      <c r="E76" s="5">
        <v>106</v>
      </c>
      <c r="F76" s="5">
        <v>106.1</v>
      </c>
      <c r="G76" s="5">
        <v>106.5</v>
      </c>
      <c r="H76" s="5">
        <v>107.4</v>
      </c>
      <c r="I76" s="5">
        <v>108.3</v>
      </c>
      <c r="J76" s="5">
        <v>109.2</v>
      </c>
      <c r="K76" s="5">
        <v>109.7</v>
      </c>
      <c r="L76" s="5">
        <v>110.5</v>
      </c>
      <c r="M76" s="5">
        <v>110.9</v>
      </c>
      <c r="N76" s="5">
        <v>111.6</v>
      </c>
      <c r="O76" s="5">
        <v>111.9</v>
      </c>
      <c r="P76" s="5">
        <v>112.2</v>
      </c>
      <c r="Q76" s="5">
        <v>112.4</v>
      </c>
      <c r="R76" s="5">
        <v>112.5</v>
      </c>
      <c r="S76" s="5">
        <v>112.5</v>
      </c>
      <c r="T76" s="5">
        <v>112.5</v>
      </c>
      <c r="U76" s="5">
        <v>113.2</v>
      </c>
      <c r="V76" s="5">
        <v>113.9</v>
      </c>
      <c r="W76" s="5">
        <v>114</v>
      </c>
      <c r="X76" s="5">
        <v>114.3</v>
      </c>
      <c r="Y76" s="5">
        <v>114.7</v>
      </c>
      <c r="Z76" s="5">
        <v>115.5</v>
      </c>
      <c r="AA76" s="5">
        <v>115.7</v>
      </c>
      <c r="AB76" s="5">
        <v>116.5</v>
      </c>
      <c r="AC76" s="5">
        <v>117.7</v>
      </c>
      <c r="AD76" s="5">
        <v>118.3</v>
      </c>
      <c r="AE76" s="5">
        <v>118.7</v>
      </c>
      <c r="AF76" s="5">
        <v>119.2</v>
      </c>
      <c r="AG76" s="5">
        <v>119.8</v>
      </c>
      <c r="AH76" s="5">
        <v>120.1</v>
      </c>
      <c r="AI76" s="5">
        <v>120.6</v>
      </c>
      <c r="AJ76" s="5">
        <v>120.4</v>
      </c>
      <c r="AK76" s="5">
        <v>120.8</v>
      </c>
      <c r="AL76" s="5">
        <v>121.6</v>
      </c>
      <c r="AM76" s="5">
        <v>122</v>
      </c>
      <c r="AN76" s="5">
        <v>122.7</v>
      </c>
      <c r="AO76" s="5">
        <v>123.1</v>
      </c>
      <c r="AP76" s="5">
        <v>122.4</v>
      </c>
      <c r="AQ76" s="5">
        <v>122.3</v>
      </c>
      <c r="AR76" s="5">
        <v>122.7</v>
      </c>
      <c r="AS76" s="5">
        <v>123.3</v>
      </c>
      <c r="AT76" s="5">
        <v>123.4</v>
      </c>
      <c r="AU76" s="5">
        <v>123.6</v>
      </c>
      <c r="AV76" s="5">
        <v>124.1</v>
      </c>
      <c r="AW76" s="5">
        <v>124.3</v>
      </c>
      <c r="AX76" s="5">
        <v>125</v>
      </c>
      <c r="AY76" s="5">
        <v>126.6</v>
      </c>
      <c r="AZ76" s="5">
        <v>126.8</v>
      </c>
      <c r="BA76" s="5">
        <v>127.9</v>
      </c>
      <c r="BB76" s="5">
        <v>129.1</v>
      </c>
      <c r="BC76" s="5">
        <v>129.80000000000001</v>
      </c>
      <c r="BD76" s="5">
        <v>129.4</v>
      </c>
      <c r="BE76" s="5">
        <v>128.80000000000001</v>
      </c>
      <c r="BF76" s="5">
        <v>129.4</v>
      </c>
      <c r="BG76" s="5">
        <v>129.80000000000001</v>
      </c>
      <c r="BH76" s="5">
        <v>131</v>
      </c>
      <c r="BI76" s="5">
        <v>132.19999999999999</v>
      </c>
      <c r="BJ76" s="5">
        <v>135.30000000000001</v>
      </c>
      <c r="BK76" s="5">
        <v>136.6</v>
      </c>
      <c r="BL76" s="5">
        <v>136.6</v>
      </c>
      <c r="BM76" s="5">
        <v>136.69999999999999</v>
      </c>
      <c r="BN76" s="5">
        <v>136.5</v>
      </c>
      <c r="BO76" s="5">
        <v>136.5</v>
      </c>
      <c r="BP76" s="5">
        <v>136.9</v>
      </c>
      <c r="BQ76" s="5">
        <v>138.1</v>
      </c>
      <c r="BR76" s="5">
        <v>139.69999999999999</v>
      </c>
      <c r="BS76" s="5">
        <v>140.9</v>
      </c>
      <c r="BT76" s="5">
        <v>142.30000000000001</v>
      </c>
      <c r="BU76" s="5">
        <v>145.30000000000001</v>
      </c>
      <c r="BV76" s="5">
        <v>145.1</v>
      </c>
      <c r="BW76" s="5">
        <v>142.69999999999999</v>
      </c>
      <c r="BX76" s="5">
        <v>139.5</v>
      </c>
      <c r="BY76" s="5">
        <v>138.4</v>
      </c>
      <c r="BZ76" s="5">
        <v>139.69999999999999</v>
      </c>
      <c r="CA76" s="75">
        <v>139.9</v>
      </c>
      <c r="CB76" s="5">
        <v>140.30000000000001</v>
      </c>
      <c r="CC76" s="5">
        <v>141.19999999999999</v>
      </c>
      <c r="CD76" s="5">
        <v>139.30000000000001</v>
      </c>
      <c r="CE76" s="5">
        <v>138.5</v>
      </c>
      <c r="CF76" s="5">
        <v>139.19999999999999</v>
      </c>
      <c r="CG76" s="5">
        <v>140.6</v>
      </c>
      <c r="CH76" s="5">
        <v>142.30000000000001</v>
      </c>
      <c r="CI76" s="5">
        <v>143.69999999999999</v>
      </c>
      <c r="CJ76" s="5">
        <v>144.6</v>
      </c>
      <c r="CK76" s="5">
        <v>147.19999999999999</v>
      </c>
      <c r="CL76" s="5">
        <v>148.9</v>
      </c>
      <c r="CM76" s="5">
        <v>144.1</v>
      </c>
      <c r="CN76" s="75">
        <v>144.19999999999999</v>
      </c>
      <c r="CO76" s="5">
        <v>141.9</v>
      </c>
      <c r="CP76" s="5">
        <v>141.9</v>
      </c>
      <c r="CQ76" s="5">
        <v>143</v>
      </c>
      <c r="CR76" s="5">
        <v>142.9</v>
      </c>
      <c r="CS76" s="5">
        <v>143.1</v>
      </c>
      <c r="CT76" s="5">
        <v>143.6</v>
      </c>
      <c r="CU76" s="5">
        <v>144.6</v>
      </c>
      <c r="CV76" s="5">
        <v>147.9</v>
      </c>
      <c r="CW76" s="5">
        <v>152.4</v>
      </c>
      <c r="CX76" s="5">
        <v>155.5</v>
      </c>
      <c r="CY76" s="5">
        <v>155.6</v>
      </c>
      <c r="CZ76" s="5">
        <v>159.4</v>
      </c>
      <c r="DA76" s="5">
        <v>159.80000000000001</v>
      </c>
      <c r="DB76" s="5">
        <v>160.69999999999999</v>
      </c>
      <c r="DC76" s="5">
        <v>162.6</v>
      </c>
      <c r="DD76" s="5">
        <v>162.6</v>
      </c>
      <c r="DE76" s="5">
        <v>164.2</v>
      </c>
      <c r="DF76" s="5">
        <v>163.9</v>
      </c>
      <c r="DG76" s="5">
        <v>164.1</v>
      </c>
      <c r="DH76" s="5">
        <v>164.2</v>
      </c>
      <c r="DI76" s="5">
        <v>165.7</v>
      </c>
      <c r="DJ76" s="5">
        <v>167.2</v>
      </c>
      <c r="DK76" s="5">
        <v>172.2</v>
      </c>
      <c r="DL76" s="5">
        <v>174.6</v>
      </c>
      <c r="DM76" s="5">
        <v>176</v>
      </c>
      <c r="DN76" s="5">
        <v>179.6</v>
      </c>
      <c r="DO76" s="5">
        <v>178.8</v>
      </c>
      <c r="DP76" s="5">
        <v>179.5</v>
      </c>
      <c r="DQ76" s="5">
        <v>180.5</v>
      </c>
      <c r="DR76" s="5">
        <v>181.3</v>
      </c>
      <c r="DS76" s="5">
        <v>182</v>
      </c>
      <c r="DT76" s="5">
        <v>182</v>
      </c>
      <c r="DU76" s="5">
        <v>182.1</v>
      </c>
      <c r="DV76" s="5">
        <v>181.9</v>
      </c>
      <c r="DW76" s="5">
        <v>181.7</v>
      </c>
      <c r="DX76" s="5">
        <v>182.8</v>
      </c>
      <c r="DY76">
        <f t="shared" si="7"/>
        <v>0</v>
      </c>
    </row>
    <row r="77" spans="1:129" x14ac:dyDescent="0.35">
      <c r="A77" s="34" t="s">
        <v>34</v>
      </c>
      <c r="B77" s="5" t="s">
        <v>20</v>
      </c>
      <c r="C77" s="5" t="s">
        <v>22</v>
      </c>
      <c r="D77" s="5">
        <v>104.8</v>
      </c>
      <c r="E77" s="5">
        <v>105.2</v>
      </c>
      <c r="F77" s="5">
        <v>105.6</v>
      </c>
      <c r="G77" s="5">
        <v>106.3</v>
      </c>
      <c r="H77" s="5">
        <v>106.9</v>
      </c>
      <c r="I77" s="5">
        <v>107.6</v>
      </c>
      <c r="J77" s="5">
        <v>108.2</v>
      </c>
      <c r="K77" s="5">
        <v>108.7</v>
      </c>
      <c r="L77" s="5">
        <v>109.6</v>
      </c>
      <c r="M77" s="5">
        <v>110.3</v>
      </c>
      <c r="N77" s="5">
        <v>111.1</v>
      </c>
      <c r="O77" s="5">
        <v>111.7</v>
      </c>
      <c r="P77" s="5">
        <v>112.3</v>
      </c>
      <c r="Q77" s="5">
        <v>112.8</v>
      </c>
      <c r="R77" s="5">
        <v>113.2</v>
      </c>
      <c r="S77" s="5">
        <v>113.6</v>
      </c>
      <c r="T77" s="5">
        <v>114.1</v>
      </c>
      <c r="U77" s="5">
        <v>114.6</v>
      </c>
      <c r="V77" s="5">
        <v>115.2</v>
      </c>
      <c r="W77" s="5">
        <v>115.6</v>
      </c>
      <c r="X77" s="5">
        <v>116.1</v>
      </c>
      <c r="Y77" s="5">
        <v>116.7</v>
      </c>
      <c r="Z77" s="5">
        <v>117.3</v>
      </c>
      <c r="AA77" s="5">
        <v>117.5</v>
      </c>
      <c r="AB77" s="5">
        <v>118.1</v>
      </c>
      <c r="AC77" s="5">
        <v>118.7</v>
      </c>
      <c r="AD77" s="5">
        <v>119.2</v>
      </c>
      <c r="AE77" s="5">
        <v>119.7</v>
      </c>
      <c r="AF77" s="5">
        <v>120.2</v>
      </c>
      <c r="AG77" s="5">
        <v>121.1</v>
      </c>
      <c r="AH77" s="5">
        <v>121.3</v>
      </c>
      <c r="AI77" s="5">
        <v>122</v>
      </c>
      <c r="AJ77" s="5">
        <v>122.6</v>
      </c>
      <c r="AK77" s="5">
        <v>123</v>
      </c>
      <c r="AL77" s="5">
        <v>123.4</v>
      </c>
      <c r="AM77" s="5">
        <v>123.6</v>
      </c>
      <c r="AN77" s="5">
        <v>124.2</v>
      </c>
      <c r="AO77" s="5">
        <v>124.6</v>
      </c>
      <c r="AP77" s="5">
        <v>125.1</v>
      </c>
      <c r="AQ77" s="5">
        <v>125.5</v>
      </c>
      <c r="AR77" s="5">
        <v>126</v>
      </c>
      <c r="AS77" s="5">
        <v>126.4</v>
      </c>
      <c r="AT77" s="5">
        <v>126.9</v>
      </c>
      <c r="AU77" s="5">
        <v>127.4</v>
      </c>
      <c r="AV77" s="5">
        <v>127.9</v>
      </c>
      <c r="AW77" s="5">
        <v>128.4</v>
      </c>
      <c r="AX77" s="5">
        <v>128.6</v>
      </c>
      <c r="AY77" s="5">
        <v>129.19999999999999</v>
      </c>
      <c r="AZ77" s="5">
        <v>129.4</v>
      </c>
      <c r="BA77" s="5">
        <v>129.69999999999999</v>
      </c>
      <c r="BB77" s="5">
        <v>130.1</v>
      </c>
      <c r="BC77" s="5">
        <v>130.4</v>
      </c>
      <c r="BD77" s="5">
        <v>130.9</v>
      </c>
      <c r="BE77" s="5">
        <v>131.19999999999999</v>
      </c>
      <c r="BF77" s="5">
        <v>131.9</v>
      </c>
      <c r="BG77" s="5">
        <v>132.80000000000001</v>
      </c>
      <c r="BH77" s="5">
        <v>133.30000000000001</v>
      </c>
      <c r="BI77" s="5">
        <v>133.6</v>
      </c>
      <c r="BJ77" s="5">
        <v>134.4</v>
      </c>
      <c r="BK77" s="5">
        <v>134.69999999999999</v>
      </c>
      <c r="BL77" s="5">
        <v>134.9</v>
      </c>
      <c r="BM77" s="5">
        <v>135.19999999999999</v>
      </c>
      <c r="BN77" s="5">
        <v>135.6</v>
      </c>
      <c r="BO77" s="5">
        <v>136.6</v>
      </c>
      <c r="BP77" s="5">
        <v>137.4</v>
      </c>
      <c r="BQ77" s="5">
        <v>137.9</v>
      </c>
      <c r="BR77" s="5">
        <v>138.6</v>
      </c>
      <c r="BS77" s="5">
        <v>139.4</v>
      </c>
      <c r="BT77" s="5">
        <v>139.69999999999999</v>
      </c>
      <c r="BU77" s="5">
        <v>142.19999999999999</v>
      </c>
      <c r="BV77" s="5">
        <v>142.19999999999999</v>
      </c>
      <c r="BW77" s="5">
        <v>143.19999999999999</v>
      </c>
      <c r="BX77" s="5">
        <v>143.6</v>
      </c>
      <c r="BY77" s="5">
        <v>143.69999999999999</v>
      </c>
      <c r="BZ77" s="5">
        <v>143.80000000000001</v>
      </c>
      <c r="CA77" s="75">
        <v>143.75</v>
      </c>
      <c r="CB77" s="5">
        <v>143.69999999999999</v>
      </c>
      <c r="CC77" s="5">
        <v>143.80000000000001</v>
      </c>
      <c r="CD77" s="5">
        <v>144.19999999999999</v>
      </c>
      <c r="CE77" s="5">
        <v>144.5</v>
      </c>
      <c r="CF77" s="5">
        <v>144.6</v>
      </c>
      <c r="CG77" s="5">
        <v>145</v>
      </c>
      <c r="CH77" s="5">
        <v>145.30000000000001</v>
      </c>
      <c r="CI77" s="5">
        <v>145.80000000000001</v>
      </c>
      <c r="CJ77" s="5">
        <v>146.19999999999999</v>
      </c>
      <c r="CK77" s="5">
        <v>146.4</v>
      </c>
      <c r="CL77" s="5">
        <v>146.4</v>
      </c>
      <c r="CM77" s="5">
        <f>CL77</f>
        <v>146.4</v>
      </c>
      <c r="CN77" s="75">
        <v>146.4</v>
      </c>
      <c r="CO77" s="5">
        <v>146.4</v>
      </c>
      <c r="CP77" s="5">
        <v>146.4</v>
      </c>
      <c r="CQ77" s="5">
        <v>148.4</v>
      </c>
      <c r="CR77" s="5">
        <v>148.69999999999999</v>
      </c>
      <c r="CS77" s="5">
        <v>148.69999999999999</v>
      </c>
      <c r="CT77" s="5">
        <v>149.19999999999999</v>
      </c>
      <c r="CU77" s="5">
        <v>149.69999999999999</v>
      </c>
      <c r="CV77" s="5">
        <v>150</v>
      </c>
      <c r="CW77" s="5">
        <v>150.9</v>
      </c>
      <c r="CX77" s="5">
        <v>151.19999999999999</v>
      </c>
      <c r="CY77" s="5">
        <v>151.80000000000001</v>
      </c>
      <c r="CZ77" s="5">
        <v>154.69999999999999</v>
      </c>
      <c r="DA77" s="5">
        <v>154.80000000000001</v>
      </c>
      <c r="DB77" s="5">
        <v>155.80000000000001</v>
      </c>
      <c r="DC77" s="5">
        <v>157.5</v>
      </c>
      <c r="DD77" s="5">
        <v>157.5</v>
      </c>
      <c r="DE77" s="5">
        <v>158.4</v>
      </c>
      <c r="DF77" s="5">
        <v>159.30000000000001</v>
      </c>
      <c r="DG77" s="5">
        <v>160.19999999999999</v>
      </c>
      <c r="DH77" s="5">
        <v>161.1</v>
      </c>
      <c r="DI77" s="5">
        <v>161.80000000000001</v>
      </c>
      <c r="DJ77" s="5">
        <v>162.80000000000001</v>
      </c>
      <c r="DK77" s="5">
        <v>164</v>
      </c>
      <c r="DL77" s="5">
        <v>165.2</v>
      </c>
      <c r="DM77" s="5">
        <v>166.4</v>
      </c>
      <c r="DN77" s="5">
        <v>167.4</v>
      </c>
      <c r="DO77" s="5">
        <v>168.5</v>
      </c>
      <c r="DP77" s="5">
        <v>169.5</v>
      </c>
      <c r="DQ77" s="5">
        <v>170.4</v>
      </c>
      <c r="DR77" s="5">
        <v>171.4</v>
      </c>
      <c r="DS77" s="5">
        <v>172.1</v>
      </c>
      <c r="DT77" s="5">
        <v>172.9</v>
      </c>
      <c r="DU77" s="5">
        <v>174.2</v>
      </c>
      <c r="DV77" s="5">
        <v>174.2</v>
      </c>
      <c r="DW77" s="5">
        <v>174.6</v>
      </c>
      <c r="DX77" s="5">
        <v>175.2</v>
      </c>
      <c r="DY77">
        <f t="shared" si="7"/>
        <v>0</v>
      </c>
    </row>
    <row r="78" spans="1:129" x14ac:dyDescent="0.35">
      <c r="A78" s="34" t="s">
        <v>34</v>
      </c>
      <c r="B78" s="5" t="s">
        <v>23</v>
      </c>
      <c r="C78" s="5" t="s">
        <v>23</v>
      </c>
      <c r="D78" s="5">
        <v>104</v>
      </c>
      <c r="E78" s="5">
        <v>104.5</v>
      </c>
      <c r="F78" s="5">
        <v>104.9</v>
      </c>
      <c r="G78" s="5">
        <v>105.3</v>
      </c>
      <c r="H78" s="5">
        <v>105.9</v>
      </c>
      <c r="I78" s="5">
        <v>106.4</v>
      </c>
      <c r="J78" s="5">
        <v>107</v>
      </c>
      <c r="K78" s="5">
        <v>107.5</v>
      </c>
      <c r="L78" s="5">
        <v>108.1</v>
      </c>
      <c r="M78" s="5">
        <v>108.6</v>
      </c>
      <c r="N78" s="5">
        <v>109.3</v>
      </c>
      <c r="O78" s="5">
        <v>109.7</v>
      </c>
      <c r="P78" s="5">
        <v>110.3</v>
      </c>
      <c r="Q78" s="5">
        <v>110.7</v>
      </c>
      <c r="R78" s="5">
        <v>111.2</v>
      </c>
      <c r="S78" s="5">
        <v>111.5</v>
      </c>
      <c r="T78" s="5">
        <v>111.8</v>
      </c>
      <c r="U78" s="5">
        <v>112.3</v>
      </c>
      <c r="V78" s="5">
        <v>112.7</v>
      </c>
      <c r="W78" s="5">
        <v>113.3</v>
      </c>
      <c r="X78" s="5">
        <v>113.7</v>
      </c>
      <c r="Y78" s="5">
        <v>114.3</v>
      </c>
      <c r="Z78" s="5">
        <v>114.8</v>
      </c>
      <c r="AA78" s="5">
        <v>115.1</v>
      </c>
      <c r="AB78" s="5">
        <v>115.5</v>
      </c>
      <c r="AC78" s="5">
        <v>116.3</v>
      </c>
      <c r="AD78" s="5">
        <v>116.7</v>
      </c>
      <c r="AE78" s="5">
        <v>117.1</v>
      </c>
      <c r="AF78" s="5">
        <v>117.7</v>
      </c>
      <c r="AG78" s="5">
        <v>118.5</v>
      </c>
      <c r="AH78" s="5">
        <v>119</v>
      </c>
      <c r="AI78" s="5">
        <v>119.4</v>
      </c>
      <c r="AJ78" s="5">
        <v>119.8</v>
      </c>
      <c r="AK78" s="5">
        <v>120.4</v>
      </c>
      <c r="AL78" s="5">
        <v>120.9</v>
      </c>
      <c r="AM78" s="5">
        <v>121.4</v>
      </c>
      <c r="AN78" s="5">
        <v>122</v>
      </c>
      <c r="AO78" s="5">
        <v>122.5</v>
      </c>
      <c r="AP78" s="5">
        <v>122.9</v>
      </c>
      <c r="AQ78" s="5">
        <v>123.2</v>
      </c>
      <c r="AR78" s="5">
        <v>123.7</v>
      </c>
      <c r="AS78" s="5">
        <v>124.1</v>
      </c>
      <c r="AT78" s="5">
        <v>124.5</v>
      </c>
      <c r="AU78" s="5">
        <v>124.8</v>
      </c>
      <c r="AV78" s="5">
        <v>125.4</v>
      </c>
      <c r="AW78" s="5">
        <v>126.1</v>
      </c>
      <c r="AX78" s="5">
        <v>126.4</v>
      </c>
      <c r="AY78" s="5">
        <v>126.9</v>
      </c>
      <c r="AZ78" s="5">
        <v>127.1</v>
      </c>
      <c r="BA78" s="5">
        <v>127.4</v>
      </c>
      <c r="BB78" s="5">
        <v>127.8</v>
      </c>
      <c r="BC78" s="5">
        <v>128.1</v>
      </c>
      <c r="BD78" s="5">
        <v>128.4</v>
      </c>
      <c r="BE78" s="5">
        <v>128.5</v>
      </c>
      <c r="BF78" s="5">
        <v>129.4</v>
      </c>
      <c r="BG78" s="5">
        <v>130.19999999999999</v>
      </c>
      <c r="BH78" s="5">
        <v>130.6</v>
      </c>
      <c r="BI78" s="5">
        <v>131.30000000000001</v>
      </c>
      <c r="BJ78" s="5">
        <v>132.6</v>
      </c>
      <c r="BK78" s="5">
        <v>133.1</v>
      </c>
      <c r="BL78" s="5">
        <v>133.30000000000001</v>
      </c>
      <c r="BM78" s="5">
        <v>133.80000000000001</v>
      </c>
      <c r="BN78" s="5">
        <v>134.30000000000001</v>
      </c>
      <c r="BO78" s="5">
        <v>135.19999999999999</v>
      </c>
      <c r="BP78" s="5">
        <v>136</v>
      </c>
      <c r="BQ78" s="5">
        <v>136.19999999999999</v>
      </c>
      <c r="BR78" s="5">
        <v>137</v>
      </c>
      <c r="BS78" s="5">
        <v>137.69999999999999</v>
      </c>
      <c r="BT78" s="5">
        <v>138.4</v>
      </c>
      <c r="BU78" s="5">
        <v>142.1</v>
      </c>
      <c r="BV78" s="5">
        <v>142.1</v>
      </c>
      <c r="BW78" s="5">
        <v>144.9</v>
      </c>
      <c r="BX78" s="5">
        <v>145.1</v>
      </c>
      <c r="BY78" s="5">
        <v>145.6</v>
      </c>
      <c r="BZ78" s="5">
        <v>146.19999999999999</v>
      </c>
      <c r="CA78" s="75">
        <v>146.52499999999998</v>
      </c>
      <c r="CB78" s="5">
        <v>146.9</v>
      </c>
      <c r="CC78" s="5">
        <v>147.4</v>
      </c>
      <c r="CD78" s="5">
        <v>147.9</v>
      </c>
      <c r="CE78" s="5">
        <v>148.5</v>
      </c>
      <c r="CF78" s="5">
        <v>149</v>
      </c>
      <c r="CG78" s="5">
        <v>149.4</v>
      </c>
      <c r="CH78" s="5">
        <v>149.9</v>
      </c>
      <c r="CI78" s="5">
        <v>150.4</v>
      </c>
      <c r="CJ78" s="5">
        <v>151.19999999999999</v>
      </c>
      <c r="CK78" s="5">
        <v>151.69999999999999</v>
      </c>
      <c r="CL78" s="5">
        <v>152.30000000000001</v>
      </c>
      <c r="CM78" s="5">
        <v>150.69999999999999</v>
      </c>
      <c r="CN78" s="75">
        <v>152.94999999999999</v>
      </c>
      <c r="CO78" s="5">
        <v>154.4</v>
      </c>
      <c r="CP78" s="5">
        <v>154.4</v>
      </c>
      <c r="CQ78" s="5">
        <v>155</v>
      </c>
      <c r="CR78" s="5">
        <v>155.6</v>
      </c>
      <c r="CS78" s="5">
        <v>156.30000000000001</v>
      </c>
      <c r="CT78" s="5">
        <v>157.19999999999999</v>
      </c>
      <c r="CU78" s="5">
        <v>158.30000000000001</v>
      </c>
      <c r="CV78" s="5">
        <v>159.30000000000001</v>
      </c>
      <c r="CW78" s="5">
        <v>161.30000000000001</v>
      </c>
      <c r="CX78" s="5">
        <v>161.69999999999999</v>
      </c>
      <c r="CY78" s="5">
        <v>162.30000000000001</v>
      </c>
      <c r="CZ78" s="5">
        <v>165.8</v>
      </c>
      <c r="DA78" s="5">
        <v>166.3</v>
      </c>
      <c r="DB78" s="5">
        <v>167</v>
      </c>
      <c r="DC78" s="5">
        <v>168.4</v>
      </c>
      <c r="DD78" s="5">
        <v>168.4</v>
      </c>
      <c r="DE78" s="5">
        <v>169.1</v>
      </c>
      <c r="DF78" s="5">
        <v>169.9</v>
      </c>
      <c r="DG78" s="5">
        <v>170.6</v>
      </c>
      <c r="DH78" s="5">
        <v>171.4</v>
      </c>
      <c r="DI78" s="5">
        <v>172.2</v>
      </c>
      <c r="DJ78" s="5">
        <v>173</v>
      </c>
      <c r="DK78" s="5">
        <v>174</v>
      </c>
      <c r="DL78" s="5">
        <v>174.8</v>
      </c>
      <c r="DM78" s="5">
        <v>175.4</v>
      </c>
      <c r="DN78" s="5">
        <v>176.1</v>
      </c>
      <c r="DO78" s="5">
        <v>176.8</v>
      </c>
      <c r="DP78" s="5">
        <v>177.8</v>
      </c>
      <c r="DQ78" s="5">
        <v>178.7</v>
      </c>
      <c r="DR78" s="5">
        <v>179.8</v>
      </c>
      <c r="DS78" s="5">
        <v>181.1</v>
      </c>
      <c r="DT78" s="5">
        <v>182.3</v>
      </c>
      <c r="DU78" s="5">
        <v>184.4</v>
      </c>
      <c r="DV78" s="5">
        <v>184.4</v>
      </c>
      <c r="DW78" s="5">
        <v>185</v>
      </c>
      <c r="DX78" s="5">
        <v>185.7</v>
      </c>
      <c r="DY78">
        <f t="shared" si="7"/>
        <v>0</v>
      </c>
    </row>
    <row r="79" spans="1:129" x14ac:dyDescent="0.35">
      <c r="A79" s="34" t="s">
        <v>34</v>
      </c>
      <c r="B79" s="5" t="s">
        <v>24</v>
      </c>
      <c r="C79" s="5" t="s">
        <v>24</v>
      </c>
      <c r="D79" s="5">
        <v>103.2</v>
      </c>
      <c r="E79" s="5">
        <v>104.2</v>
      </c>
      <c r="F79" s="5">
        <v>105.1</v>
      </c>
      <c r="G79" s="5">
        <v>104.7</v>
      </c>
      <c r="H79" s="5">
        <v>104</v>
      </c>
      <c r="I79" s="5">
        <v>105.1</v>
      </c>
      <c r="J79" s="5">
        <v>107.1</v>
      </c>
      <c r="K79" s="5">
        <v>108</v>
      </c>
      <c r="L79" s="5">
        <v>109.9</v>
      </c>
      <c r="M79" s="5">
        <v>109.5</v>
      </c>
      <c r="N79" s="5">
        <v>109.5</v>
      </c>
      <c r="O79" s="5">
        <v>109.8</v>
      </c>
      <c r="P79" s="5">
        <v>110.7</v>
      </c>
      <c r="Q79" s="5">
        <v>111.1</v>
      </c>
      <c r="R79" s="5">
        <v>111.4</v>
      </c>
      <c r="S79" s="5">
        <v>111.2</v>
      </c>
      <c r="T79" s="5">
        <v>111.3</v>
      </c>
      <c r="U79" s="5">
        <v>111.8</v>
      </c>
      <c r="V79" s="5">
        <v>113.1</v>
      </c>
      <c r="W79" s="5">
        <v>112.8</v>
      </c>
      <c r="X79" s="5">
        <v>112</v>
      </c>
      <c r="Y79" s="5">
        <v>111.8</v>
      </c>
      <c r="Z79" s="5">
        <v>110.8</v>
      </c>
      <c r="AA79" s="5">
        <v>110.1</v>
      </c>
      <c r="AB79" s="5">
        <v>109.4</v>
      </c>
      <c r="AC79" s="5">
        <v>108.7</v>
      </c>
      <c r="AD79" s="5">
        <v>109.9</v>
      </c>
      <c r="AE79" s="5">
        <v>110.1</v>
      </c>
      <c r="AF79" s="5">
        <v>112</v>
      </c>
      <c r="AG79" s="5">
        <v>112.9</v>
      </c>
      <c r="AH79" s="5">
        <v>112.7</v>
      </c>
      <c r="AI79" s="5">
        <v>111.7</v>
      </c>
      <c r="AJ79" s="5">
        <v>111.3</v>
      </c>
      <c r="AK79" s="5">
        <v>111.4</v>
      </c>
      <c r="AL79" s="5">
        <v>111.5</v>
      </c>
      <c r="AM79" s="5">
        <v>111.5</v>
      </c>
      <c r="AN79" s="5">
        <v>111.1</v>
      </c>
      <c r="AO79" s="5">
        <v>111.4</v>
      </c>
      <c r="AP79" s="5">
        <v>110.9</v>
      </c>
      <c r="AQ79" s="5">
        <v>112.1</v>
      </c>
      <c r="AR79" s="5">
        <v>112.8</v>
      </c>
      <c r="AS79" s="5">
        <v>114.2</v>
      </c>
      <c r="AT79" s="5">
        <v>113.9</v>
      </c>
      <c r="AU79" s="5">
        <v>113.1</v>
      </c>
      <c r="AV79" s="5">
        <v>114.3</v>
      </c>
      <c r="AW79" s="5">
        <v>115.2</v>
      </c>
      <c r="AX79" s="5">
        <v>115.7</v>
      </c>
      <c r="AY79" s="5">
        <v>116</v>
      </c>
      <c r="AZ79" s="5">
        <v>117</v>
      </c>
      <c r="BA79" s="5">
        <v>117.4</v>
      </c>
      <c r="BB79" s="5">
        <v>117.6</v>
      </c>
      <c r="BC79" s="5">
        <v>116.6</v>
      </c>
      <c r="BD79" s="5">
        <v>116.7</v>
      </c>
      <c r="BE79" s="5">
        <v>116.5</v>
      </c>
      <c r="BF79" s="5">
        <v>116</v>
      </c>
      <c r="BG79" s="5">
        <v>117.3</v>
      </c>
      <c r="BH79" s="5">
        <v>118.3</v>
      </c>
      <c r="BI79" s="5">
        <v>117.8</v>
      </c>
      <c r="BJ79" s="5">
        <v>118.3</v>
      </c>
      <c r="BK79" s="5">
        <v>118.5</v>
      </c>
      <c r="BL79" s="5">
        <v>119.3</v>
      </c>
      <c r="BM79" s="5">
        <v>120.2</v>
      </c>
      <c r="BN79" s="5">
        <v>121</v>
      </c>
      <c r="BO79" s="5">
        <v>121.9</v>
      </c>
      <c r="BP79" s="5">
        <v>122.9</v>
      </c>
      <c r="BQ79" s="5">
        <v>123.7</v>
      </c>
      <c r="BR79" s="5">
        <v>123.6</v>
      </c>
      <c r="BS79" s="5">
        <v>124.3</v>
      </c>
      <c r="BT79" s="5">
        <v>126</v>
      </c>
      <c r="BU79" s="5">
        <v>125.5</v>
      </c>
      <c r="BV79" s="5">
        <v>125.5</v>
      </c>
      <c r="BW79" s="5">
        <v>123.6</v>
      </c>
      <c r="BX79" s="5">
        <v>123.3</v>
      </c>
      <c r="BY79" s="5">
        <v>123.9</v>
      </c>
      <c r="BZ79" s="5">
        <v>124.6</v>
      </c>
      <c r="CA79" s="75">
        <v>124.5</v>
      </c>
      <c r="CB79" s="5">
        <v>124.9</v>
      </c>
      <c r="CC79" s="5">
        <v>124.6</v>
      </c>
      <c r="CD79" s="5">
        <v>125.6</v>
      </c>
      <c r="CE79" s="5">
        <v>125.8</v>
      </c>
      <c r="CF79" s="5">
        <v>126.1</v>
      </c>
      <c r="CG79" s="5">
        <v>126.3</v>
      </c>
      <c r="CH79" s="5">
        <v>126.6</v>
      </c>
      <c r="CI79" s="5">
        <v>129.80000000000001</v>
      </c>
      <c r="CJ79" s="5">
        <v>130.9</v>
      </c>
      <c r="CK79" s="5">
        <v>130.30000000000001</v>
      </c>
      <c r="CL79" s="5">
        <v>129.9</v>
      </c>
      <c r="CM79" s="5">
        <f t="shared" ref="CM79:CM84" si="9">CL79</f>
        <v>129.9</v>
      </c>
      <c r="CN79" s="75">
        <v>132.44999999999999</v>
      </c>
      <c r="CO79" s="5">
        <v>135</v>
      </c>
      <c r="CP79" s="5">
        <v>135</v>
      </c>
      <c r="CQ79" s="5">
        <v>138.5</v>
      </c>
      <c r="CR79" s="5">
        <v>139.6</v>
      </c>
      <c r="CS79" s="5">
        <v>140.6</v>
      </c>
      <c r="CT79" s="5">
        <v>140.4</v>
      </c>
      <c r="CU79" s="5">
        <v>140.69999999999999</v>
      </c>
      <c r="CV79" s="5">
        <v>141.9</v>
      </c>
      <c r="CW79" s="5">
        <v>145.1</v>
      </c>
      <c r="CX79" s="5">
        <v>146.19999999999999</v>
      </c>
      <c r="CY79" s="5">
        <v>146.6</v>
      </c>
      <c r="CZ79" s="5">
        <v>148.9</v>
      </c>
      <c r="DA79" s="5">
        <v>150.69999999999999</v>
      </c>
      <c r="DB79" s="5">
        <v>153.1</v>
      </c>
      <c r="DC79" s="5">
        <v>154</v>
      </c>
      <c r="DD79" s="5">
        <v>154</v>
      </c>
      <c r="DE79" s="5">
        <v>155.69999999999999</v>
      </c>
      <c r="DF79" s="5">
        <v>154.80000000000001</v>
      </c>
      <c r="DG79" s="5">
        <v>155.69999999999999</v>
      </c>
      <c r="DH79" s="5">
        <v>156.5</v>
      </c>
      <c r="DI79" s="5">
        <v>156.9</v>
      </c>
      <c r="DJ79" s="5">
        <v>157.9</v>
      </c>
      <c r="DK79" s="5">
        <v>162.6</v>
      </c>
      <c r="DL79" s="5">
        <v>163</v>
      </c>
      <c r="DM79" s="5">
        <v>161.1</v>
      </c>
      <c r="DN79" s="5">
        <v>161.6</v>
      </c>
      <c r="DO79" s="5">
        <v>161.9</v>
      </c>
      <c r="DP79" s="5">
        <v>162.30000000000001</v>
      </c>
      <c r="DQ79" s="5">
        <v>162.9</v>
      </c>
      <c r="DR79" s="5">
        <v>163</v>
      </c>
      <c r="DS79" s="5">
        <v>163.4</v>
      </c>
      <c r="DT79" s="5">
        <v>163.6</v>
      </c>
      <c r="DU79" s="5">
        <v>164.2</v>
      </c>
      <c r="DV79" s="5">
        <v>164.2</v>
      </c>
      <c r="DW79" s="5">
        <v>164.5</v>
      </c>
      <c r="DX79" s="5">
        <v>164.8</v>
      </c>
      <c r="DY79">
        <f t="shared" si="7"/>
        <v>0</v>
      </c>
    </row>
    <row r="80" spans="1:129" x14ac:dyDescent="0.35">
      <c r="A80" s="34" t="s">
        <v>34</v>
      </c>
      <c r="B80" s="5" t="s">
        <v>52</v>
      </c>
      <c r="C80" s="5" t="s">
        <v>25</v>
      </c>
      <c r="D80" s="5">
        <v>103.1</v>
      </c>
      <c r="E80" s="5">
        <v>103.6</v>
      </c>
      <c r="F80" s="5">
        <v>103.7</v>
      </c>
      <c r="G80" s="5">
        <v>104.2</v>
      </c>
      <c r="H80" s="5">
        <v>104.8</v>
      </c>
      <c r="I80" s="5">
        <v>105.4</v>
      </c>
      <c r="J80" s="5">
        <v>106.1</v>
      </c>
      <c r="K80" s="5">
        <v>106.6</v>
      </c>
      <c r="L80" s="5">
        <v>107.5</v>
      </c>
      <c r="M80" s="5">
        <v>108.1</v>
      </c>
      <c r="N80" s="5">
        <v>108.6</v>
      </c>
      <c r="O80" s="5">
        <v>109</v>
      </c>
      <c r="P80" s="5">
        <v>109.7</v>
      </c>
      <c r="Q80" s="5">
        <v>110.1</v>
      </c>
      <c r="R80" s="5">
        <v>110.6</v>
      </c>
      <c r="S80" s="5">
        <v>110.9</v>
      </c>
      <c r="T80" s="5">
        <v>111.2</v>
      </c>
      <c r="U80" s="5">
        <v>111.6</v>
      </c>
      <c r="V80" s="5">
        <v>112.1</v>
      </c>
      <c r="W80" s="5">
        <v>112.6</v>
      </c>
      <c r="X80" s="5">
        <v>113.1</v>
      </c>
      <c r="Y80" s="5">
        <v>113.3</v>
      </c>
      <c r="Z80" s="5">
        <v>113.7</v>
      </c>
      <c r="AA80" s="5">
        <v>113.9</v>
      </c>
      <c r="AB80" s="5">
        <v>114.3</v>
      </c>
      <c r="AC80" s="5">
        <v>114.9</v>
      </c>
      <c r="AD80" s="5">
        <v>115.4</v>
      </c>
      <c r="AE80" s="5">
        <v>115.9</v>
      </c>
      <c r="AF80" s="5">
        <v>116.3</v>
      </c>
      <c r="AG80" s="5">
        <v>116.9</v>
      </c>
      <c r="AH80" s="5">
        <v>117.2</v>
      </c>
      <c r="AI80" s="5">
        <v>117.8</v>
      </c>
      <c r="AJ80" s="5">
        <v>118.3</v>
      </c>
      <c r="AK80" s="5">
        <v>118.7</v>
      </c>
      <c r="AL80" s="5">
        <v>119.2</v>
      </c>
      <c r="AM80" s="5">
        <v>119.6</v>
      </c>
      <c r="AN80" s="5">
        <v>119.8</v>
      </c>
      <c r="AO80" s="5">
        <v>120.3</v>
      </c>
      <c r="AP80" s="5">
        <v>120.6</v>
      </c>
      <c r="AQ80" s="5">
        <v>121.1</v>
      </c>
      <c r="AR80" s="5">
        <v>121.5</v>
      </c>
      <c r="AS80" s="5">
        <v>121.7</v>
      </c>
      <c r="AT80" s="5">
        <v>122.4</v>
      </c>
      <c r="AU80" s="5">
        <v>122.7</v>
      </c>
      <c r="AV80" s="5">
        <v>122.9</v>
      </c>
      <c r="AW80" s="5">
        <v>123.5</v>
      </c>
      <c r="AX80" s="5">
        <v>124</v>
      </c>
      <c r="AY80" s="5">
        <v>124.2</v>
      </c>
      <c r="AZ80" s="5">
        <v>124.2</v>
      </c>
      <c r="BA80" s="5">
        <v>124.6</v>
      </c>
      <c r="BB80" s="5">
        <v>125</v>
      </c>
      <c r="BC80" s="5">
        <v>125.1</v>
      </c>
      <c r="BD80" s="5">
        <v>125.7</v>
      </c>
      <c r="BE80" s="5">
        <v>125.9</v>
      </c>
      <c r="BF80" s="5">
        <v>126.6</v>
      </c>
      <c r="BG80" s="5">
        <v>127.3</v>
      </c>
      <c r="BH80" s="5">
        <v>127.9</v>
      </c>
      <c r="BI80" s="5">
        <v>128.4</v>
      </c>
      <c r="BJ80" s="5">
        <v>128.9</v>
      </c>
      <c r="BK80" s="5">
        <v>129</v>
      </c>
      <c r="BL80" s="5">
        <v>129.69999999999999</v>
      </c>
      <c r="BM80" s="5">
        <v>129.9</v>
      </c>
      <c r="BN80" s="5">
        <v>130.4</v>
      </c>
      <c r="BO80" s="5">
        <v>131.30000000000001</v>
      </c>
      <c r="BP80" s="5">
        <v>131.80000000000001</v>
      </c>
      <c r="BQ80" s="5">
        <v>132.6</v>
      </c>
      <c r="BR80" s="5">
        <v>133.1</v>
      </c>
      <c r="BS80" s="5">
        <v>133.6</v>
      </c>
      <c r="BT80" s="5">
        <v>134.5</v>
      </c>
      <c r="BU80" s="5">
        <v>136.5</v>
      </c>
      <c r="BV80" s="5">
        <v>136.5</v>
      </c>
      <c r="BW80" s="5">
        <v>136.80000000000001</v>
      </c>
      <c r="BX80" s="5">
        <v>136.69999999999999</v>
      </c>
      <c r="BY80" s="5">
        <v>137.1</v>
      </c>
      <c r="BZ80" s="5">
        <v>137.69999999999999</v>
      </c>
      <c r="CA80" s="75">
        <v>138.39999999999998</v>
      </c>
      <c r="CB80" s="5">
        <v>139.19999999999999</v>
      </c>
      <c r="CC80" s="5">
        <v>139.6</v>
      </c>
      <c r="CD80" s="5">
        <v>140.5</v>
      </c>
      <c r="CE80" s="5">
        <v>140.9</v>
      </c>
      <c r="CF80" s="5">
        <v>141.30000000000001</v>
      </c>
      <c r="CG80" s="5">
        <v>141.69999999999999</v>
      </c>
      <c r="CH80" s="5">
        <v>142.1</v>
      </c>
      <c r="CI80" s="5">
        <v>142.30000000000001</v>
      </c>
      <c r="CJ80" s="5">
        <v>142.80000000000001</v>
      </c>
      <c r="CK80" s="5">
        <v>143.19999999999999</v>
      </c>
      <c r="CL80" s="5">
        <v>143.69999999999999</v>
      </c>
      <c r="CM80" s="5">
        <f t="shared" si="9"/>
        <v>143.69999999999999</v>
      </c>
      <c r="CN80" s="75">
        <v>146</v>
      </c>
      <c r="CO80" s="5">
        <v>148.30000000000001</v>
      </c>
      <c r="CP80" s="5">
        <v>148.30000000000001</v>
      </c>
      <c r="CQ80" s="5">
        <v>146</v>
      </c>
      <c r="CR80" s="5">
        <v>146.6</v>
      </c>
      <c r="CS80" s="5">
        <v>146.5</v>
      </c>
      <c r="CT80" s="5">
        <v>148.4</v>
      </c>
      <c r="CU80" s="5">
        <v>148.5</v>
      </c>
      <c r="CV80" s="5">
        <v>149.6</v>
      </c>
      <c r="CW80" s="5">
        <v>151.5</v>
      </c>
      <c r="CX80" s="5">
        <v>152.6</v>
      </c>
      <c r="CY80" s="5">
        <v>153.19999999999999</v>
      </c>
      <c r="CZ80" s="5">
        <v>155.80000000000001</v>
      </c>
      <c r="DA80" s="5">
        <v>154.9</v>
      </c>
      <c r="DB80" s="5">
        <v>155.30000000000001</v>
      </c>
      <c r="DC80" s="5">
        <v>157.6</v>
      </c>
      <c r="DD80" s="5">
        <v>157.69999999999999</v>
      </c>
      <c r="DE80" s="5">
        <v>158.6</v>
      </c>
      <c r="DF80" s="5">
        <v>159.80000000000001</v>
      </c>
      <c r="DG80" s="5">
        <v>160.6</v>
      </c>
      <c r="DH80" s="5">
        <v>161.19999999999999</v>
      </c>
      <c r="DI80" s="5">
        <v>162.1</v>
      </c>
      <c r="DJ80" s="5">
        <v>163.30000000000001</v>
      </c>
      <c r="DK80" s="5">
        <v>164.4</v>
      </c>
      <c r="DL80" s="5">
        <v>165.1</v>
      </c>
      <c r="DM80" s="5">
        <v>165.8</v>
      </c>
      <c r="DN80" s="5">
        <v>166.3</v>
      </c>
      <c r="DO80" s="5">
        <v>166.9</v>
      </c>
      <c r="DP80" s="5">
        <v>167.6</v>
      </c>
      <c r="DQ80" s="5">
        <v>168.2</v>
      </c>
      <c r="DR80" s="5">
        <v>168.5</v>
      </c>
      <c r="DS80" s="5">
        <v>168.9</v>
      </c>
      <c r="DT80" s="5">
        <v>169.5</v>
      </c>
      <c r="DU80" s="5">
        <v>170.3</v>
      </c>
      <c r="DV80" s="5">
        <v>170.3</v>
      </c>
      <c r="DW80" s="5">
        <v>170.7</v>
      </c>
      <c r="DX80" s="5">
        <v>171.2</v>
      </c>
      <c r="DY80">
        <f t="shared" si="7"/>
        <v>0</v>
      </c>
    </row>
    <row r="81" spans="1:129" x14ac:dyDescent="0.35">
      <c r="A81" s="34" t="s">
        <v>34</v>
      </c>
      <c r="B81" s="5" t="s">
        <v>26</v>
      </c>
      <c r="C81" s="5" t="s">
        <v>26</v>
      </c>
      <c r="D81" s="5">
        <v>103.6</v>
      </c>
      <c r="E81" s="5">
        <v>103.9</v>
      </c>
      <c r="F81" s="5">
        <v>104</v>
      </c>
      <c r="G81" s="5">
        <v>105</v>
      </c>
      <c r="H81" s="5">
        <v>105.6</v>
      </c>
      <c r="I81" s="5">
        <v>107.4</v>
      </c>
      <c r="J81" s="5">
        <v>109.1</v>
      </c>
      <c r="K81" s="5">
        <v>109.9</v>
      </c>
      <c r="L81" s="5">
        <v>110.6</v>
      </c>
      <c r="M81" s="5">
        <v>110.8</v>
      </c>
      <c r="N81" s="5">
        <v>111.2</v>
      </c>
      <c r="O81" s="5">
        <v>111.5</v>
      </c>
      <c r="P81" s="5">
        <v>111.6</v>
      </c>
      <c r="Q81" s="5">
        <v>111.8</v>
      </c>
      <c r="R81" s="5">
        <v>112</v>
      </c>
      <c r="S81" s="5">
        <v>112.7</v>
      </c>
      <c r="T81" s="5">
        <v>113</v>
      </c>
      <c r="U81" s="5">
        <v>114.8</v>
      </c>
      <c r="V81" s="5">
        <v>116.8</v>
      </c>
      <c r="W81" s="5">
        <v>118</v>
      </c>
      <c r="X81" s="5">
        <v>118.6</v>
      </c>
      <c r="Y81" s="5">
        <v>118.8</v>
      </c>
      <c r="Z81" s="5">
        <v>119</v>
      </c>
      <c r="AA81" s="5">
        <v>119.5</v>
      </c>
      <c r="AB81" s="5">
        <v>119.7</v>
      </c>
      <c r="AC81" s="5">
        <v>119.7</v>
      </c>
      <c r="AD81" s="5">
        <v>120.1</v>
      </c>
      <c r="AE81" s="5">
        <v>121</v>
      </c>
      <c r="AF81" s="5">
        <v>121.4</v>
      </c>
      <c r="AG81" s="5">
        <v>123.1</v>
      </c>
      <c r="AH81" s="5">
        <v>124.4</v>
      </c>
      <c r="AI81" s="5">
        <v>125.1</v>
      </c>
      <c r="AJ81" s="5">
        <v>125.7</v>
      </c>
      <c r="AK81" s="5">
        <v>125.9</v>
      </c>
      <c r="AL81" s="5">
        <v>126.3</v>
      </c>
      <c r="AM81" s="5">
        <v>126.2</v>
      </c>
      <c r="AN81" s="5">
        <v>126.3</v>
      </c>
      <c r="AO81" s="5">
        <v>126.6</v>
      </c>
      <c r="AP81" s="5">
        <v>126.9</v>
      </c>
      <c r="AQ81" s="5">
        <v>127.7</v>
      </c>
      <c r="AR81" s="5">
        <v>128.5</v>
      </c>
      <c r="AS81" s="5">
        <v>129.69999999999999</v>
      </c>
      <c r="AT81" s="5">
        <v>130.80000000000001</v>
      </c>
      <c r="AU81" s="5">
        <v>131.69999999999999</v>
      </c>
      <c r="AV81" s="5">
        <v>131.80000000000001</v>
      </c>
      <c r="AW81" s="5">
        <v>132.4</v>
      </c>
      <c r="AX81" s="5">
        <v>132.80000000000001</v>
      </c>
      <c r="AY81" s="5">
        <v>133.1</v>
      </c>
      <c r="AZ81" s="5">
        <v>133.30000000000001</v>
      </c>
      <c r="BA81" s="5">
        <v>133.4</v>
      </c>
      <c r="BB81" s="5">
        <v>133.80000000000001</v>
      </c>
      <c r="BC81" s="5">
        <v>134.5</v>
      </c>
      <c r="BD81" s="5">
        <v>134.80000000000001</v>
      </c>
      <c r="BE81" s="5">
        <v>135.4</v>
      </c>
      <c r="BF81" s="5">
        <v>136.80000000000001</v>
      </c>
      <c r="BG81" s="5">
        <v>137.6</v>
      </c>
      <c r="BH81" s="5">
        <v>137.4</v>
      </c>
      <c r="BI81" s="5">
        <v>137.9</v>
      </c>
      <c r="BJ81" s="5">
        <v>138.6</v>
      </c>
      <c r="BK81" s="5">
        <v>138.5</v>
      </c>
      <c r="BL81" s="5">
        <v>139</v>
      </c>
      <c r="BM81" s="5">
        <v>139</v>
      </c>
      <c r="BN81" s="5">
        <v>139.80000000000001</v>
      </c>
      <c r="BO81" s="5">
        <v>141.4</v>
      </c>
      <c r="BP81" s="5">
        <v>142.1</v>
      </c>
      <c r="BQ81" s="5">
        <v>142.80000000000001</v>
      </c>
      <c r="BR81" s="5">
        <v>144.69999999999999</v>
      </c>
      <c r="BS81" s="5">
        <v>146</v>
      </c>
      <c r="BT81" s="5">
        <v>146.19999999999999</v>
      </c>
      <c r="BU81" s="5">
        <v>147.80000000000001</v>
      </c>
      <c r="BV81" s="5">
        <v>147.80000000000001</v>
      </c>
      <c r="BW81" s="5">
        <v>150.1</v>
      </c>
      <c r="BX81" s="5">
        <v>150.19999999999999</v>
      </c>
      <c r="BY81" s="5">
        <v>150.30000000000001</v>
      </c>
      <c r="BZ81" s="5">
        <v>150.30000000000001</v>
      </c>
      <c r="CA81" s="75">
        <v>151.17500000000001</v>
      </c>
      <c r="CB81" s="5">
        <v>151.6</v>
      </c>
      <c r="CC81" s="5">
        <v>152.5</v>
      </c>
      <c r="CD81" s="5">
        <v>154</v>
      </c>
      <c r="CE81" s="5">
        <v>154.9</v>
      </c>
      <c r="CF81" s="5">
        <v>155.19999999999999</v>
      </c>
      <c r="CG81" s="5">
        <v>155.4</v>
      </c>
      <c r="CH81" s="5">
        <v>155.5</v>
      </c>
      <c r="CI81" s="5">
        <v>155.69999999999999</v>
      </c>
      <c r="CJ81" s="5">
        <v>156.1</v>
      </c>
      <c r="CK81" s="5">
        <v>156.19999999999999</v>
      </c>
      <c r="CL81" s="5">
        <v>156.1</v>
      </c>
      <c r="CM81" s="5">
        <f t="shared" si="9"/>
        <v>156.1</v>
      </c>
      <c r="CN81" s="75">
        <v>156.25</v>
      </c>
      <c r="CO81" s="5">
        <v>156.4</v>
      </c>
      <c r="CP81" s="5">
        <v>156.4</v>
      </c>
      <c r="CQ81" s="5">
        <v>158.5</v>
      </c>
      <c r="CR81" s="5">
        <v>157.5</v>
      </c>
      <c r="CS81" s="5">
        <v>158.5</v>
      </c>
      <c r="CT81" s="5">
        <v>158.6</v>
      </c>
      <c r="CU81" s="5">
        <v>159.4</v>
      </c>
      <c r="CV81" s="5">
        <v>159.19999999999999</v>
      </c>
      <c r="CW81" s="5">
        <v>159.5</v>
      </c>
      <c r="CX81" s="5">
        <v>160.19999999999999</v>
      </c>
      <c r="CY81" s="5">
        <v>160.30000000000001</v>
      </c>
      <c r="CZ81" s="5">
        <v>161.19999999999999</v>
      </c>
      <c r="DA81" s="5">
        <v>161.69999999999999</v>
      </c>
      <c r="DB81" s="5">
        <v>163.19999999999999</v>
      </c>
      <c r="DC81" s="5">
        <v>163.80000000000001</v>
      </c>
      <c r="DD81" s="5">
        <v>163.69999999999999</v>
      </c>
      <c r="DE81" s="5">
        <v>163.9</v>
      </c>
      <c r="DF81" s="5">
        <v>164.3</v>
      </c>
      <c r="DG81" s="5">
        <v>164.4</v>
      </c>
      <c r="DH81" s="5">
        <v>164.7</v>
      </c>
      <c r="DI81" s="5">
        <v>165.4</v>
      </c>
      <c r="DJ81" s="5">
        <v>166</v>
      </c>
      <c r="DK81" s="5">
        <v>166.9</v>
      </c>
      <c r="DL81" s="5">
        <v>167.9</v>
      </c>
      <c r="DM81" s="5">
        <v>169</v>
      </c>
      <c r="DN81" s="5">
        <v>171.4</v>
      </c>
      <c r="DO81" s="5">
        <v>172.3</v>
      </c>
      <c r="DP81" s="5">
        <v>173.1</v>
      </c>
      <c r="DQ81" s="5">
        <v>173.4</v>
      </c>
      <c r="DR81" s="5">
        <v>173.7</v>
      </c>
      <c r="DS81" s="5">
        <v>174.1</v>
      </c>
      <c r="DT81" s="5">
        <v>174.3</v>
      </c>
      <c r="DU81" s="5">
        <v>175</v>
      </c>
      <c r="DV81" s="5">
        <v>175</v>
      </c>
      <c r="DW81" s="5">
        <v>176.4</v>
      </c>
      <c r="DX81" s="5">
        <v>177.1</v>
      </c>
      <c r="DY81">
        <f t="shared" si="7"/>
        <v>0</v>
      </c>
    </row>
    <row r="82" spans="1:129" x14ac:dyDescent="0.35">
      <c r="A82" s="34" t="s">
        <v>34</v>
      </c>
      <c r="B82" s="5" t="s">
        <v>52</v>
      </c>
      <c r="C82" s="5" t="s">
        <v>27</v>
      </c>
      <c r="D82" s="5">
        <v>104.5</v>
      </c>
      <c r="E82" s="5">
        <v>104.5</v>
      </c>
      <c r="F82" s="5">
        <v>104.3</v>
      </c>
      <c r="G82" s="5">
        <v>102.9</v>
      </c>
      <c r="H82" s="5">
        <v>102.3</v>
      </c>
      <c r="I82" s="5">
        <v>102.8</v>
      </c>
      <c r="J82" s="5">
        <v>102.8</v>
      </c>
      <c r="K82" s="5">
        <v>105.4</v>
      </c>
      <c r="L82" s="5">
        <v>106.8</v>
      </c>
      <c r="M82" s="5">
        <v>107.4</v>
      </c>
      <c r="N82" s="5">
        <v>108.1</v>
      </c>
      <c r="O82" s="5">
        <v>107.9</v>
      </c>
      <c r="P82" s="5">
        <v>108.2</v>
      </c>
      <c r="Q82" s="5">
        <v>108.7</v>
      </c>
      <c r="R82" s="5">
        <v>109</v>
      </c>
      <c r="S82" s="5">
        <v>109</v>
      </c>
      <c r="T82" s="5">
        <v>109.1</v>
      </c>
      <c r="U82" s="5">
        <v>108.3</v>
      </c>
      <c r="V82" s="5">
        <v>109.2</v>
      </c>
      <c r="W82" s="5">
        <v>109.9</v>
      </c>
      <c r="X82" s="5">
        <v>109.5</v>
      </c>
      <c r="Y82" s="5">
        <v>109.6</v>
      </c>
      <c r="Z82" s="5">
        <v>109.1</v>
      </c>
      <c r="AA82" s="5">
        <v>109.8</v>
      </c>
      <c r="AB82" s="5">
        <v>110.7</v>
      </c>
      <c r="AC82" s="5">
        <v>111.2</v>
      </c>
      <c r="AD82" s="5">
        <v>111</v>
      </c>
      <c r="AE82" s="5">
        <v>111.7</v>
      </c>
      <c r="AF82" s="5">
        <v>112.3</v>
      </c>
      <c r="AG82" s="5">
        <v>112.8</v>
      </c>
      <c r="AH82" s="5">
        <v>112.3</v>
      </c>
      <c r="AI82" s="5">
        <v>112.3</v>
      </c>
      <c r="AJ82" s="5">
        <v>113.4</v>
      </c>
      <c r="AK82" s="5">
        <v>113.9</v>
      </c>
      <c r="AL82" s="5">
        <v>113.8</v>
      </c>
      <c r="AM82" s="5">
        <v>113.7</v>
      </c>
      <c r="AN82" s="5">
        <v>114.5</v>
      </c>
      <c r="AO82" s="5">
        <v>116.6</v>
      </c>
      <c r="AP82" s="5">
        <v>117.3</v>
      </c>
      <c r="AQ82" s="5">
        <v>118.1</v>
      </c>
      <c r="AR82" s="5">
        <v>119.2</v>
      </c>
      <c r="AS82" s="5">
        <v>119.4</v>
      </c>
      <c r="AT82" s="5">
        <v>120.5</v>
      </c>
      <c r="AU82" s="5">
        <v>121.5</v>
      </c>
      <c r="AV82" s="5">
        <v>122.1</v>
      </c>
      <c r="AW82" s="5">
        <v>122.1</v>
      </c>
      <c r="AX82" s="5">
        <v>122.6</v>
      </c>
      <c r="AY82" s="5">
        <v>121.1</v>
      </c>
      <c r="AZ82" s="5">
        <v>121.7</v>
      </c>
      <c r="BA82" s="5">
        <v>122.6</v>
      </c>
      <c r="BB82" s="5">
        <v>122.6</v>
      </c>
      <c r="BC82" s="5">
        <v>123.1</v>
      </c>
      <c r="BD82" s="5">
        <v>123</v>
      </c>
      <c r="BE82" s="5">
        <v>123.4</v>
      </c>
      <c r="BF82" s="5">
        <v>123.6</v>
      </c>
      <c r="BG82" s="5">
        <v>124.5</v>
      </c>
      <c r="BH82" s="5">
        <v>125.7</v>
      </c>
      <c r="BI82" s="5">
        <v>126.2</v>
      </c>
      <c r="BJ82" s="5">
        <v>126.8</v>
      </c>
      <c r="BK82" s="5">
        <v>126.5</v>
      </c>
      <c r="BL82" s="5">
        <v>127.3</v>
      </c>
      <c r="BM82" s="5">
        <v>127.7</v>
      </c>
      <c r="BN82" s="5">
        <v>128.19999999999999</v>
      </c>
      <c r="BO82" s="5">
        <v>129.19999999999999</v>
      </c>
      <c r="BP82" s="5">
        <v>129.9</v>
      </c>
      <c r="BQ82" s="5">
        <v>130.1</v>
      </c>
      <c r="BR82" s="5">
        <v>130.1</v>
      </c>
      <c r="BS82" s="5">
        <v>130.1</v>
      </c>
      <c r="BT82" s="5">
        <v>130.9</v>
      </c>
      <c r="BU82" s="5">
        <v>132</v>
      </c>
      <c r="BV82" s="5">
        <v>132</v>
      </c>
      <c r="BW82" s="5">
        <v>132.19999999999999</v>
      </c>
      <c r="BX82" s="5">
        <v>132.80000000000001</v>
      </c>
      <c r="BY82" s="5">
        <v>134.1</v>
      </c>
      <c r="BZ82" s="5">
        <v>133.4</v>
      </c>
      <c r="CA82" s="75">
        <v>133.80000000000001</v>
      </c>
      <c r="CB82" s="5">
        <v>133.4</v>
      </c>
      <c r="CC82" s="5">
        <v>134.30000000000001</v>
      </c>
      <c r="CD82" s="5">
        <v>135.69999999999999</v>
      </c>
      <c r="CE82" s="5">
        <v>138.4</v>
      </c>
      <c r="CF82" s="5">
        <v>139.69999999999999</v>
      </c>
      <c r="CG82" s="5">
        <v>140</v>
      </c>
      <c r="CH82" s="5">
        <v>140.30000000000001</v>
      </c>
      <c r="CI82" s="5">
        <v>140.4</v>
      </c>
      <c r="CJ82" s="5">
        <v>142.30000000000001</v>
      </c>
      <c r="CK82" s="5">
        <v>143.4</v>
      </c>
      <c r="CL82" s="5">
        <v>145.19999999999999</v>
      </c>
      <c r="CM82" s="5">
        <f t="shared" si="9"/>
        <v>145.19999999999999</v>
      </c>
      <c r="CN82" s="75">
        <v>148.39999999999998</v>
      </c>
      <c r="CO82" s="5">
        <v>151.6</v>
      </c>
      <c r="CP82" s="5">
        <v>151.6</v>
      </c>
      <c r="CQ82" s="5">
        <v>154.30000000000001</v>
      </c>
      <c r="CR82" s="5">
        <v>158.4</v>
      </c>
      <c r="CS82" s="5">
        <v>157</v>
      </c>
      <c r="CT82" s="5">
        <v>156.9</v>
      </c>
      <c r="CU82" s="5">
        <v>157.1</v>
      </c>
      <c r="CV82" s="5">
        <v>156.80000000000001</v>
      </c>
      <c r="CW82" s="5">
        <v>155.80000000000001</v>
      </c>
      <c r="CX82" s="5">
        <v>153.80000000000001</v>
      </c>
      <c r="CY82" s="5">
        <v>155.4</v>
      </c>
      <c r="CZ82" s="5">
        <v>158.6</v>
      </c>
      <c r="DA82" s="5">
        <v>158.80000000000001</v>
      </c>
      <c r="DB82" s="5">
        <v>160.1</v>
      </c>
      <c r="DC82" s="5">
        <v>160</v>
      </c>
      <c r="DD82" s="5">
        <v>160</v>
      </c>
      <c r="DE82" s="5">
        <v>160.80000000000001</v>
      </c>
      <c r="DF82" s="5">
        <v>162.19999999999999</v>
      </c>
      <c r="DG82" s="5">
        <v>162.6</v>
      </c>
      <c r="DH82" s="5">
        <v>163</v>
      </c>
      <c r="DI82" s="5">
        <v>164.4</v>
      </c>
      <c r="DJ82" s="5">
        <v>167.2</v>
      </c>
      <c r="DK82" s="5">
        <v>168.8</v>
      </c>
      <c r="DL82" s="5">
        <v>168.4</v>
      </c>
      <c r="DM82" s="5">
        <v>169.4</v>
      </c>
      <c r="DN82" s="5">
        <v>169.7</v>
      </c>
      <c r="DO82" s="5">
        <v>171.2</v>
      </c>
      <c r="DP82" s="5">
        <v>170.9</v>
      </c>
      <c r="DQ82" s="5">
        <v>172.1</v>
      </c>
      <c r="DR82" s="5">
        <v>173.6</v>
      </c>
      <c r="DS82" s="5">
        <v>175.8</v>
      </c>
      <c r="DT82" s="5">
        <v>178.6</v>
      </c>
      <c r="DU82" s="5">
        <v>181</v>
      </c>
      <c r="DV82" s="5">
        <v>181</v>
      </c>
      <c r="DW82" s="5">
        <v>184</v>
      </c>
      <c r="DX82" s="5">
        <v>185.2</v>
      </c>
      <c r="DY82">
        <f t="shared" si="7"/>
        <v>0</v>
      </c>
    </row>
    <row r="83" spans="1:129" x14ac:dyDescent="0.35">
      <c r="A83" s="34" t="s">
        <v>34</v>
      </c>
      <c r="B83" s="5" t="s">
        <v>28</v>
      </c>
      <c r="C83" s="5" t="s">
        <v>28</v>
      </c>
      <c r="D83" s="5">
        <v>103.9</v>
      </c>
      <c r="E83" s="5">
        <v>104.4</v>
      </c>
      <c r="F83" s="5">
        <v>104.7</v>
      </c>
      <c r="G83" s="5">
        <v>104.8</v>
      </c>
      <c r="H83" s="5">
        <v>104.8</v>
      </c>
      <c r="I83" s="5">
        <v>105.8</v>
      </c>
      <c r="J83" s="5">
        <v>106.9</v>
      </c>
      <c r="K83" s="5">
        <v>107.9</v>
      </c>
      <c r="L83" s="5">
        <v>109</v>
      </c>
      <c r="M83" s="5">
        <v>109.2</v>
      </c>
      <c r="N83" s="5">
        <v>109.7</v>
      </c>
      <c r="O83" s="5">
        <v>110</v>
      </c>
      <c r="P83" s="5">
        <v>110.6</v>
      </c>
      <c r="Q83" s="5">
        <v>110.9</v>
      </c>
      <c r="R83" s="5">
        <v>111.3</v>
      </c>
      <c r="S83" s="5">
        <v>111.5</v>
      </c>
      <c r="T83" s="5">
        <v>111.8</v>
      </c>
      <c r="U83" s="5">
        <v>112.3</v>
      </c>
      <c r="V83" s="5">
        <v>113.3</v>
      </c>
      <c r="W83" s="5">
        <v>113.7</v>
      </c>
      <c r="X83" s="5">
        <v>113.7</v>
      </c>
      <c r="Y83" s="5">
        <v>113.9</v>
      </c>
      <c r="Z83" s="5">
        <v>113.8</v>
      </c>
      <c r="AA83" s="5">
        <v>113.8</v>
      </c>
      <c r="AB83" s="5">
        <v>114</v>
      </c>
      <c r="AC83" s="5">
        <v>114.1</v>
      </c>
      <c r="AD83" s="5">
        <v>114.7</v>
      </c>
      <c r="AE83" s="5">
        <v>115.1</v>
      </c>
      <c r="AF83" s="5">
        <v>116.1</v>
      </c>
      <c r="AG83" s="5">
        <v>117</v>
      </c>
      <c r="AH83" s="5">
        <v>117.2</v>
      </c>
      <c r="AI83" s="5">
        <v>117.2</v>
      </c>
      <c r="AJ83" s="5">
        <v>117.5</v>
      </c>
      <c r="AK83" s="5">
        <v>117.9</v>
      </c>
      <c r="AL83" s="5">
        <v>118.1</v>
      </c>
      <c r="AM83" s="5">
        <v>118.3</v>
      </c>
      <c r="AN83" s="5">
        <v>118.5</v>
      </c>
      <c r="AO83" s="5">
        <v>119.1</v>
      </c>
      <c r="AP83" s="5">
        <v>119.3</v>
      </c>
      <c r="AQ83" s="5">
        <v>120</v>
      </c>
      <c r="AR83" s="5">
        <v>120.7</v>
      </c>
      <c r="AS83" s="5">
        <v>121.5</v>
      </c>
      <c r="AT83" s="5">
        <v>121.9</v>
      </c>
      <c r="AU83" s="5">
        <v>122.1</v>
      </c>
      <c r="AV83" s="5">
        <v>122.8</v>
      </c>
      <c r="AW83" s="5">
        <v>123.4</v>
      </c>
      <c r="AX83" s="5">
        <v>123.8</v>
      </c>
      <c r="AY83" s="5">
        <v>123.9</v>
      </c>
      <c r="AZ83" s="5">
        <v>124.4</v>
      </c>
      <c r="BA83" s="5">
        <v>124.8</v>
      </c>
      <c r="BB83" s="5">
        <v>125.1</v>
      </c>
      <c r="BC83" s="5">
        <v>125.1</v>
      </c>
      <c r="BD83" s="5">
        <v>125.3</v>
      </c>
      <c r="BE83" s="5">
        <v>125.5</v>
      </c>
      <c r="BF83" s="5">
        <v>125.9</v>
      </c>
      <c r="BG83" s="5">
        <v>126.8</v>
      </c>
      <c r="BH83" s="5">
        <v>127.5</v>
      </c>
      <c r="BI83" s="5">
        <v>127.7</v>
      </c>
      <c r="BJ83" s="5">
        <v>128.4</v>
      </c>
      <c r="BK83" s="5">
        <v>128.6</v>
      </c>
      <c r="BL83" s="5">
        <v>129.1</v>
      </c>
      <c r="BM83" s="5">
        <v>129.6</v>
      </c>
      <c r="BN83" s="5">
        <v>130.30000000000001</v>
      </c>
      <c r="BO83" s="5">
        <v>131.30000000000001</v>
      </c>
      <c r="BP83" s="5">
        <v>132.1</v>
      </c>
      <c r="BQ83" s="5">
        <v>132.6</v>
      </c>
      <c r="BR83" s="5">
        <v>133.19999999999999</v>
      </c>
      <c r="BS83" s="5">
        <v>133.9</v>
      </c>
      <c r="BT83" s="5">
        <v>134.69999999999999</v>
      </c>
      <c r="BU83" s="5">
        <v>136.30000000000001</v>
      </c>
      <c r="BV83" s="5">
        <v>136.30000000000001</v>
      </c>
      <c r="BW83" s="5">
        <v>136.80000000000001</v>
      </c>
      <c r="BX83" s="5">
        <v>136.9</v>
      </c>
      <c r="BY83" s="5">
        <v>137.4</v>
      </c>
      <c r="BZ83" s="5">
        <v>137.69999999999999</v>
      </c>
      <c r="CA83" s="75">
        <v>137.97499999999999</v>
      </c>
      <c r="CB83" s="5">
        <v>138.19999999999999</v>
      </c>
      <c r="CC83" s="5">
        <v>138.6</v>
      </c>
      <c r="CD83" s="5">
        <v>139.5</v>
      </c>
      <c r="CE83" s="5">
        <v>140.19999999999999</v>
      </c>
      <c r="CF83" s="5">
        <v>140.69999999999999</v>
      </c>
      <c r="CG83" s="5">
        <v>141</v>
      </c>
      <c r="CH83" s="5">
        <v>141.30000000000001</v>
      </c>
      <c r="CI83" s="5">
        <v>142.5</v>
      </c>
      <c r="CJ83" s="5">
        <v>143.4</v>
      </c>
      <c r="CK83" s="5">
        <v>143.6</v>
      </c>
      <c r="CL83" s="5">
        <v>143.80000000000001</v>
      </c>
      <c r="CM83" s="5">
        <f t="shared" si="9"/>
        <v>143.80000000000001</v>
      </c>
      <c r="CN83" s="75">
        <v>145.4</v>
      </c>
      <c r="CO83" s="5">
        <v>147</v>
      </c>
      <c r="CP83" s="5">
        <v>147</v>
      </c>
      <c r="CQ83" s="5">
        <v>149</v>
      </c>
      <c r="CR83" s="5">
        <v>150</v>
      </c>
      <c r="CS83" s="5">
        <v>150.4</v>
      </c>
      <c r="CT83" s="5">
        <v>150.69999999999999</v>
      </c>
      <c r="CU83" s="5">
        <v>151.19999999999999</v>
      </c>
      <c r="CV83" s="5">
        <v>151.9</v>
      </c>
      <c r="CW83" s="5">
        <v>153.4</v>
      </c>
      <c r="CX83" s="5">
        <v>153.80000000000001</v>
      </c>
      <c r="CY83" s="5">
        <v>154.4</v>
      </c>
      <c r="CZ83" s="5">
        <v>156.80000000000001</v>
      </c>
      <c r="DA83" s="5">
        <v>157.6</v>
      </c>
      <c r="DB83" s="5">
        <v>159</v>
      </c>
      <c r="DC83" s="5">
        <v>160</v>
      </c>
      <c r="DD83" s="5">
        <v>160</v>
      </c>
      <c r="DE83" s="5">
        <v>161</v>
      </c>
      <c r="DF83" s="5">
        <v>161.4</v>
      </c>
      <c r="DG83" s="5">
        <v>162</v>
      </c>
      <c r="DH83" s="5">
        <v>162.69999999999999</v>
      </c>
      <c r="DI83" s="5">
        <v>163.5</v>
      </c>
      <c r="DJ83" s="5">
        <v>164.6</v>
      </c>
      <c r="DK83" s="5">
        <v>166.8</v>
      </c>
      <c r="DL83" s="5">
        <v>167.5</v>
      </c>
      <c r="DM83" s="5">
        <v>167.5</v>
      </c>
      <c r="DN83" s="5">
        <v>168.4</v>
      </c>
      <c r="DO83" s="5">
        <v>169.1</v>
      </c>
      <c r="DP83" s="5">
        <v>169.7</v>
      </c>
      <c r="DQ83" s="5">
        <v>170.5</v>
      </c>
      <c r="DR83" s="5">
        <v>171.1</v>
      </c>
      <c r="DS83" s="5">
        <v>172</v>
      </c>
      <c r="DT83" s="5">
        <v>172.8</v>
      </c>
      <c r="DU83" s="5">
        <v>174.1</v>
      </c>
      <c r="DV83" s="5">
        <v>174.1</v>
      </c>
      <c r="DW83" s="5">
        <v>175</v>
      </c>
      <c r="DX83" s="5">
        <v>175.7</v>
      </c>
      <c r="DY83">
        <f t="shared" si="7"/>
        <v>0</v>
      </c>
    </row>
    <row r="84" spans="1:129" x14ac:dyDescent="0.35">
      <c r="A84" s="34" t="s">
        <v>34</v>
      </c>
      <c r="B84" s="5" t="s">
        <v>29</v>
      </c>
      <c r="C84" s="5" t="s">
        <v>29</v>
      </c>
      <c r="D84" s="5">
        <v>104.6</v>
      </c>
      <c r="E84" s="5">
        <v>105.3</v>
      </c>
      <c r="F84" s="5">
        <v>105.5</v>
      </c>
      <c r="G84" s="5">
        <v>106.1</v>
      </c>
      <c r="H84" s="5">
        <v>106.9</v>
      </c>
      <c r="I84" s="5">
        <v>109.3</v>
      </c>
      <c r="J84" s="5">
        <v>111</v>
      </c>
      <c r="K84" s="5">
        <v>112.4</v>
      </c>
      <c r="L84" s="5">
        <v>113.7</v>
      </c>
      <c r="M84" s="5">
        <v>114.8</v>
      </c>
      <c r="N84" s="5">
        <v>116.3</v>
      </c>
      <c r="O84" s="5">
        <v>114.5</v>
      </c>
      <c r="P84" s="5">
        <v>113.6</v>
      </c>
      <c r="Q84" s="5">
        <v>113.6</v>
      </c>
      <c r="R84" s="5">
        <v>114.2</v>
      </c>
      <c r="S84" s="5">
        <v>115.1</v>
      </c>
      <c r="T84" s="5">
        <v>115.8</v>
      </c>
      <c r="U84" s="5">
        <v>116.7</v>
      </c>
      <c r="V84" s="5">
        <v>119.2</v>
      </c>
      <c r="W84" s="5">
        <v>120.3</v>
      </c>
      <c r="X84" s="5">
        <v>120.1</v>
      </c>
      <c r="Y84" s="5">
        <v>120.1</v>
      </c>
      <c r="Z84" s="5">
        <v>120.1</v>
      </c>
      <c r="AA84" s="5">
        <v>119.4</v>
      </c>
      <c r="AB84" s="5">
        <v>119.5</v>
      </c>
      <c r="AC84" s="5">
        <v>119.7</v>
      </c>
      <c r="AD84" s="5">
        <v>120.2</v>
      </c>
      <c r="AE84" s="5">
        <v>120.7</v>
      </c>
      <c r="AF84" s="5">
        <v>121.6</v>
      </c>
      <c r="AG84" s="5">
        <v>123</v>
      </c>
      <c r="AH84" s="5">
        <v>123.6</v>
      </c>
      <c r="AI84" s="5">
        <v>124.8</v>
      </c>
      <c r="AJ84" s="5">
        <v>125.4</v>
      </c>
      <c r="AK84" s="5">
        <v>126.1</v>
      </c>
      <c r="AL84" s="5">
        <v>126.6</v>
      </c>
      <c r="AM84" s="5">
        <v>126.1</v>
      </c>
      <c r="AN84" s="5">
        <v>126.3</v>
      </c>
      <c r="AO84" s="5">
        <v>126</v>
      </c>
      <c r="AP84" s="5">
        <v>126</v>
      </c>
      <c r="AQ84" s="5">
        <v>127.3</v>
      </c>
      <c r="AR84" s="5">
        <v>128.6</v>
      </c>
      <c r="AS84" s="5">
        <v>130.1</v>
      </c>
      <c r="AT84" s="5">
        <v>131.1</v>
      </c>
      <c r="AU84" s="5">
        <v>131.1</v>
      </c>
      <c r="AV84" s="5">
        <v>130.9</v>
      </c>
      <c r="AW84" s="5">
        <v>131.4</v>
      </c>
      <c r="AX84" s="5">
        <v>131.19999999999999</v>
      </c>
      <c r="AY84" s="5">
        <v>130.4</v>
      </c>
      <c r="AZ84" s="5">
        <v>130.30000000000001</v>
      </c>
      <c r="BA84" s="5">
        <v>130.6</v>
      </c>
      <c r="BB84" s="5">
        <v>130.9</v>
      </c>
      <c r="BC84" s="5">
        <v>131.1</v>
      </c>
      <c r="BD84" s="5">
        <v>131.4</v>
      </c>
      <c r="BE84" s="5">
        <v>132</v>
      </c>
      <c r="BF84" s="5">
        <v>134.19999999999999</v>
      </c>
      <c r="BG84" s="5">
        <v>135.4</v>
      </c>
      <c r="BH84" s="5">
        <v>135.19999999999999</v>
      </c>
      <c r="BI84" s="5">
        <v>136.1</v>
      </c>
      <c r="BJ84" s="5">
        <v>137.6</v>
      </c>
      <c r="BK84" s="5">
        <v>137.19999999999999</v>
      </c>
      <c r="BL84" s="5">
        <v>136.9</v>
      </c>
      <c r="BM84" s="5">
        <v>136.4</v>
      </c>
      <c r="BN84" s="5">
        <v>136.5</v>
      </c>
      <c r="BO84" s="5">
        <v>137.1</v>
      </c>
      <c r="BP84" s="5">
        <v>137.80000000000001</v>
      </c>
      <c r="BQ84" s="5">
        <v>138.5</v>
      </c>
      <c r="BR84" s="5">
        <v>139.80000000000001</v>
      </c>
      <c r="BS84" s="5">
        <v>140.4</v>
      </c>
      <c r="BT84" s="5">
        <v>140.19999999999999</v>
      </c>
      <c r="BU84" s="5">
        <v>140.80000000000001</v>
      </c>
      <c r="BV84" s="5">
        <v>140.80000000000001</v>
      </c>
      <c r="BW84" s="5">
        <v>140.1</v>
      </c>
      <c r="BX84" s="5">
        <v>139.6</v>
      </c>
      <c r="BY84" s="5">
        <v>139.9</v>
      </c>
      <c r="BZ84" s="5">
        <v>140.4</v>
      </c>
      <c r="CA84" s="75">
        <v>141.30000000000001</v>
      </c>
      <c r="CB84" s="5">
        <v>142</v>
      </c>
      <c r="CC84" s="5">
        <v>142.9</v>
      </c>
      <c r="CD84" s="5">
        <v>144.19999999999999</v>
      </c>
      <c r="CE84" s="5">
        <v>145</v>
      </c>
      <c r="CF84" s="5">
        <v>145.80000000000001</v>
      </c>
      <c r="CG84" s="5">
        <v>147.19999999999999</v>
      </c>
      <c r="CH84" s="5">
        <v>148.6</v>
      </c>
      <c r="CI84" s="5">
        <v>150.4</v>
      </c>
      <c r="CJ84" s="5">
        <v>150.19999999999999</v>
      </c>
      <c r="CK84" s="5">
        <v>149.1</v>
      </c>
      <c r="CL84" s="5">
        <v>148.6</v>
      </c>
      <c r="CM84" s="5">
        <f t="shared" si="9"/>
        <v>148.6</v>
      </c>
      <c r="CN84" s="75">
        <v>150.19999999999999</v>
      </c>
      <c r="CO84" s="5">
        <v>151.80000000000001</v>
      </c>
      <c r="CP84" s="5">
        <v>151.80000000000001</v>
      </c>
      <c r="CQ84" s="5">
        <v>153.9</v>
      </c>
      <c r="CR84" s="5">
        <v>154.69999999999999</v>
      </c>
      <c r="CS84" s="5">
        <v>156.4</v>
      </c>
      <c r="CT84" s="5">
        <v>158.4</v>
      </c>
      <c r="CU84" s="5">
        <v>158.9</v>
      </c>
      <c r="CV84" s="5">
        <v>157.30000000000001</v>
      </c>
      <c r="CW84" s="5">
        <v>156.6</v>
      </c>
      <c r="CX84" s="5">
        <v>156.80000000000001</v>
      </c>
      <c r="CY84" s="5">
        <v>157.80000000000001</v>
      </c>
      <c r="CZ84" s="5">
        <v>160.4</v>
      </c>
      <c r="DA84" s="5">
        <v>161.30000000000001</v>
      </c>
      <c r="DB84" s="5">
        <v>162.5</v>
      </c>
      <c r="DC84" s="5">
        <v>163.19999999999999</v>
      </c>
      <c r="DD84" s="5">
        <v>163.19999999999999</v>
      </c>
      <c r="DE84" s="5">
        <v>165.5</v>
      </c>
      <c r="DF84" s="5">
        <v>166.7</v>
      </c>
      <c r="DG84" s="5">
        <v>166.2</v>
      </c>
      <c r="DH84" s="5">
        <v>165.7</v>
      </c>
      <c r="DI84" s="5">
        <v>166.1</v>
      </c>
      <c r="DJ84" s="5">
        <v>167.7</v>
      </c>
      <c r="DK84" s="5">
        <v>170.1</v>
      </c>
      <c r="DL84" s="5">
        <v>171.7</v>
      </c>
      <c r="DM84" s="5">
        <v>172.6</v>
      </c>
      <c r="DN84" s="5">
        <v>173.4</v>
      </c>
      <c r="DO84" s="5">
        <v>174.3</v>
      </c>
      <c r="DP84" s="5">
        <v>175.3</v>
      </c>
      <c r="DQ84" s="5">
        <v>176.7</v>
      </c>
      <c r="DR84" s="5">
        <v>176.5</v>
      </c>
      <c r="DS84" s="5">
        <v>175.7</v>
      </c>
      <c r="DT84" s="5">
        <v>176.5</v>
      </c>
      <c r="DU84" s="5">
        <v>177.2</v>
      </c>
      <c r="DV84" s="5">
        <v>177.2</v>
      </c>
      <c r="DW84" s="5">
        <v>178.1</v>
      </c>
      <c r="DX84" s="5">
        <v>179.1</v>
      </c>
      <c r="DY84">
        <f t="shared" si="7"/>
        <v>0</v>
      </c>
    </row>
    <row r="87" spans="1:129" x14ac:dyDescent="0.35">
      <c r="CO87">
        <f>SUM(CO5:CO16)</f>
        <v>1802.8</v>
      </c>
    </row>
  </sheetData>
  <autoFilter ref="A3:DX84" xr:uid="{52626387-0D78-49F2-AFAC-D022AE57F43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5867-EC9E-4439-8C28-5D9B6A9076F7}">
  <dimension ref="C2:I15"/>
  <sheetViews>
    <sheetView topLeftCell="C1" workbookViewId="0">
      <selection activeCell="D3" sqref="D3"/>
    </sheetView>
  </sheetViews>
  <sheetFormatPr defaultRowHeight="14.5" x14ac:dyDescent="0.35"/>
  <cols>
    <col min="3" max="3" width="26.36328125" bestFit="1" customWidth="1"/>
    <col min="4" max="4" width="7.81640625" bestFit="1" customWidth="1"/>
    <col min="5" max="5" width="6.81640625" bestFit="1" customWidth="1"/>
    <col min="6" max="6" width="11.36328125" bestFit="1" customWidth="1"/>
    <col min="7" max="7" width="6.7265625" bestFit="1" customWidth="1"/>
    <col min="8" max="8" width="7.90625" bestFit="1" customWidth="1"/>
    <col min="9" max="9" width="12.90625" customWidth="1"/>
  </cols>
  <sheetData>
    <row r="2" spans="3:9" ht="29" x14ac:dyDescent="0.35">
      <c r="C2" s="4" t="s">
        <v>50</v>
      </c>
      <c r="D2" s="36" t="s">
        <v>30</v>
      </c>
      <c r="E2" s="36" t="s">
        <v>33</v>
      </c>
      <c r="F2" s="36" t="s">
        <v>34</v>
      </c>
      <c r="G2" s="36" t="s">
        <v>105</v>
      </c>
      <c r="H2" s="36" t="s">
        <v>106</v>
      </c>
      <c r="I2" s="37" t="s">
        <v>107</v>
      </c>
    </row>
    <row r="3" spans="3:9" x14ac:dyDescent="0.35">
      <c r="C3" s="35" t="s">
        <v>51</v>
      </c>
      <c r="D3" s="77">
        <f t="shared" ref="D3:F11" si="0">SUMIFS(Maymonth23,Category,$C3,SECTOR,D$2)</f>
        <v>2290.7000000000007</v>
      </c>
      <c r="E3" s="77">
        <f t="shared" si="0"/>
        <v>2335.1</v>
      </c>
      <c r="F3" s="77">
        <f t="shared" si="0"/>
        <v>2306.9</v>
      </c>
      <c r="G3" s="78">
        <f>D3/$D$12</f>
        <v>0.4900521992127333</v>
      </c>
      <c r="H3" s="78">
        <f>E3/$E$12</f>
        <v>0.50315671529229233</v>
      </c>
      <c r="I3" s="78">
        <f>F3/$F$12</f>
        <v>0.49563853557923682</v>
      </c>
    </row>
    <row r="4" spans="3:9" x14ac:dyDescent="0.35">
      <c r="C4" s="35" t="s">
        <v>52</v>
      </c>
      <c r="D4" s="77">
        <f t="shared" si="0"/>
        <v>558.6</v>
      </c>
      <c r="E4" s="77">
        <f t="shared" si="0"/>
        <v>559</v>
      </c>
      <c r="F4" s="77">
        <f t="shared" si="0"/>
        <v>557.4</v>
      </c>
      <c r="G4" s="78">
        <f t="shared" ref="G4:G11" si="1">D4/$D$12</f>
        <v>0.11950196816703747</v>
      </c>
      <c r="H4" s="78">
        <f t="shared" ref="H4:H11" si="2">E4/$E$12</f>
        <v>0.12045077463423041</v>
      </c>
      <c r="I4" s="78">
        <f t="shared" ref="I4:I11" si="3">F4/$F$12</f>
        <v>0.11975764867652113</v>
      </c>
    </row>
    <row r="5" spans="3:9" x14ac:dyDescent="0.35">
      <c r="C5" s="35" t="s">
        <v>53</v>
      </c>
      <c r="D5" s="77">
        <f t="shared" si="0"/>
        <v>569.90000000000009</v>
      </c>
      <c r="E5" s="77">
        <f t="shared" si="0"/>
        <v>528.70000000000005</v>
      </c>
      <c r="F5" s="77">
        <f t="shared" si="0"/>
        <v>553.20000000000005</v>
      </c>
      <c r="G5" s="78">
        <f t="shared" si="1"/>
        <v>0.12191939072394319</v>
      </c>
      <c r="H5" s="78">
        <f t="shared" si="2"/>
        <v>0.11392186860307267</v>
      </c>
      <c r="I5" s="78">
        <f t="shared" si="3"/>
        <v>0.11885527672739772</v>
      </c>
    </row>
    <row r="6" spans="3:9" x14ac:dyDescent="0.35">
      <c r="C6" s="35" t="s">
        <v>20</v>
      </c>
      <c r="D6" s="77">
        <f t="shared" si="0"/>
        <v>355.4</v>
      </c>
      <c r="E6" s="77">
        <f t="shared" si="0"/>
        <v>345.7</v>
      </c>
      <c r="F6" s="77">
        <f t="shared" si="0"/>
        <v>350.79999999999995</v>
      </c>
      <c r="G6" s="78">
        <f t="shared" si="1"/>
        <v>7.6031148382680117E-2</v>
      </c>
      <c r="H6" s="78">
        <f t="shared" si="2"/>
        <v>7.4489861880238734E-2</v>
      </c>
      <c r="I6" s="78">
        <f t="shared" si="3"/>
        <v>7.5369542798212424E-2</v>
      </c>
    </row>
    <row r="7" spans="3:9" x14ac:dyDescent="0.35">
      <c r="C7" s="35" t="s">
        <v>21</v>
      </c>
      <c r="D7" s="77">
        <f t="shared" si="0"/>
        <v>182.5</v>
      </c>
      <c r="E7" s="77">
        <f t="shared" si="0"/>
        <v>183.4</v>
      </c>
      <c r="F7" s="77">
        <f t="shared" si="0"/>
        <v>182.8</v>
      </c>
      <c r="G7" s="78">
        <f t="shared" si="1"/>
        <v>3.9042443950025665E-2</v>
      </c>
      <c r="H7" s="78">
        <f t="shared" si="2"/>
        <v>3.9518196901463076E-2</v>
      </c>
      <c r="I7" s="78">
        <f t="shared" si="3"/>
        <v>3.9274664833276039E-2</v>
      </c>
    </row>
    <row r="8" spans="3:9" x14ac:dyDescent="0.35">
      <c r="C8" s="35" t="s">
        <v>23</v>
      </c>
      <c r="D8" s="77">
        <f t="shared" si="0"/>
        <v>187.8</v>
      </c>
      <c r="E8" s="77">
        <f t="shared" si="0"/>
        <v>182.2</v>
      </c>
      <c r="F8" s="77">
        <f t="shared" si="0"/>
        <v>185.7</v>
      </c>
      <c r="G8" s="78">
        <f t="shared" si="1"/>
        <v>4.0176279308574363E-2</v>
      </c>
      <c r="H8" s="78">
        <f t="shared" si="2"/>
        <v>3.9259626365575638E-2</v>
      </c>
      <c r="I8" s="78">
        <f t="shared" si="3"/>
        <v>3.9897731179099338E-2</v>
      </c>
    </row>
    <row r="9" spans="3:9" x14ac:dyDescent="0.35">
      <c r="C9" s="35" t="s">
        <v>24</v>
      </c>
      <c r="D9" s="77">
        <f t="shared" si="0"/>
        <v>169.7</v>
      </c>
      <c r="E9" s="77">
        <f t="shared" si="0"/>
        <v>160.4</v>
      </c>
      <c r="F9" s="77">
        <f t="shared" si="0"/>
        <v>164.8</v>
      </c>
      <c r="G9" s="78">
        <f t="shared" si="1"/>
        <v>3.6304124593530711E-2</v>
      </c>
      <c r="H9" s="78">
        <f t="shared" si="2"/>
        <v>3.4562261630287229E-2</v>
      </c>
      <c r="I9" s="78">
        <f t="shared" si="3"/>
        <v>3.5407356479889997E-2</v>
      </c>
    </row>
    <row r="10" spans="3:9" x14ac:dyDescent="0.35">
      <c r="C10" s="35" t="s">
        <v>26</v>
      </c>
      <c r="D10" s="77">
        <f t="shared" si="0"/>
        <v>180.3</v>
      </c>
      <c r="E10" s="77">
        <f t="shared" si="0"/>
        <v>174.8</v>
      </c>
      <c r="F10" s="77">
        <f t="shared" si="0"/>
        <v>177.1</v>
      </c>
      <c r="G10" s="78">
        <f t="shared" si="1"/>
        <v>3.8571795310628099E-2</v>
      </c>
      <c r="H10" s="78">
        <f t="shared" si="2"/>
        <v>3.7665108060936453E-2</v>
      </c>
      <c r="I10" s="78">
        <f t="shared" si="3"/>
        <v>3.8050017188037119E-2</v>
      </c>
    </row>
    <row r="11" spans="3:9" x14ac:dyDescent="0.35">
      <c r="C11" s="35" t="s">
        <v>28</v>
      </c>
      <c r="D11" s="77">
        <f t="shared" si="0"/>
        <v>179.5</v>
      </c>
      <c r="E11" s="77">
        <f t="shared" si="0"/>
        <v>171.6</v>
      </c>
      <c r="F11" s="77">
        <f t="shared" si="0"/>
        <v>175.7</v>
      </c>
      <c r="G11" s="78">
        <f t="shared" si="1"/>
        <v>3.8400650350847165E-2</v>
      </c>
      <c r="H11" s="78">
        <f t="shared" si="2"/>
        <v>3.6975586631903291E-2</v>
      </c>
      <c r="I11" s="78">
        <f t="shared" si="3"/>
        <v>3.7749226538329315E-2</v>
      </c>
    </row>
    <row r="12" spans="3:9" x14ac:dyDescent="0.35">
      <c r="C12" s="35" t="s">
        <v>54</v>
      </c>
      <c r="D12" s="77">
        <f>SUM(D3:D11)</f>
        <v>4674.4000000000005</v>
      </c>
      <c r="E12" s="77">
        <f>SUM(E3:E11)</f>
        <v>4640.9000000000005</v>
      </c>
      <c r="F12" s="77">
        <f>SUM(F3:F11)</f>
        <v>4654.4000000000005</v>
      </c>
      <c r="G12" s="79"/>
      <c r="H12" s="79"/>
      <c r="I12" s="79"/>
    </row>
    <row r="14" spans="3:9" x14ac:dyDescent="0.35">
      <c r="C14" s="19" t="s">
        <v>104</v>
      </c>
    </row>
    <row r="15" spans="3:9" x14ac:dyDescent="0.35">
      <c r="C15" t="s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33B4-EAF8-4007-943B-F677F0E37DD8}">
  <dimension ref="A2:Q79"/>
  <sheetViews>
    <sheetView showGridLines="0" topLeftCell="B24" workbookViewId="0">
      <selection activeCell="E17" sqref="E17"/>
    </sheetView>
  </sheetViews>
  <sheetFormatPr defaultRowHeight="14.5" x14ac:dyDescent="0.35"/>
  <cols>
    <col min="1" max="1" width="14.7265625" bestFit="1" customWidth="1"/>
    <col min="2" max="2" width="12.453125" bestFit="1" customWidth="1"/>
    <col min="3" max="4" width="12.453125" customWidth="1"/>
    <col min="5" max="5" width="26.36328125" bestFit="1" customWidth="1"/>
    <col min="6" max="6" width="14.6328125" bestFit="1" customWidth="1"/>
    <col min="7" max="7" width="26.36328125" bestFit="1" customWidth="1"/>
    <col min="8" max="8" width="14.6328125" bestFit="1" customWidth="1"/>
    <col min="9" max="9" width="11.81640625" bestFit="1" customWidth="1"/>
    <col min="11" max="11" width="12.453125" bestFit="1" customWidth="1"/>
    <col min="12" max="12" width="24.08984375" bestFit="1" customWidth="1"/>
    <col min="13" max="13" width="12.1796875" bestFit="1" customWidth="1"/>
    <col min="14" max="14" width="20.6328125" bestFit="1" customWidth="1"/>
    <col min="15" max="15" width="12.6328125" bestFit="1" customWidth="1"/>
    <col min="20" max="20" width="14.6328125" bestFit="1" customWidth="1"/>
    <col min="21" max="21" width="11.81640625" bestFit="1" customWidth="1"/>
  </cols>
  <sheetData>
    <row r="2" spans="1:17" x14ac:dyDescent="0.35">
      <c r="A2" s="33" t="s">
        <v>2</v>
      </c>
      <c r="B2" s="33" t="s">
        <v>67</v>
      </c>
    </row>
    <row r="3" spans="1:17" x14ac:dyDescent="0.35">
      <c r="A3" s="5" t="s">
        <v>176</v>
      </c>
      <c r="B3" s="5">
        <v>130.30000000000001</v>
      </c>
    </row>
    <row r="4" spans="1:17" x14ac:dyDescent="0.35">
      <c r="A4" s="5" t="s">
        <v>177</v>
      </c>
      <c r="B4" s="5">
        <v>130.6</v>
      </c>
    </row>
    <row r="5" spans="1:17" x14ac:dyDescent="0.35">
      <c r="A5" s="5" t="s">
        <v>178</v>
      </c>
      <c r="B5" s="5">
        <v>130.9</v>
      </c>
    </row>
    <row r="6" spans="1:17" x14ac:dyDescent="0.35">
      <c r="A6" s="5" t="s">
        <v>179</v>
      </c>
      <c r="B6" s="5">
        <v>131.1</v>
      </c>
    </row>
    <row r="7" spans="1:17" x14ac:dyDescent="0.35">
      <c r="A7" s="5" t="s">
        <v>180</v>
      </c>
      <c r="B7" s="5">
        <v>131.4</v>
      </c>
    </row>
    <row r="8" spans="1:17" x14ac:dyDescent="0.35">
      <c r="A8" s="5" t="s">
        <v>181</v>
      </c>
      <c r="B8" s="5">
        <v>132</v>
      </c>
      <c r="D8" s="8" t="s">
        <v>1</v>
      </c>
      <c r="E8" s="60" t="s">
        <v>67</v>
      </c>
      <c r="F8" s="8" t="s">
        <v>1</v>
      </c>
      <c r="G8" s="8" t="s">
        <v>67</v>
      </c>
    </row>
    <row r="9" spans="1:17" x14ac:dyDescent="0.35">
      <c r="A9" s="5" t="s">
        <v>182</v>
      </c>
      <c r="B9" s="5">
        <v>134.19999999999999</v>
      </c>
      <c r="D9" s="5" t="s">
        <v>179</v>
      </c>
      <c r="E9" s="5">
        <f>_xlfn.XLOOKUP($D9,$A$3:$A$79,$B$3:$B$79)</f>
        <v>131.1</v>
      </c>
      <c r="F9" s="5" t="s">
        <v>190</v>
      </c>
      <c r="G9" s="5">
        <f>_xlfn.XLOOKUP($F9,$A$3:$A$79,$B$3:$B$79)</f>
        <v>136.5</v>
      </c>
    </row>
    <row r="10" spans="1:17" x14ac:dyDescent="0.35">
      <c r="A10" s="5" t="s">
        <v>183</v>
      </c>
      <c r="B10" s="5">
        <v>135.4</v>
      </c>
      <c r="D10" s="5" t="s">
        <v>191</v>
      </c>
      <c r="E10" s="5">
        <f t="shared" ref="E10:E14" si="0">_xlfn.XLOOKUP($D10,$A$3:$A$79,$B$3:$B$79)</f>
        <v>137.1</v>
      </c>
      <c r="F10" s="5" t="s">
        <v>118</v>
      </c>
      <c r="G10" s="5">
        <f t="shared" ref="G10:G14" si="1">_xlfn.XLOOKUP($F10,$A$3:$A$79,$B$3:$B$79)</f>
        <v>140.4</v>
      </c>
      <c r="Q10" s="7"/>
    </row>
    <row r="11" spans="1:17" x14ac:dyDescent="0.35">
      <c r="A11" s="5" t="s">
        <v>184</v>
      </c>
      <c r="B11" s="5">
        <v>135.19999999999999</v>
      </c>
      <c r="D11" s="5" t="s">
        <v>111</v>
      </c>
      <c r="E11" s="5">
        <f t="shared" si="0"/>
        <v>141.30000000000001</v>
      </c>
      <c r="F11" s="5" t="s">
        <v>112</v>
      </c>
      <c r="G11" s="5">
        <f t="shared" si="1"/>
        <v>148.6</v>
      </c>
      <c r="I11" s="7"/>
      <c r="J11" s="7"/>
      <c r="Q11" s="7"/>
    </row>
    <row r="12" spans="1:17" x14ac:dyDescent="0.35">
      <c r="A12" s="5" t="s">
        <v>185</v>
      </c>
      <c r="B12" s="5">
        <v>136.1</v>
      </c>
      <c r="D12" s="5" t="s">
        <v>72</v>
      </c>
      <c r="E12" s="5">
        <f t="shared" si="0"/>
        <v>148.6</v>
      </c>
      <c r="F12" s="5" t="s">
        <v>83</v>
      </c>
      <c r="G12" s="5">
        <f t="shared" si="1"/>
        <v>156.80000000000001</v>
      </c>
      <c r="I12" s="7"/>
      <c r="Q12" s="7"/>
    </row>
    <row r="13" spans="1:17" x14ac:dyDescent="0.35">
      <c r="A13" s="5" t="s">
        <v>186</v>
      </c>
      <c r="B13" s="5">
        <v>137.6</v>
      </c>
      <c r="D13" s="5" t="s">
        <v>84</v>
      </c>
      <c r="E13" s="5">
        <f t="shared" si="0"/>
        <v>157.80000000000001</v>
      </c>
      <c r="F13" s="5" t="s">
        <v>95</v>
      </c>
      <c r="G13" s="5">
        <f t="shared" si="1"/>
        <v>167.7</v>
      </c>
      <c r="I13" s="7"/>
    </row>
    <row r="14" spans="1:17" x14ac:dyDescent="0.35">
      <c r="A14" s="5" t="s">
        <v>187</v>
      </c>
      <c r="B14" s="5">
        <v>137.19999999999999</v>
      </c>
      <c r="D14" s="5" t="s">
        <v>96</v>
      </c>
      <c r="E14" s="5">
        <f t="shared" si="0"/>
        <v>170.1</v>
      </c>
      <c r="F14" s="5" t="s">
        <v>64</v>
      </c>
      <c r="G14" s="5">
        <f t="shared" si="1"/>
        <v>177.2</v>
      </c>
    </row>
    <row r="15" spans="1:17" x14ac:dyDescent="0.35">
      <c r="A15" s="5" t="s">
        <v>188</v>
      </c>
      <c r="B15" s="5">
        <v>136.9</v>
      </c>
      <c r="F15" s="3"/>
    </row>
    <row r="16" spans="1:17" x14ac:dyDescent="0.35">
      <c r="A16" s="5" t="s">
        <v>189</v>
      </c>
      <c r="B16" s="5">
        <v>136.4</v>
      </c>
      <c r="D16" s="9" t="s">
        <v>1</v>
      </c>
      <c r="E16" s="9" t="s">
        <v>69</v>
      </c>
      <c r="F16" s="3"/>
    </row>
    <row r="17" spans="1:14" x14ac:dyDescent="0.35">
      <c r="A17" s="5" t="s">
        <v>190</v>
      </c>
      <c r="B17" s="5">
        <v>136.5</v>
      </c>
      <c r="D17" s="5" t="s">
        <v>270</v>
      </c>
      <c r="E17" s="14">
        <f t="shared" ref="E17:E22" si="2">(G9-E9)/E9</f>
        <v>4.1189931350114464E-2</v>
      </c>
      <c r="F17" s="3"/>
    </row>
    <row r="18" spans="1:14" x14ac:dyDescent="0.35">
      <c r="A18" s="5" t="s">
        <v>191</v>
      </c>
      <c r="B18" s="5">
        <v>137.1</v>
      </c>
      <c r="D18" s="5" t="s">
        <v>271</v>
      </c>
      <c r="E18" s="14">
        <f t="shared" si="2"/>
        <v>2.4070021881838159E-2</v>
      </c>
      <c r="G18" s="25">
        <f>AVERAGE(E17:E22)</f>
        <v>4.6097095432123709E-2</v>
      </c>
    </row>
    <row r="19" spans="1:14" x14ac:dyDescent="0.35">
      <c r="A19" s="5" t="s">
        <v>192</v>
      </c>
      <c r="B19" s="5">
        <v>137.80000000000001</v>
      </c>
      <c r="D19" s="5" t="s">
        <v>272</v>
      </c>
      <c r="E19" s="14">
        <f t="shared" si="2"/>
        <v>5.1663128096248991E-2</v>
      </c>
    </row>
    <row r="20" spans="1:14" x14ac:dyDescent="0.35">
      <c r="A20" s="5" t="s">
        <v>193</v>
      </c>
      <c r="B20" s="5">
        <v>138.5</v>
      </c>
      <c r="D20" s="5" t="s">
        <v>273</v>
      </c>
      <c r="E20" s="14">
        <f t="shared" si="2"/>
        <v>5.5181695827725558E-2</v>
      </c>
    </row>
    <row r="21" spans="1:14" x14ac:dyDescent="0.35">
      <c r="A21" s="5" t="s">
        <v>194</v>
      </c>
      <c r="B21" s="5">
        <v>139.80000000000001</v>
      </c>
      <c r="D21" s="5" t="s">
        <v>274</v>
      </c>
      <c r="E21" s="14">
        <f t="shared" si="2"/>
        <v>6.2737642585551187E-2</v>
      </c>
    </row>
    <row r="22" spans="1:14" x14ac:dyDescent="0.35">
      <c r="A22" s="5" t="s">
        <v>195</v>
      </c>
      <c r="B22" s="5">
        <v>140.4</v>
      </c>
      <c r="D22" s="5" t="s">
        <v>275</v>
      </c>
      <c r="E22" s="14">
        <f t="shared" si="2"/>
        <v>4.174015285126393E-2</v>
      </c>
    </row>
    <row r="23" spans="1:14" x14ac:dyDescent="0.35">
      <c r="A23" s="5" t="s">
        <v>196</v>
      </c>
      <c r="B23" s="5">
        <v>140.19999999999999</v>
      </c>
    </row>
    <row r="24" spans="1:14" x14ac:dyDescent="0.35">
      <c r="A24" s="5" t="s">
        <v>197</v>
      </c>
      <c r="B24" s="5">
        <v>140.80000000000001</v>
      </c>
      <c r="D24" t="s">
        <v>34</v>
      </c>
      <c r="K24" t="s">
        <v>276</v>
      </c>
    </row>
    <row r="25" spans="1:14" x14ac:dyDescent="0.35">
      <c r="A25" s="5" t="s">
        <v>198</v>
      </c>
      <c r="B25" s="5">
        <v>140.80000000000001</v>
      </c>
      <c r="D25" s="8" t="s">
        <v>49</v>
      </c>
      <c r="E25" s="8" t="s">
        <v>51</v>
      </c>
      <c r="F25" s="8" t="s">
        <v>52</v>
      </c>
      <c r="G25" s="8" t="s">
        <v>53</v>
      </c>
      <c r="H25" s="8" t="s">
        <v>20</v>
      </c>
      <c r="I25" s="8" t="s">
        <v>21</v>
      </c>
      <c r="J25" s="8" t="s">
        <v>23</v>
      </c>
      <c r="K25" s="8" t="s">
        <v>24</v>
      </c>
      <c r="L25" s="8" t="s">
        <v>26</v>
      </c>
      <c r="M25" s="8" t="s">
        <v>28</v>
      </c>
    </row>
    <row r="26" spans="1:14" x14ac:dyDescent="0.35">
      <c r="A26" s="5" t="s">
        <v>199</v>
      </c>
      <c r="B26" s="5">
        <v>140.1</v>
      </c>
      <c r="C26" s="66"/>
      <c r="D26" s="32" t="s">
        <v>84</v>
      </c>
      <c r="E26" s="5">
        <f t="shared" ref="E26:M26" si="3">SUMIFS(April2021,Category,E$25,SECTOR,$D$24)</f>
        <v>2064.1</v>
      </c>
      <c r="F26" s="5">
        <f t="shared" si="3"/>
        <v>497.4</v>
      </c>
      <c r="G26" s="5">
        <f t="shared" si="3"/>
        <v>464.6</v>
      </c>
      <c r="H26" s="5">
        <f t="shared" si="3"/>
        <v>313.20000000000005</v>
      </c>
      <c r="I26" s="5">
        <f t="shared" si="3"/>
        <v>155.6</v>
      </c>
      <c r="J26" s="5">
        <f t="shared" si="3"/>
        <v>162.30000000000001</v>
      </c>
      <c r="K26" s="5">
        <f t="shared" si="3"/>
        <v>146.6</v>
      </c>
      <c r="L26" s="5">
        <f t="shared" si="3"/>
        <v>160.30000000000001</v>
      </c>
      <c r="M26" s="5">
        <f t="shared" si="3"/>
        <v>154.4</v>
      </c>
      <c r="N26" s="5"/>
    </row>
    <row r="27" spans="1:14" x14ac:dyDescent="0.35">
      <c r="A27" s="5" t="s">
        <v>200</v>
      </c>
      <c r="B27" s="5">
        <v>139.6</v>
      </c>
      <c r="C27" s="66"/>
      <c r="D27" s="5" t="s">
        <v>85</v>
      </c>
      <c r="E27" s="5">
        <f t="shared" ref="E27:M27" si="4">SUMIFS(Maymonth21,Category,E$25,SECTOR,$D$24)</f>
        <v>2105.7000000000003</v>
      </c>
      <c r="F27" s="5">
        <f t="shared" si="4"/>
        <v>506.30000000000007</v>
      </c>
      <c r="G27" s="5">
        <f t="shared" si="4"/>
        <v>474.29999999999995</v>
      </c>
      <c r="H27" s="5">
        <f t="shared" si="4"/>
        <v>316.29999999999995</v>
      </c>
      <c r="I27" s="5">
        <f t="shared" si="4"/>
        <v>159.4</v>
      </c>
      <c r="J27" s="5">
        <f t="shared" si="4"/>
        <v>165.8</v>
      </c>
      <c r="K27" s="5">
        <f t="shared" si="4"/>
        <v>148.9</v>
      </c>
      <c r="L27" s="5">
        <f t="shared" si="4"/>
        <v>161.19999999999999</v>
      </c>
      <c r="M27" s="5">
        <f t="shared" si="4"/>
        <v>156.80000000000001</v>
      </c>
    </row>
    <row r="28" spans="1:14" x14ac:dyDescent="0.35">
      <c r="A28" s="5" t="s">
        <v>201</v>
      </c>
      <c r="B28" s="5">
        <v>139.9</v>
      </c>
      <c r="C28" s="66"/>
      <c r="D28" s="5" t="s">
        <v>86</v>
      </c>
      <c r="E28" s="5">
        <f t="shared" ref="E28:M28" si="5">SUMIFS(June2021,Category,E$25,SECTOR,$D$24)</f>
        <v>2133.9</v>
      </c>
      <c r="F28" s="5">
        <f t="shared" si="5"/>
        <v>504.50000000000006</v>
      </c>
      <c r="G28" s="5">
        <f t="shared" si="5"/>
        <v>474.7</v>
      </c>
      <c r="H28" s="5">
        <f t="shared" si="5"/>
        <v>315.3</v>
      </c>
      <c r="I28" s="5">
        <f t="shared" si="5"/>
        <v>159.80000000000001</v>
      </c>
      <c r="J28" s="5">
        <f t="shared" si="5"/>
        <v>166.3</v>
      </c>
      <c r="K28" s="5">
        <f t="shared" si="5"/>
        <v>150.69999999999999</v>
      </c>
      <c r="L28" s="5">
        <f t="shared" si="5"/>
        <v>161.69999999999999</v>
      </c>
      <c r="M28" s="5">
        <f t="shared" si="5"/>
        <v>157.6</v>
      </c>
    </row>
    <row r="29" spans="1:14" x14ac:dyDescent="0.35">
      <c r="A29" s="5" t="s">
        <v>118</v>
      </c>
      <c r="B29" s="5">
        <v>140.4</v>
      </c>
      <c r="C29" s="67"/>
      <c r="D29" s="32" t="s">
        <v>87</v>
      </c>
      <c r="E29" s="5">
        <f t="shared" ref="E29:M29" si="6">SUMIFS(July2021,Category,E$25,SECTOR,$D$24)</f>
        <v>2147</v>
      </c>
      <c r="F29" s="5">
        <f t="shared" si="6"/>
        <v>506.6</v>
      </c>
      <c r="G29" s="5">
        <f t="shared" si="6"/>
        <v>477.29999999999995</v>
      </c>
      <c r="H29" s="5">
        <f t="shared" si="6"/>
        <v>317.3</v>
      </c>
      <c r="I29" s="5">
        <f t="shared" si="6"/>
        <v>160.69999999999999</v>
      </c>
      <c r="J29" s="5">
        <f t="shared" si="6"/>
        <v>167</v>
      </c>
      <c r="K29" s="5">
        <f t="shared" si="6"/>
        <v>153.1</v>
      </c>
      <c r="L29" s="5">
        <f t="shared" si="6"/>
        <v>163.19999999999999</v>
      </c>
      <c r="M29" s="5">
        <f t="shared" si="6"/>
        <v>159</v>
      </c>
    </row>
    <row r="30" spans="1:14" x14ac:dyDescent="0.35">
      <c r="A30" s="5" t="s">
        <v>111</v>
      </c>
      <c r="B30" s="5">
        <v>141.30000000000001</v>
      </c>
      <c r="C30" s="66"/>
      <c r="D30" s="5" t="s">
        <v>88</v>
      </c>
      <c r="E30" s="5">
        <f t="shared" ref="E30:M30" si="7">SUMIFS(August2021,Category,E$25,SECTOR,$D$24)</f>
        <v>2142</v>
      </c>
      <c r="F30" s="5">
        <f t="shared" si="7"/>
        <v>509.7</v>
      </c>
      <c r="G30" s="5">
        <f t="shared" si="7"/>
        <v>483</v>
      </c>
      <c r="H30" s="5">
        <f t="shared" si="7"/>
        <v>319.60000000000002</v>
      </c>
      <c r="I30" s="5">
        <f t="shared" si="7"/>
        <v>162.6</v>
      </c>
      <c r="J30" s="5">
        <f t="shared" si="7"/>
        <v>168.4</v>
      </c>
      <c r="K30" s="5">
        <f t="shared" si="7"/>
        <v>154</v>
      </c>
      <c r="L30" s="5">
        <f t="shared" si="7"/>
        <v>163.80000000000001</v>
      </c>
      <c r="M30" s="5">
        <f t="shared" si="7"/>
        <v>160</v>
      </c>
    </row>
    <row r="31" spans="1:14" x14ac:dyDescent="0.35">
      <c r="A31" s="5" t="s">
        <v>117</v>
      </c>
      <c r="B31" s="5">
        <v>142</v>
      </c>
      <c r="C31" s="66"/>
      <c r="D31" s="5" t="s">
        <v>89</v>
      </c>
      <c r="E31" s="5">
        <f t="shared" ref="E31:M31" si="8">SUMIFS(Sept2021,Category,E$25,SECTOR,$D$24)</f>
        <v>2142</v>
      </c>
      <c r="F31" s="5">
        <f t="shared" si="8"/>
        <v>509.79999999999995</v>
      </c>
      <c r="G31" s="5">
        <f t="shared" si="8"/>
        <v>483.2</v>
      </c>
      <c r="H31" s="5">
        <f t="shared" si="8"/>
        <v>319.60000000000002</v>
      </c>
      <c r="I31" s="5">
        <f t="shared" si="8"/>
        <v>162.6</v>
      </c>
      <c r="J31" s="5">
        <f t="shared" si="8"/>
        <v>168.4</v>
      </c>
      <c r="K31" s="5">
        <f t="shared" si="8"/>
        <v>154</v>
      </c>
      <c r="L31" s="5">
        <f t="shared" si="8"/>
        <v>163.69999999999999</v>
      </c>
      <c r="M31" s="5">
        <f t="shared" si="8"/>
        <v>160</v>
      </c>
    </row>
    <row r="32" spans="1:14" x14ac:dyDescent="0.35">
      <c r="A32" s="5" t="s">
        <v>119</v>
      </c>
      <c r="B32" s="5">
        <v>142.9</v>
      </c>
      <c r="C32" s="66"/>
      <c r="D32" s="5" t="s">
        <v>90</v>
      </c>
      <c r="E32" s="5">
        <f t="shared" ref="E32:M32" si="9">SUMIFS(October2021,Category,E$25,SECTOR,$D$24)</f>
        <v>2175.5</v>
      </c>
      <c r="F32" s="5">
        <f t="shared" si="9"/>
        <v>512.09999999999991</v>
      </c>
      <c r="G32" s="5">
        <f t="shared" si="9"/>
        <v>486.3</v>
      </c>
      <c r="H32" s="5">
        <f t="shared" si="9"/>
        <v>322</v>
      </c>
      <c r="I32" s="5">
        <f t="shared" si="9"/>
        <v>164.2</v>
      </c>
      <c r="J32" s="5">
        <f t="shared" si="9"/>
        <v>169.1</v>
      </c>
      <c r="K32" s="5">
        <f t="shared" si="9"/>
        <v>155.69999999999999</v>
      </c>
      <c r="L32" s="5">
        <f t="shared" si="9"/>
        <v>163.9</v>
      </c>
      <c r="M32" s="5">
        <f t="shared" si="9"/>
        <v>161</v>
      </c>
    </row>
    <row r="33" spans="1:13" x14ac:dyDescent="0.35">
      <c r="A33" s="5" t="s">
        <v>120</v>
      </c>
      <c r="B33" s="5">
        <v>144.19999999999999</v>
      </c>
      <c r="C33" s="66"/>
      <c r="D33" s="5" t="s">
        <v>91</v>
      </c>
      <c r="E33" s="5">
        <f t="shared" ref="E33:M33" si="10">SUMIFS(November2021,Category,E$25,SECTOR,$D$24)</f>
        <v>2194.1</v>
      </c>
      <c r="F33" s="5">
        <f t="shared" si="10"/>
        <v>514.90000000000009</v>
      </c>
      <c r="G33" s="5">
        <f t="shared" si="10"/>
        <v>490.40000000000003</v>
      </c>
      <c r="H33" s="5">
        <f t="shared" si="10"/>
        <v>323.5</v>
      </c>
      <c r="I33" s="5">
        <f t="shared" si="10"/>
        <v>163.9</v>
      </c>
      <c r="J33" s="5">
        <f t="shared" si="10"/>
        <v>169.9</v>
      </c>
      <c r="K33" s="5">
        <f t="shared" si="10"/>
        <v>154.80000000000001</v>
      </c>
      <c r="L33" s="5">
        <f t="shared" si="10"/>
        <v>164.3</v>
      </c>
      <c r="M33" s="5">
        <f t="shared" si="10"/>
        <v>161.4</v>
      </c>
    </row>
    <row r="34" spans="1:13" x14ac:dyDescent="0.35">
      <c r="A34" s="5" t="s">
        <v>121</v>
      </c>
      <c r="B34" s="5">
        <v>145</v>
      </c>
      <c r="C34" s="66"/>
      <c r="D34" s="5" t="s">
        <v>92</v>
      </c>
      <c r="E34" s="5">
        <f t="shared" ref="E34:M34" si="11">SUMIFS(December2021,Category,E$25,SECTOR,$D$24)</f>
        <v>2180.9</v>
      </c>
      <c r="F34" s="5">
        <f t="shared" si="11"/>
        <v>515.6</v>
      </c>
      <c r="G34" s="5">
        <f t="shared" si="11"/>
        <v>494.2</v>
      </c>
      <c r="H34" s="5">
        <f t="shared" si="11"/>
        <v>323.60000000000002</v>
      </c>
      <c r="I34" s="5">
        <f t="shared" si="11"/>
        <v>164.1</v>
      </c>
      <c r="J34" s="5">
        <f t="shared" si="11"/>
        <v>170.6</v>
      </c>
      <c r="K34" s="5">
        <f t="shared" si="11"/>
        <v>155.69999999999999</v>
      </c>
      <c r="L34" s="5">
        <f t="shared" si="11"/>
        <v>164.4</v>
      </c>
      <c r="M34" s="5">
        <f t="shared" si="11"/>
        <v>162</v>
      </c>
    </row>
    <row r="35" spans="1:13" x14ac:dyDescent="0.35">
      <c r="A35" s="5" t="s">
        <v>122</v>
      </c>
      <c r="B35" s="5">
        <v>145.80000000000001</v>
      </c>
      <c r="C35" s="66"/>
      <c r="D35" s="5" t="s">
        <v>93</v>
      </c>
      <c r="E35" s="5">
        <f t="shared" ref="E35:M35" si="12">SUMIFS(January2022,Category,E$25,SECTOR,$D$24)</f>
        <v>2164.1999999999998</v>
      </c>
      <c r="F35" s="5">
        <f t="shared" si="12"/>
        <v>516.4</v>
      </c>
      <c r="G35" s="5">
        <f t="shared" si="12"/>
        <v>499.1</v>
      </c>
      <c r="H35" s="5">
        <f t="shared" si="12"/>
        <v>325.60000000000002</v>
      </c>
      <c r="I35" s="5">
        <f t="shared" si="12"/>
        <v>164.2</v>
      </c>
      <c r="J35" s="5">
        <f t="shared" si="12"/>
        <v>171.4</v>
      </c>
      <c r="K35" s="5">
        <f t="shared" si="12"/>
        <v>156.5</v>
      </c>
      <c r="L35" s="5">
        <f t="shared" si="12"/>
        <v>164.7</v>
      </c>
      <c r="M35" s="5">
        <f t="shared" si="12"/>
        <v>162.69999999999999</v>
      </c>
    </row>
    <row r="36" spans="1:13" x14ac:dyDescent="0.35">
      <c r="A36" s="5" t="s">
        <v>123</v>
      </c>
      <c r="B36" s="5">
        <v>147.19999999999999</v>
      </c>
      <c r="C36" s="66"/>
      <c r="D36" s="5" t="s">
        <v>94</v>
      </c>
      <c r="E36" s="5">
        <f t="shared" ref="E36:M36" si="13">SUMIFS(February2022,Category,E$25,SECTOR,$D$24)</f>
        <v>2161.2000000000003</v>
      </c>
      <c r="F36" s="5">
        <f t="shared" si="13"/>
        <v>519.29999999999995</v>
      </c>
      <c r="G36" s="5">
        <f t="shared" si="13"/>
        <v>502.80000000000007</v>
      </c>
      <c r="H36" s="5">
        <f t="shared" si="13"/>
        <v>327.3</v>
      </c>
      <c r="I36" s="5">
        <f t="shared" si="13"/>
        <v>165.7</v>
      </c>
      <c r="J36" s="5">
        <f t="shared" si="13"/>
        <v>172.2</v>
      </c>
      <c r="K36" s="5">
        <f t="shared" si="13"/>
        <v>156.9</v>
      </c>
      <c r="L36" s="5">
        <f t="shared" si="13"/>
        <v>165.4</v>
      </c>
      <c r="M36" s="5">
        <f t="shared" si="13"/>
        <v>163.5</v>
      </c>
    </row>
    <row r="37" spans="1:13" x14ac:dyDescent="0.35">
      <c r="A37" s="5" t="s">
        <v>116</v>
      </c>
      <c r="B37" s="5">
        <v>148.6</v>
      </c>
      <c r="C37" s="66"/>
      <c r="D37" s="5" t="s">
        <v>95</v>
      </c>
      <c r="E37" s="5">
        <f t="shared" ref="E37:M37" si="14">SUMIFS(March22,Category,E$25,SECTOR,$D$24)</f>
        <v>2184.2000000000003</v>
      </c>
      <c r="F37" s="5">
        <f t="shared" si="14"/>
        <v>524.20000000000005</v>
      </c>
      <c r="G37" s="5">
        <f t="shared" si="14"/>
        <v>507.79999999999995</v>
      </c>
      <c r="H37" s="5">
        <f t="shared" si="14"/>
        <v>328.1</v>
      </c>
      <c r="I37" s="5">
        <f t="shared" si="14"/>
        <v>167.2</v>
      </c>
      <c r="J37" s="5">
        <f t="shared" si="14"/>
        <v>173</v>
      </c>
      <c r="K37" s="5">
        <f t="shared" si="14"/>
        <v>157.9</v>
      </c>
      <c r="L37" s="5">
        <f t="shared" si="14"/>
        <v>166</v>
      </c>
      <c r="M37" s="5">
        <f t="shared" si="14"/>
        <v>164.6</v>
      </c>
    </row>
    <row r="38" spans="1:13" x14ac:dyDescent="0.35">
      <c r="A38" s="5" t="s">
        <v>113</v>
      </c>
      <c r="B38" s="5">
        <v>150.4</v>
      </c>
      <c r="D38" s="5" t="s">
        <v>277</v>
      </c>
      <c r="E38" s="6">
        <f>(E37-E26)/E26</f>
        <v>5.8185165447410675E-2</v>
      </c>
      <c r="F38" s="6">
        <f t="shared" ref="F38:M38" si="15">(F37-F26)/F26</f>
        <v>5.3880176919984056E-2</v>
      </c>
      <c r="G38" s="6">
        <f t="shared" si="15"/>
        <v>9.2983211364614571E-2</v>
      </c>
      <c r="H38" s="6">
        <f t="shared" si="15"/>
        <v>4.7573435504469908E-2</v>
      </c>
      <c r="I38" s="6">
        <f t="shared" si="15"/>
        <v>7.455012853470433E-2</v>
      </c>
      <c r="J38" s="6">
        <f t="shared" si="15"/>
        <v>6.5927295132470656E-2</v>
      </c>
      <c r="K38" s="6">
        <f t="shared" si="15"/>
        <v>7.7080491132332965E-2</v>
      </c>
      <c r="L38" s="6">
        <f t="shared" si="15"/>
        <v>3.5558328134747276E-2</v>
      </c>
      <c r="M38" s="6">
        <f t="shared" si="15"/>
        <v>6.6062176165803038E-2</v>
      </c>
    </row>
    <row r="39" spans="1:13" x14ac:dyDescent="0.35">
      <c r="A39" s="5" t="s">
        <v>114</v>
      </c>
      <c r="B39" s="5">
        <v>150.19999999999999</v>
      </c>
      <c r="E39" s="7"/>
    </row>
    <row r="40" spans="1:13" x14ac:dyDescent="0.35">
      <c r="A40" s="5" t="s">
        <v>115</v>
      </c>
      <c r="B40" s="5">
        <v>149.1</v>
      </c>
    </row>
    <row r="41" spans="1:13" x14ac:dyDescent="0.35">
      <c r="A41" s="5" t="s">
        <v>112</v>
      </c>
      <c r="B41" s="5">
        <v>148.6</v>
      </c>
      <c r="E41" s="5"/>
      <c r="F41" s="5" t="s">
        <v>277</v>
      </c>
    </row>
    <row r="42" spans="1:13" x14ac:dyDescent="0.35">
      <c r="A42" s="5" t="s">
        <v>72</v>
      </c>
      <c r="B42" s="5">
        <v>148.6</v>
      </c>
      <c r="E42" s="5" t="s">
        <v>53</v>
      </c>
      <c r="F42" s="6">
        <v>9.2983211364614571E-2</v>
      </c>
    </row>
    <row r="43" spans="1:13" x14ac:dyDescent="0.35">
      <c r="A43" s="5" t="s">
        <v>73</v>
      </c>
      <c r="B43" s="5">
        <v>150.19999999999999</v>
      </c>
      <c r="E43" s="5" t="s">
        <v>24</v>
      </c>
      <c r="F43" s="6">
        <v>7.7080491132332965E-2</v>
      </c>
    </row>
    <row r="44" spans="1:13" x14ac:dyDescent="0.35">
      <c r="A44" s="5" t="s">
        <v>74</v>
      </c>
      <c r="B44" s="5">
        <v>151.80000000000001</v>
      </c>
      <c r="E44" s="5" t="s">
        <v>21</v>
      </c>
      <c r="F44" s="6">
        <v>7.455012853470433E-2</v>
      </c>
    </row>
    <row r="45" spans="1:13" x14ac:dyDescent="0.35">
      <c r="A45" s="5" t="s">
        <v>75</v>
      </c>
      <c r="B45" s="5">
        <v>151.80000000000001</v>
      </c>
      <c r="E45" s="5" t="s">
        <v>28</v>
      </c>
      <c r="F45" s="6">
        <v>6.6062176165803038E-2</v>
      </c>
    </row>
    <row r="46" spans="1:13" x14ac:dyDescent="0.35">
      <c r="A46" s="5" t="s">
        <v>76</v>
      </c>
      <c r="B46" s="5">
        <v>153.9</v>
      </c>
      <c r="E46" s="5" t="s">
        <v>23</v>
      </c>
      <c r="F46" s="6">
        <v>6.5927295132470656E-2</v>
      </c>
    </row>
    <row r="47" spans="1:13" x14ac:dyDescent="0.35">
      <c r="A47" s="5" t="s">
        <v>77</v>
      </c>
      <c r="B47" s="5">
        <v>154.69999999999999</v>
      </c>
      <c r="E47" s="5" t="s">
        <v>51</v>
      </c>
      <c r="F47" s="6">
        <v>5.8185165447410675E-2</v>
      </c>
    </row>
    <row r="48" spans="1:13" x14ac:dyDescent="0.35">
      <c r="A48" s="5" t="s">
        <v>78</v>
      </c>
      <c r="B48" s="5">
        <v>156.4</v>
      </c>
      <c r="E48" s="5" t="s">
        <v>52</v>
      </c>
      <c r="F48" s="6">
        <v>5.3880176919984056E-2</v>
      </c>
    </row>
    <row r="49" spans="1:8" x14ac:dyDescent="0.35">
      <c r="A49" s="5" t="s">
        <v>79</v>
      </c>
      <c r="B49" s="5">
        <v>158.4</v>
      </c>
      <c r="E49" s="5" t="s">
        <v>20</v>
      </c>
      <c r="F49" s="6">
        <v>4.7573435504469908E-2</v>
      </c>
    </row>
    <row r="50" spans="1:8" x14ac:dyDescent="0.35">
      <c r="A50" s="5" t="s">
        <v>80</v>
      </c>
      <c r="B50" s="5">
        <v>158.9</v>
      </c>
      <c r="E50" s="5" t="s">
        <v>26</v>
      </c>
      <c r="F50" s="6">
        <v>3.5558328134747276E-2</v>
      </c>
    </row>
    <row r="51" spans="1:8" x14ac:dyDescent="0.35">
      <c r="A51" s="5" t="s">
        <v>81</v>
      </c>
      <c r="B51" s="5">
        <v>157.30000000000001</v>
      </c>
    </row>
    <row r="52" spans="1:8" x14ac:dyDescent="0.35">
      <c r="A52" s="5" t="s">
        <v>82</v>
      </c>
      <c r="B52" s="5">
        <v>156.6</v>
      </c>
    </row>
    <row r="53" spans="1:8" x14ac:dyDescent="0.35">
      <c r="A53" s="5" t="s">
        <v>83</v>
      </c>
      <c r="B53" s="5">
        <v>156.80000000000001</v>
      </c>
    </row>
    <row r="54" spans="1:8" x14ac:dyDescent="0.35">
      <c r="A54" s="5" t="s">
        <v>84</v>
      </c>
      <c r="B54" s="5">
        <v>157.80000000000001</v>
      </c>
    </row>
    <row r="55" spans="1:8" x14ac:dyDescent="0.35">
      <c r="A55" s="5" t="s">
        <v>85</v>
      </c>
      <c r="B55" s="5">
        <v>160.4</v>
      </c>
      <c r="H55" s="70" t="s">
        <v>213</v>
      </c>
    </row>
    <row r="56" spans="1:8" x14ac:dyDescent="0.35">
      <c r="A56" s="5" t="s">
        <v>86</v>
      </c>
      <c r="B56" s="5">
        <v>161.30000000000001</v>
      </c>
      <c r="H56" t="s">
        <v>278</v>
      </c>
    </row>
    <row r="57" spans="1:8" x14ac:dyDescent="0.35">
      <c r="A57" s="5" t="s">
        <v>87</v>
      </c>
      <c r="B57" s="5">
        <v>162.5</v>
      </c>
      <c r="H57" s="70" t="s">
        <v>214</v>
      </c>
    </row>
    <row r="58" spans="1:8" x14ac:dyDescent="0.35">
      <c r="A58" s="5" t="s">
        <v>88</v>
      </c>
      <c r="B58" s="5">
        <v>163.19999999999999</v>
      </c>
      <c r="H58" t="s">
        <v>215</v>
      </c>
    </row>
    <row r="59" spans="1:8" x14ac:dyDescent="0.35">
      <c r="A59" s="5" t="s">
        <v>89</v>
      </c>
      <c r="B59" s="5">
        <v>163.19999999999999</v>
      </c>
      <c r="H59" t="s">
        <v>283</v>
      </c>
    </row>
    <row r="60" spans="1:8" x14ac:dyDescent="0.35">
      <c r="A60" s="5" t="s">
        <v>90</v>
      </c>
      <c r="B60" s="5">
        <v>165.5</v>
      </c>
    </row>
    <row r="61" spans="1:8" x14ac:dyDescent="0.35">
      <c r="A61" s="5" t="s">
        <v>91</v>
      </c>
      <c r="B61" s="5">
        <v>166.7</v>
      </c>
    </row>
    <row r="62" spans="1:8" x14ac:dyDescent="0.35">
      <c r="A62" s="5" t="s">
        <v>92</v>
      </c>
      <c r="B62" s="5">
        <v>166.2</v>
      </c>
    </row>
    <row r="63" spans="1:8" x14ac:dyDescent="0.35">
      <c r="A63" s="5" t="s">
        <v>93</v>
      </c>
      <c r="B63" s="5">
        <v>165.7</v>
      </c>
    </row>
    <row r="64" spans="1:8" x14ac:dyDescent="0.35">
      <c r="A64" s="5" t="s">
        <v>94</v>
      </c>
      <c r="B64" s="5">
        <v>166.1</v>
      </c>
    </row>
    <row r="65" spans="1:2" x14ac:dyDescent="0.35">
      <c r="A65" s="5" t="s">
        <v>95</v>
      </c>
      <c r="B65" s="5">
        <v>167.7</v>
      </c>
    </row>
    <row r="66" spans="1:2" x14ac:dyDescent="0.35">
      <c r="A66" s="5" t="s">
        <v>96</v>
      </c>
      <c r="B66" s="5">
        <v>170.1</v>
      </c>
    </row>
    <row r="67" spans="1:2" x14ac:dyDescent="0.35">
      <c r="A67" s="5" t="s">
        <v>97</v>
      </c>
      <c r="B67" s="5">
        <v>171.7</v>
      </c>
    </row>
    <row r="68" spans="1:2" x14ac:dyDescent="0.35">
      <c r="A68" s="5" t="s">
        <v>55</v>
      </c>
      <c r="B68" s="5">
        <v>172.6</v>
      </c>
    </row>
    <row r="69" spans="1:2" x14ac:dyDescent="0.35">
      <c r="A69" s="5" t="s">
        <v>56</v>
      </c>
      <c r="B69" s="5">
        <v>173.4</v>
      </c>
    </row>
    <row r="70" spans="1:2" x14ac:dyDescent="0.35">
      <c r="A70" s="5" t="s">
        <v>57</v>
      </c>
      <c r="B70" s="5">
        <v>174.3</v>
      </c>
    </row>
    <row r="71" spans="1:2" x14ac:dyDescent="0.35">
      <c r="A71" s="5" t="s">
        <v>58</v>
      </c>
      <c r="B71" s="5">
        <v>175.3</v>
      </c>
    </row>
    <row r="72" spans="1:2" x14ac:dyDescent="0.35">
      <c r="A72" s="5" t="s">
        <v>59</v>
      </c>
      <c r="B72" s="5">
        <v>176.7</v>
      </c>
    </row>
    <row r="73" spans="1:2" x14ac:dyDescent="0.35">
      <c r="A73" s="5" t="s">
        <v>60</v>
      </c>
      <c r="B73" s="5">
        <v>176.5</v>
      </c>
    </row>
    <row r="74" spans="1:2" x14ac:dyDescent="0.35">
      <c r="A74" s="5" t="s">
        <v>61</v>
      </c>
      <c r="B74" s="5">
        <v>175.7</v>
      </c>
    </row>
    <row r="75" spans="1:2" x14ac:dyDescent="0.35">
      <c r="A75" s="5" t="s">
        <v>62</v>
      </c>
      <c r="B75" s="5">
        <v>176.5</v>
      </c>
    </row>
    <row r="76" spans="1:2" x14ac:dyDescent="0.35">
      <c r="A76" s="5" t="s">
        <v>63</v>
      </c>
      <c r="B76" s="5">
        <v>177.2</v>
      </c>
    </row>
    <row r="77" spans="1:2" x14ac:dyDescent="0.35">
      <c r="A77" s="5" t="s">
        <v>64</v>
      </c>
      <c r="B77" s="5">
        <v>177.2</v>
      </c>
    </row>
    <row r="78" spans="1:2" x14ac:dyDescent="0.35">
      <c r="A78" s="5" t="s">
        <v>65</v>
      </c>
      <c r="B78" s="5">
        <v>178.1</v>
      </c>
    </row>
    <row r="79" spans="1:2" x14ac:dyDescent="0.35">
      <c r="A79" s="5" t="s">
        <v>66</v>
      </c>
      <c r="B79" s="5">
        <v>179.1</v>
      </c>
    </row>
  </sheetData>
  <sortState xmlns:xlrd2="http://schemas.microsoft.com/office/spreadsheetml/2017/richdata2" ref="E42:F50">
    <sortCondition descending="1" ref="F42:F50"/>
  </sortState>
  <conditionalFormatting sqref="F42:F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8788-36A8-45A4-9CE4-3E65C162C260}">
  <dimension ref="A2:AJ64"/>
  <sheetViews>
    <sheetView showGridLines="0" topLeftCell="F23" zoomScale="87" zoomScaleNormal="100" workbookViewId="0">
      <selection activeCell="E7" sqref="E7"/>
    </sheetView>
  </sheetViews>
  <sheetFormatPr defaultRowHeight="14.5" x14ac:dyDescent="0.35"/>
  <cols>
    <col min="1" max="1" width="14.6328125" bestFit="1" customWidth="1"/>
    <col min="2" max="2" width="30.7265625" bestFit="1" customWidth="1"/>
    <col min="3" max="3" width="9.26953125" bestFit="1" customWidth="1"/>
    <col min="4" max="4" width="9.08984375" bestFit="1" customWidth="1"/>
    <col min="5" max="5" width="14.6328125" bestFit="1" customWidth="1"/>
    <col min="6" max="6" width="9.26953125" bestFit="1" customWidth="1"/>
    <col min="7" max="7" width="9.08984375" bestFit="1" customWidth="1"/>
    <col min="8" max="8" width="14.6328125" bestFit="1" customWidth="1"/>
    <col min="9" max="9" width="16.90625" customWidth="1"/>
    <col min="10" max="10" width="9.7265625" customWidth="1"/>
    <col min="11" max="11" width="14.6328125" bestFit="1" customWidth="1"/>
    <col min="13" max="13" width="13.90625" customWidth="1"/>
    <col min="14" max="14" width="17.7265625" bestFit="1" customWidth="1"/>
    <col min="15" max="15" width="10.90625" customWidth="1"/>
    <col min="17" max="17" width="14.6328125" bestFit="1" customWidth="1"/>
    <col min="19" max="19" width="10.7265625" customWidth="1"/>
    <col min="20" max="20" width="14.6328125" bestFit="1" customWidth="1"/>
    <col min="21" max="21" width="16.26953125" bestFit="1" customWidth="1"/>
    <col min="22" max="22" width="25.90625" bestFit="1" customWidth="1"/>
    <col min="29" max="29" width="10.6328125" bestFit="1" customWidth="1"/>
  </cols>
  <sheetData>
    <row r="2" spans="1:34" ht="21" x14ac:dyDescent="0.5">
      <c r="J2" s="24"/>
      <c r="U2" s="94" t="s">
        <v>216</v>
      </c>
      <c r="V2" s="94"/>
      <c r="W2" s="94"/>
      <c r="X2" s="94"/>
      <c r="Y2" s="94"/>
      <c r="AA2" s="94" t="s">
        <v>216</v>
      </c>
      <c r="AB2" s="94"/>
      <c r="AC2" s="94"/>
      <c r="AD2" s="94"/>
      <c r="AE2" s="94"/>
      <c r="AF2" s="94"/>
      <c r="AG2" s="94"/>
      <c r="AH2" s="94"/>
    </row>
    <row r="3" spans="1:34" x14ac:dyDescent="0.35">
      <c r="B3" s="5"/>
    </row>
    <row r="4" spans="1:34" x14ac:dyDescent="0.35">
      <c r="I4" s="19" t="s">
        <v>30</v>
      </c>
      <c r="M4" s="19" t="s">
        <v>33</v>
      </c>
      <c r="Q4" s="19" t="s">
        <v>34</v>
      </c>
    </row>
    <row r="5" spans="1:34" x14ac:dyDescent="0.35">
      <c r="A5" s="16" t="s">
        <v>70</v>
      </c>
      <c r="B5" s="16" t="s">
        <v>30</v>
      </c>
      <c r="C5" s="16" t="s">
        <v>33</v>
      </c>
      <c r="D5" s="16" t="s">
        <v>34</v>
      </c>
      <c r="E5" s="16" t="s">
        <v>100</v>
      </c>
      <c r="F5" s="16" t="s">
        <v>101</v>
      </c>
      <c r="G5" s="16" t="s">
        <v>102</v>
      </c>
      <c r="I5" s="16" t="s">
        <v>70</v>
      </c>
      <c r="J5" s="16" t="s">
        <v>208</v>
      </c>
      <c r="K5" s="16" t="s">
        <v>143</v>
      </c>
      <c r="M5" s="16" t="s">
        <v>70</v>
      </c>
      <c r="N5" s="16" t="s">
        <v>208</v>
      </c>
      <c r="O5" s="16" t="s">
        <v>143</v>
      </c>
      <c r="Q5" s="16" t="s">
        <v>70</v>
      </c>
      <c r="R5" s="16" t="s">
        <v>208</v>
      </c>
      <c r="S5" s="16" t="s">
        <v>143</v>
      </c>
      <c r="V5" s="19"/>
    </row>
    <row r="6" spans="1:34" x14ac:dyDescent="0.35">
      <c r="A6" s="17" t="s">
        <v>55</v>
      </c>
      <c r="B6" s="5">
        <f>SUMIFS(June22,Category,"Food",SECTOR,B$5)</f>
        <v>2248.3000000000002</v>
      </c>
      <c r="C6" s="5">
        <f>SUMIFS(June22,Category,"Food",SECTOR,C$5)</f>
        <v>2287.5</v>
      </c>
      <c r="D6" s="5">
        <f>SUMIFS(June22,Category,"Food",SECTOR,D$5)</f>
        <v>2261.9</v>
      </c>
      <c r="E6" s="5"/>
      <c r="F6" s="5"/>
      <c r="G6" s="5"/>
      <c r="I6" s="17" t="s">
        <v>56</v>
      </c>
      <c r="J6" s="5">
        <v>2252.5</v>
      </c>
      <c r="K6" s="14">
        <v>1.8680781034558635E-3</v>
      </c>
      <c r="M6" s="17" t="s">
        <v>56</v>
      </c>
      <c r="N6" s="5">
        <v>2291.6</v>
      </c>
      <c r="O6" s="14">
        <v>1.7923497267759165E-3</v>
      </c>
      <c r="Q6" s="17" t="s">
        <v>56</v>
      </c>
      <c r="R6" s="5">
        <v>2266.3000000000002</v>
      </c>
      <c r="S6" s="14">
        <v>1.9452672531942573E-3</v>
      </c>
    </row>
    <row r="7" spans="1:34" x14ac:dyDescent="0.35">
      <c r="A7" s="17" t="s">
        <v>56</v>
      </c>
      <c r="B7" s="5">
        <f>SUMIFS(July2022,Category,"Food",SECTOR,B$5)</f>
        <v>2252.5</v>
      </c>
      <c r="C7" s="5">
        <f>SUMIFS(July2022,Category,"Food",SECTOR,C$5)</f>
        <v>2291.6</v>
      </c>
      <c r="D7" s="5">
        <f>SUMIFS(July2022,Category,"Food",SECTOR,D$5)</f>
        <v>2266.3000000000002</v>
      </c>
      <c r="E7" s="14">
        <f>(B7-B6)/B6</f>
        <v>1.8680781034558635E-3</v>
      </c>
      <c r="F7" s="14">
        <f>(C7-C6)/C6</f>
        <v>1.7923497267759165E-3</v>
      </c>
      <c r="G7" s="14">
        <f>(D7-D6)/D6</f>
        <v>1.9452672531942573E-3</v>
      </c>
      <c r="I7" s="17" t="s">
        <v>57</v>
      </c>
      <c r="J7" s="5">
        <v>2255.7999999999997</v>
      </c>
      <c r="K7" s="14">
        <v>1.4650388457268489E-3</v>
      </c>
      <c r="M7" s="17" t="s">
        <v>57</v>
      </c>
      <c r="N7" s="5">
        <v>2293.6999999999998</v>
      </c>
      <c r="O7" s="14">
        <v>9.1639029499036005E-4</v>
      </c>
      <c r="Q7" s="17" t="s">
        <v>57</v>
      </c>
      <c r="R7" s="5">
        <v>2269.2000000000003</v>
      </c>
      <c r="S7" s="14">
        <v>1.279618761858576E-3</v>
      </c>
    </row>
    <row r="8" spans="1:34" x14ac:dyDescent="0.35">
      <c r="A8" s="17" t="s">
        <v>57</v>
      </c>
      <c r="B8" s="5">
        <f>SUMIFS(August22,Category,"Food",SECTOR,B$5)</f>
        <v>2255.7999999999997</v>
      </c>
      <c r="C8" s="5">
        <f>SUMIFS(August22,Category,"Food",SECTOR,C$5)</f>
        <v>2293.6999999999998</v>
      </c>
      <c r="D8" s="5">
        <f>SUMIFS(August22,Category,"Food",SECTOR,D$5)</f>
        <v>2269.2000000000003</v>
      </c>
      <c r="E8" s="14">
        <f t="shared" ref="E8:E17" si="0">(B8-B7)/B7</f>
        <v>1.4650388457268489E-3</v>
      </c>
      <c r="F8" s="14">
        <f t="shared" ref="F8:F17" si="1">(C8-C7)/C7</f>
        <v>9.1639029499036005E-4</v>
      </c>
      <c r="G8" s="14">
        <f t="shared" ref="G8:G17" si="2">(D8-D7)/D7</f>
        <v>1.279618761858576E-3</v>
      </c>
      <c r="I8" s="17" t="s">
        <v>58</v>
      </c>
      <c r="J8" s="5">
        <v>2267.8000000000002</v>
      </c>
      <c r="K8" s="14">
        <v>5.3196205337354627E-3</v>
      </c>
      <c r="M8" s="17" t="s">
        <v>58</v>
      </c>
      <c r="N8" s="5">
        <v>2306.4</v>
      </c>
      <c r="O8" s="14">
        <v>5.5369054366308902E-3</v>
      </c>
      <c r="Q8" s="17" t="s">
        <v>58</v>
      </c>
      <c r="R8" s="5">
        <v>2280.9</v>
      </c>
      <c r="S8" s="14">
        <v>5.1560021152828386E-3</v>
      </c>
    </row>
    <row r="9" spans="1:34" x14ac:dyDescent="0.35">
      <c r="A9" s="17" t="s">
        <v>58</v>
      </c>
      <c r="B9" s="5">
        <f>SUMIFS(Sept22,Category,"Food",SECTOR,B$5)</f>
        <v>2267.8000000000002</v>
      </c>
      <c r="C9" s="5">
        <f>SUMIFS(Sept22,Category,"Food",SECTOR,C$5)</f>
        <v>2306.4</v>
      </c>
      <c r="D9" s="5">
        <f>SUMIFS(Sept22,Category,"Food",SECTOR,D$5)</f>
        <v>2280.9</v>
      </c>
      <c r="E9" s="14">
        <f t="shared" si="0"/>
        <v>5.3196205337354627E-3</v>
      </c>
      <c r="F9" s="14">
        <f t="shared" si="1"/>
        <v>5.5369054366308902E-3</v>
      </c>
      <c r="G9" s="14">
        <f t="shared" si="2"/>
        <v>5.1560021152828386E-3</v>
      </c>
      <c r="I9" s="17" t="s">
        <v>59</v>
      </c>
      <c r="J9" s="5">
        <v>2284.5</v>
      </c>
      <c r="K9" s="14">
        <v>7.3639650762853063E-3</v>
      </c>
      <c r="M9" s="17" t="s">
        <v>59</v>
      </c>
      <c r="N9" s="5">
        <v>2287.5</v>
      </c>
      <c r="O9" s="14">
        <v>-8.1945889698231394E-3</v>
      </c>
      <c r="Q9" s="17" t="s">
        <v>59</v>
      </c>
      <c r="R9" s="5">
        <v>2261.9</v>
      </c>
      <c r="S9" s="14">
        <v>-8.3300451576132223E-3</v>
      </c>
    </row>
    <row r="10" spans="1:34" x14ac:dyDescent="0.35">
      <c r="A10" s="17" t="s">
        <v>59</v>
      </c>
      <c r="B10" s="5">
        <f>SUMIFS(October22,Category,"Food",SECTOR,B$5)</f>
        <v>2284.5</v>
      </c>
      <c r="C10" s="5">
        <f>SUMIFS(June22,Category,"Food",SECTOR,C$5)</f>
        <v>2287.5</v>
      </c>
      <c r="D10" s="5">
        <f>SUMIFS(June22,Category,"Food",SECTOR,D$5)</f>
        <v>2261.9</v>
      </c>
      <c r="E10" s="14">
        <f t="shared" si="0"/>
        <v>7.3639650762853063E-3</v>
      </c>
      <c r="F10" s="14">
        <f t="shared" si="1"/>
        <v>-8.1945889698231394E-3</v>
      </c>
      <c r="G10" s="14">
        <f t="shared" si="2"/>
        <v>-8.3300451576132223E-3</v>
      </c>
      <c r="I10" s="17" t="s">
        <v>60</v>
      </c>
      <c r="J10" s="5">
        <v>2287.6999999999998</v>
      </c>
      <c r="K10" s="14">
        <v>1.4007441453271255E-3</v>
      </c>
      <c r="M10" s="17" t="s">
        <v>60</v>
      </c>
      <c r="N10" s="5">
        <v>2314.4</v>
      </c>
      <c r="O10" s="14">
        <v>1.1759562841530095E-2</v>
      </c>
      <c r="Q10" s="17" t="s">
        <v>60</v>
      </c>
      <c r="R10" s="5">
        <v>2296.8000000000002</v>
      </c>
      <c r="S10" s="14">
        <v>1.5429506167381445E-2</v>
      </c>
    </row>
    <row r="11" spans="1:34" x14ac:dyDescent="0.35">
      <c r="A11" s="17" t="s">
        <v>60</v>
      </c>
      <c r="B11" s="5">
        <f>SUMIFS(November22,Category,"Food",SECTOR,B$5)</f>
        <v>2287.6999999999998</v>
      </c>
      <c r="C11" s="5">
        <f>SUMIFS(November22,Category,"Food",SECTOR,C$5)</f>
        <v>2314.4</v>
      </c>
      <c r="D11" s="5">
        <f>SUMIFS(November22,Category,"Food",SECTOR,D$5)</f>
        <v>2296.8000000000002</v>
      </c>
      <c r="E11" s="14">
        <f t="shared" si="0"/>
        <v>1.4007441453271255E-3</v>
      </c>
      <c r="F11" s="14">
        <f t="shared" si="1"/>
        <v>1.1759562841530095E-2</v>
      </c>
      <c r="G11" s="14">
        <f t="shared" si="2"/>
        <v>1.5429506167381445E-2</v>
      </c>
      <c r="I11" s="17" t="s">
        <v>61</v>
      </c>
      <c r="J11" s="5">
        <v>2277.1</v>
      </c>
      <c r="K11" s="14">
        <v>-4.6334746688813698E-3</v>
      </c>
      <c r="M11" s="17" t="s">
        <v>61</v>
      </c>
      <c r="N11" s="5">
        <v>2295.7999999999997</v>
      </c>
      <c r="O11" s="14">
        <v>-8.0366401659178899E-3</v>
      </c>
      <c r="Q11" s="17" t="s">
        <v>61</v>
      </c>
      <c r="R11" s="5">
        <v>2283.4</v>
      </c>
      <c r="S11" s="14">
        <v>-5.8342041100662182E-3</v>
      </c>
    </row>
    <row r="12" spans="1:34" x14ac:dyDescent="0.35">
      <c r="A12" s="17" t="s">
        <v>61</v>
      </c>
      <c r="B12" s="5">
        <f>SUMIFS(December22,Category,"Food",SECTOR,B$5)</f>
        <v>2277.1</v>
      </c>
      <c r="C12" s="5">
        <f>SUMIFS(December22,Category,"Food",SECTOR,C$5)</f>
        <v>2295.7999999999997</v>
      </c>
      <c r="D12" s="5">
        <f>SUMIFS(December22,Category,"Food",SECTOR,D$5)</f>
        <v>2283.4</v>
      </c>
      <c r="E12" s="14">
        <f t="shared" si="0"/>
        <v>-4.6334746688813698E-3</v>
      </c>
      <c r="F12" s="14">
        <f t="shared" si="1"/>
        <v>-8.0366401659178899E-3</v>
      </c>
      <c r="G12" s="14">
        <f t="shared" si="2"/>
        <v>-5.8342041100662182E-3</v>
      </c>
      <c r="I12" s="17" t="s">
        <v>62</v>
      </c>
      <c r="J12" s="5">
        <v>2283.2000000000003</v>
      </c>
      <c r="K12" s="14">
        <v>2.678845900487622E-3</v>
      </c>
      <c r="M12" s="17" t="s">
        <v>62</v>
      </c>
      <c r="N12" s="5">
        <v>2310.2000000000003</v>
      </c>
      <c r="O12" s="14">
        <v>6.2723233731163631E-3</v>
      </c>
      <c r="Q12" s="17" t="s">
        <v>62</v>
      </c>
      <c r="R12" s="5">
        <v>2292.6999999999998</v>
      </c>
      <c r="S12" s="14">
        <v>4.0728737847068961E-3</v>
      </c>
    </row>
    <row r="13" spans="1:34" x14ac:dyDescent="0.35">
      <c r="A13" s="17" t="s">
        <v>62</v>
      </c>
      <c r="B13" s="5">
        <f>SUMIFS(january23,Category,"Food",SECTOR,B$5)</f>
        <v>2283.2000000000003</v>
      </c>
      <c r="C13" s="5">
        <f>SUMIFS(january23,Category,"Food",SECTOR,C$5)</f>
        <v>2310.2000000000003</v>
      </c>
      <c r="D13" s="5">
        <f>SUMIFS(january23,Category,"Food",SECTOR,D$5)</f>
        <v>2292.6999999999998</v>
      </c>
      <c r="E13" s="14">
        <f t="shared" si="0"/>
        <v>2.678845900487622E-3</v>
      </c>
      <c r="F13" s="14">
        <f t="shared" si="1"/>
        <v>6.2723233731163631E-3</v>
      </c>
      <c r="G13" s="14">
        <f t="shared" si="2"/>
        <v>4.0728737847068961E-3</v>
      </c>
      <c r="I13" s="17" t="s">
        <v>63</v>
      </c>
      <c r="J13" s="5">
        <v>2265.6999999999998</v>
      </c>
      <c r="K13" s="14">
        <v>-7.6646811492643886E-3</v>
      </c>
      <c r="M13" s="17" t="s">
        <v>63</v>
      </c>
      <c r="N13" s="5">
        <v>2303.1999999999998</v>
      </c>
      <c r="O13" s="14">
        <v>-3.0300406891180217E-3</v>
      </c>
      <c r="Q13" s="17" t="s">
        <v>63</v>
      </c>
      <c r="R13" s="5">
        <v>2279.1</v>
      </c>
      <c r="S13" s="14">
        <v>-5.9318707201116193E-3</v>
      </c>
    </row>
    <row r="14" spans="1:34" x14ac:dyDescent="0.35">
      <c r="A14" s="17" t="s">
        <v>63</v>
      </c>
      <c r="B14" s="5">
        <f>SUMIFS(February23,Category,"Food",SECTOR,B$5)</f>
        <v>2265.6999999999998</v>
      </c>
      <c r="C14" s="5">
        <f>SUMIFS(February23,Category,"Food",SECTOR,C$5)</f>
        <v>2303.1999999999998</v>
      </c>
      <c r="D14" s="5">
        <f>SUMIFS(February23,Category,"Food",SECTOR,D$5)</f>
        <v>2279.1</v>
      </c>
      <c r="E14" s="14">
        <f t="shared" si="0"/>
        <v>-7.6646811492643886E-3</v>
      </c>
      <c r="F14" s="14">
        <f t="shared" si="1"/>
        <v>-3.0300406891180217E-3</v>
      </c>
      <c r="G14" s="14">
        <f t="shared" si="2"/>
        <v>-5.9318707201116193E-3</v>
      </c>
      <c r="I14" s="17" t="s">
        <v>64</v>
      </c>
      <c r="J14" s="5">
        <v>2265.8000000000002</v>
      </c>
      <c r="K14" s="14">
        <v>4.4136469965292762E-5</v>
      </c>
      <c r="M14" s="17" t="s">
        <v>64</v>
      </c>
      <c r="N14" s="5">
        <v>2303.4</v>
      </c>
      <c r="O14" s="14">
        <v>8.6835706842772171E-5</v>
      </c>
      <c r="Q14" s="17" t="s">
        <v>64</v>
      </c>
      <c r="R14" s="5">
        <v>2279.1999999999998</v>
      </c>
      <c r="S14" s="14">
        <v>4.3876968978943027E-5</v>
      </c>
    </row>
    <row r="15" spans="1:34" x14ac:dyDescent="0.35">
      <c r="A15" s="17" t="s">
        <v>64</v>
      </c>
      <c r="B15" s="5">
        <f>SUMIFS(March23,Category,"Food",SECTOR,B$5)</f>
        <v>2265.8000000000002</v>
      </c>
      <c r="C15" s="5">
        <f>SUMIFS(March23,Category,"Food",SECTOR,C$5)</f>
        <v>2303.4</v>
      </c>
      <c r="D15" s="5">
        <f>SUMIFS(March23,Category,"Food",SECTOR,D$5)</f>
        <v>2279.1999999999998</v>
      </c>
      <c r="E15" s="14">
        <f t="shared" si="0"/>
        <v>4.4136469965292762E-5</v>
      </c>
      <c r="F15" s="14">
        <f t="shared" si="1"/>
        <v>8.6835706842772171E-5</v>
      </c>
      <c r="G15" s="14">
        <f t="shared" si="2"/>
        <v>4.3876968978943027E-5</v>
      </c>
      <c r="I15" s="17" t="s">
        <v>65</v>
      </c>
      <c r="J15" s="5">
        <v>2274.1999999999998</v>
      </c>
      <c r="K15" s="14">
        <v>3.7072998499424643E-3</v>
      </c>
      <c r="M15" s="17" t="s">
        <v>65</v>
      </c>
      <c r="N15" s="5">
        <v>2317.7000000000003</v>
      </c>
      <c r="O15" s="14">
        <v>6.2082139446037084E-3</v>
      </c>
      <c r="Q15" s="17" t="s">
        <v>65</v>
      </c>
      <c r="R15" s="5">
        <v>2289.6000000000004</v>
      </c>
      <c r="S15" s="14">
        <v>4.5630045630048032E-3</v>
      </c>
    </row>
    <row r="16" spans="1:34" x14ac:dyDescent="0.35">
      <c r="A16" s="17" t="s">
        <v>65</v>
      </c>
      <c r="B16" s="5">
        <f>SUMIFS(April2023,Category,"Food",SECTOR,B$5)</f>
        <v>2274.1999999999998</v>
      </c>
      <c r="C16" s="5">
        <f>SUMIFS(April2023,Category,"Food",SECTOR,C$5)</f>
        <v>2317.7000000000003</v>
      </c>
      <c r="D16" s="5">
        <f>SUMIFS(April2023,Category,"Food",SECTOR,D$5)</f>
        <v>2289.6000000000004</v>
      </c>
      <c r="E16" s="14">
        <f t="shared" si="0"/>
        <v>3.7072998499424643E-3</v>
      </c>
      <c r="F16" s="14">
        <f t="shared" si="1"/>
        <v>6.2082139446037084E-3</v>
      </c>
      <c r="G16" s="14">
        <f t="shared" si="2"/>
        <v>4.5630045630048032E-3</v>
      </c>
      <c r="I16" s="17" t="s">
        <v>66</v>
      </c>
      <c r="J16" s="5">
        <v>2290.7000000000007</v>
      </c>
      <c r="K16" s="14">
        <v>7.2552985665292899E-3</v>
      </c>
      <c r="M16" s="17" t="s">
        <v>66</v>
      </c>
      <c r="N16" s="5">
        <v>2335.1</v>
      </c>
      <c r="O16" s="14">
        <v>7.5074427233894096E-3</v>
      </c>
      <c r="Q16" s="17" t="s">
        <v>66</v>
      </c>
      <c r="R16" s="5">
        <v>2306.9</v>
      </c>
      <c r="S16" s="14">
        <v>7.5559049615652185E-3</v>
      </c>
    </row>
    <row r="17" spans="1:34" x14ac:dyDescent="0.35">
      <c r="A17" s="17" t="s">
        <v>66</v>
      </c>
      <c r="B17" s="5">
        <f>SUMIFS(Maymonth23,Category,"Food",SECTOR,B$5)</f>
        <v>2290.7000000000007</v>
      </c>
      <c r="C17" s="5">
        <f>SUMIFS(Maymonth23,Category,"Food",SECTOR,C$5)</f>
        <v>2335.1</v>
      </c>
      <c r="D17" s="5">
        <f>SUMIFS(Maymonth23,Category,"Food",SECTOR,D$5)</f>
        <v>2306.9</v>
      </c>
      <c r="E17" s="14">
        <f t="shared" si="0"/>
        <v>7.2552985665292899E-3</v>
      </c>
      <c r="F17" s="14">
        <f t="shared" si="1"/>
        <v>7.5074427233894096E-3</v>
      </c>
      <c r="G17" s="14">
        <f t="shared" si="2"/>
        <v>7.5559049615652185E-3</v>
      </c>
    </row>
    <row r="18" spans="1:34" x14ac:dyDescent="0.35">
      <c r="T18" s="19" t="s">
        <v>104</v>
      </c>
    </row>
    <row r="19" spans="1:34" x14ac:dyDescent="0.35">
      <c r="T19" t="s">
        <v>108</v>
      </c>
    </row>
    <row r="21" spans="1:34" ht="21" x14ac:dyDescent="0.5">
      <c r="AA21" s="72" t="s">
        <v>216</v>
      </c>
      <c r="AB21" s="72"/>
      <c r="AC21" s="72"/>
      <c r="AD21" s="72"/>
      <c r="AE21" s="72"/>
      <c r="AF21" s="72"/>
      <c r="AG21" s="72"/>
      <c r="AH21" s="72"/>
    </row>
    <row r="23" spans="1:34" x14ac:dyDescent="0.35">
      <c r="B23" s="92" t="s">
        <v>71</v>
      </c>
      <c r="C23" s="12"/>
      <c r="D23" s="13"/>
      <c r="E23" s="12" t="s">
        <v>30</v>
      </c>
      <c r="F23" s="12"/>
      <c r="G23" s="13"/>
      <c r="H23" s="12" t="s">
        <v>33</v>
      </c>
      <c r="I23" s="12"/>
      <c r="J23" s="13"/>
      <c r="K23" s="12" t="s">
        <v>34</v>
      </c>
    </row>
    <row r="24" spans="1:34" x14ac:dyDescent="0.35">
      <c r="B24" s="93"/>
      <c r="C24" s="11" t="s">
        <v>55</v>
      </c>
      <c r="D24" s="11" t="s">
        <v>66</v>
      </c>
      <c r="E24" s="11"/>
      <c r="F24" s="11" t="s">
        <v>55</v>
      </c>
      <c r="G24" s="11" t="s">
        <v>66</v>
      </c>
      <c r="H24" s="11"/>
      <c r="I24" s="11" t="s">
        <v>55</v>
      </c>
      <c r="J24" s="11" t="s">
        <v>66</v>
      </c>
      <c r="K24" s="11"/>
    </row>
    <row r="25" spans="1:34" x14ac:dyDescent="0.35">
      <c r="B25" s="5" t="s">
        <v>3</v>
      </c>
      <c r="C25" s="5">
        <f t="shared" ref="C25:C37" si="3">SUMIFS(June22,Subcategory,$B25,SECTOR,$E$23)</f>
        <v>153.80000000000001</v>
      </c>
      <c r="D25" s="5">
        <f t="shared" ref="D25:D37" si="4">SUMIFS(Maymonth23,Subcategory,$B25,SECTOR,$E$23)</f>
        <v>173.2</v>
      </c>
      <c r="E25" s="6">
        <f>(D25-C25)/D25</f>
        <v>0.11200923787528856</v>
      </c>
      <c r="F25" s="5">
        <f t="shared" ref="F25:F37" si="5">SUMIFS(June22,Subcategory,$B25,SECTOR,$H$23)</f>
        <v>157.5</v>
      </c>
      <c r="G25" s="5">
        <f t="shared" ref="G25:G37" si="6">SUMIFS(Maymonth23,Subcategory,$B25,SECTOR,$H$23)</f>
        <v>174.7</v>
      </c>
      <c r="H25" s="6">
        <f>(G25-F25)/G25</f>
        <v>9.8454493417286723E-2</v>
      </c>
      <c r="I25" s="5">
        <f t="shared" ref="I25:I37" si="7">SUMIFS(June22,Subcategory,$B25,SECTOR,$K$23)</f>
        <v>155</v>
      </c>
      <c r="J25" s="5">
        <f t="shared" ref="J25:J37" si="8">SUMIFS(Maymonth23,Subcategory,$B25,SECTOR,$K$23)</f>
        <v>173.7</v>
      </c>
      <c r="K25" s="6">
        <f>(J25-I25)/J25</f>
        <v>0.10765687967760501</v>
      </c>
    </row>
    <row r="26" spans="1:34" x14ac:dyDescent="0.35">
      <c r="B26" s="5" t="s">
        <v>4</v>
      </c>
      <c r="C26" s="5">
        <f t="shared" si="3"/>
        <v>217.2</v>
      </c>
      <c r="D26" s="5">
        <f t="shared" si="4"/>
        <v>211.5</v>
      </c>
      <c r="E26" s="6">
        <f t="shared" ref="E26:E37" si="9">(D26-C26)/D26</f>
        <v>-2.6950354609929023E-2</v>
      </c>
      <c r="F26" s="5">
        <f t="shared" si="5"/>
        <v>223.4</v>
      </c>
      <c r="G26" s="5">
        <f t="shared" si="6"/>
        <v>219.4</v>
      </c>
      <c r="H26" s="6">
        <f t="shared" ref="H26:H37" si="10">(G26-F26)/G26</f>
        <v>-1.8231540565177756E-2</v>
      </c>
      <c r="I26" s="5">
        <f t="shared" si="7"/>
        <v>219.4</v>
      </c>
      <c r="J26" s="5">
        <f t="shared" si="8"/>
        <v>214.3</v>
      </c>
      <c r="K26" s="6">
        <f t="shared" ref="K26:K37" si="11">(J26-I26)/J26</f>
        <v>-2.3798413439104032E-2</v>
      </c>
    </row>
    <row r="27" spans="1:34" x14ac:dyDescent="0.35">
      <c r="B27" s="5" t="s">
        <v>5</v>
      </c>
      <c r="C27" s="5">
        <f t="shared" si="3"/>
        <v>169.6</v>
      </c>
      <c r="D27" s="5">
        <f t="shared" si="4"/>
        <v>171</v>
      </c>
      <c r="E27" s="6">
        <f t="shared" si="9"/>
        <v>8.1871345029240102E-3</v>
      </c>
      <c r="F27" s="5">
        <f t="shared" si="5"/>
        <v>172.8</v>
      </c>
      <c r="G27" s="5">
        <f t="shared" si="6"/>
        <v>176.7</v>
      </c>
      <c r="H27" s="6">
        <f t="shared" si="10"/>
        <v>2.207130730050921E-2</v>
      </c>
      <c r="I27" s="5">
        <f t="shared" si="7"/>
        <v>170.8</v>
      </c>
      <c r="J27" s="5">
        <f t="shared" si="8"/>
        <v>173.2</v>
      </c>
      <c r="K27" s="6">
        <f t="shared" si="11"/>
        <v>1.3856812933025273E-2</v>
      </c>
    </row>
    <row r="28" spans="1:34" x14ac:dyDescent="0.35">
      <c r="B28" s="5" t="s">
        <v>6</v>
      </c>
      <c r="C28" s="5">
        <f t="shared" si="3"/>
        <v>165.4</v>
      </c>
      <c r="D28" s="5">
        <f t="shared" si="4"/>
        <v>179.6</v>
      </c>
      <c r="E28" s="6">
        <f t="shared" si="9"/>
        <v>7.9064587973273884E-2</v>
      </c>
      <c r="F28" s="5">
        <f t="shared" si="5"/>
        <v>166.4</v>
      </c>
      <c r="G28" s="5">
        <f t="shared" si="6"/>
        <v>179.4</v>
      </c>
      <c r="H28" s="6">
        <f t="shared" si="10"/>
        <v>7.2463768115942032E-2</v>
      </c>
      <c r="I28" s="5">
        <f t="shared" si="7"/>
        <v>165.8</v>
      </c>
      <c r="J28" s="5">
        <f t="shared" si="8"/>
        <v>179.5</v>
      </c>
      <c r="K28" s="6">
        <f t="shared" si="11"/>
        <v>7.6323119777158707E-2</v>
      </c>
    </row>
    <row r="29" spans="1:34" x14ac:dyDescent="0.35">
      <c r="B29" s="5" t="s">
        <v>7</v>
      </c>
      <c r="C29" s="5">
        <f t="shared" si="3"/>
        <v>208.1</v>
      </c>
      <c r="D29" s="5">
        <f t="shared" si="4"/>
        <v>173.3</v>
      </c>
      <c r="E29" s="6">
        <f t="shared" si="9"/>
        <v>-0.20080784766301202</v>
      </c>
      <c r="F29" s="5">
        <f t="shared" si="5"/>
        <v>188.6</v>
      </c>
      <c r="G29" s="5">
        <f t="shared" si="6"/>
        <v>164.4</v>
      </c>
      <c r="H29" s="6">
        <f t="shared" si="10"/>
        <v>-0.1472019464720194</v>
      </c>
      <c r="I29" s="5">
        <f t="shared" si="7"/>
        <v>200.9</v>
      </c>
      <c r="J29" s="5">
        <f t="shared" si="8"/>
        <v>170</v>
      </c>
      <c r="K29" s="6">
        <f t="shared" si="11"/>
        <v>-0.18176470588235297</v>
      </c>
    </row>
    <row r="30" spans="1:34" x14ac:dyDescent="0.35">
      <c r="B30" s="5" t="s">
        <v>8</v>
      </c>
      <c r="C30" s="5">
        <f t="shared" si="3"/>
        <v>165.8</v>
      </c>
      <c r="D30" s="5">
        <f t="shared" si="4"/>
        <v>169</v>
      </c>
      <c r="E30" s="6">
        <f t="shared" si="9"/>
        <v>1.8934911242603485E-2</v>
      </c>
      <c r="F30" s="5">
        <f t="shared" si="5"/>
        <v>174.1</v>
      </c>
      <c r="G30" s="5">
        <f t="shared" si="6"/>
        <v>175.8</v>
      </c>
      <c r="H30" s="6">
        <f t="shared" si="10"/>
        <v>9.670079635950039E-3</v>
      </c>
      <c r="I30" s="5">
        <f t="shared" si="7"/>
        <v>169.7</v>
      </c>
      <c r="J30" s="5">
        <f t="shared" si="8"/>
        <v>172.2</v>
      </c>
      <c r="K30" s="6">
        <f t="shared" si="11"/>
        <v>1.4518002322880372E-2</v>
      </c>
    </row>
    <row r="31" spans="1:34" x14ac:dyDescent="0.35">
      <c r="B31" s="5" t="s">
        <v>9</v>
      </c>
      <c r="C31" s="5">
        <f t="shared" si="3"/>
        <v>167.3</v>
      </c>
      <c r="D31" s="5">
        <f t="shared" si="4"/>
        <v>148.69999999999999</v>
      </c>
      <c r="E31" s="6">
        <f t="shared" si="9"/>
        <v>-0.12508406186953613</v>
      </c>
      <c r="F31" s="5">
        <f t="shared" si="5"/>
        <v>211.5</v>
      </c>
      <c r="G31" s="5">
        <f t="shared" si="6"/>
        <v>185</v>
      </c>
      <c r="H31" s="6">
        <f t="shared" si="10"/>
        <v>-0.14324324324324325</v>
      </c>
      <c r="I31" s="5">
        <f t="shared" si="7"/>
        <v>182.3</v>
      </c>
      <c r="J31" s="5">
        <f t="shared" si="8"/>
        <v>161</v>
      </c>
      <c r="K31" s="6">
        <f t="shared" si="11"/>
        <v>-0.13229813664596279</v>
      </c>
    </row>
    <row r="32" spans="1:34" x14ac:dyDescent="0.35">
      <c r="B32" s="5" t="s">
        <v>10</v>
      </c>
      <c r="C32" s="5">
        <f t="shared" si="3"/>
        <v>164.6</v>
      </c>
      <c r="D32" s="5">
        <f t="shared" si="4"/>
        <v>174.9</v>
      </c>
      <c r="E32" s="6">
        <f t="shared" si="9"/>
        <v>5.8890794739851406E-2</v>
      </c>
      <c r="F32" s="5">
        <f t="shared" si="5"/>
        <v>163.6</v>
      </c>
      <c r="G32" s="5">
        <f t="shared" si="6"/>
        <v>176.9</v>
      </c>
      <c r="H32" s="6">
        <f t="shared" si="10"/>
        <v>7.5183719615602093E-2</v>
      </c>
      <c r="I32" s="5">
        <f t="shared" si="7"/>
        <v>164.3</v>
      </c>
      <c r="J32" s="5">
        <f t="shared" si="8"/>
        <v>175.6</v>
      </c>
      <c r="K32" s="6">
        <f t="shared" si="11"/>
        <v>6.4350797266514714E-2</v>
      </c>
    </row>
    <row r="33" spans="2:36" x14ac:dyDescent="0.35">
      <c r="B33" s="5" t="s">
        <v>11</v>
      </c>
      <c r="C33" s="5">
        <f t="shared" si="3"/>
        <v>119.1</v>
      </c>
      <c r="D33" s="5">
        <f t="shared" si="4"/>
        <v>121.9</v>
      </c>
      <c r="E33" s="6">
        <f t="shared" si="9"/>
        <v>2.2969647251845866E-2</v>
      </c>
      <c r="F33" s="5">
        <f t="shared" si="5"/>
        <v>121.4</v>
      </c>
      <c r="G33" s="5">
        <f t="shared" si="6"/>
        <v>124.2</v>
      </c>
      <c r="H33" s="6">
        <f t="shared" si="10"/>
        <v>2.2544283413848606E-2</v>
      </c>
      <c r="I33" s="5">
        <f t="shared" si="7"/>
        <v>119.9</v>
      </c>
      <c r="J33" s="5">
        <f t="shared" si="8"/>
        <v>122.7</v>
      </c>
      <c r="K33" s="6">
        <f t="shared" si="11"/>
        <v>2.2819885900570474E-2</v>
      </c>
    </row>
    <row r="34" spans="2:36" x14ac:dyDescent="0.35">
      <c r="B34" s="5" t="s">
        <v>12</v>
      </c>
      <c r="C34" s="5">
        <f t="shared" si="3"/>
        <v>188.9</v>
      </c>
      <c r="D34" s="5">
        <f t="shared" si="4"/>
        <v>221</v>
      </c>
      <c r="E34" s="6">
        <f t="shared" si="9"/>
        <v>0.14524886877828053</v>
      </c>
      <c r="F34" s="5">
        <f t="shared" si="5"/>
        <v>183.5</v>
      </c>
      <c r="G34" s="5">
        <f t="shared" si="6"/>
        <v>211.9</v>
      </c>
      <c r="H34" s="6">
        <f t="shared" si="10"/>
        <v>0.13402548371873527</v>
      </c>
      <c r="I34" s="5">
        <f t="shared" si="7"/>
        <v>187.1</v>
      </c>
      <c r="J34" s="5">
        <f t="shared" si="8"/>
        <v>218</v>
      </c>
      <c r="K34" s="6">
        <f t="shared" si="11"/>
        <v>0.14174311926605507</v>
      </c>
    </row>
    <row r="35" spans="2:36" x14ac:dyDescent="0.35">
      <c r="B35" s="5" t="s">
        <v>13</v>
      </c>
      <c r="C35" s="5">
        <f t="shared" si="3"/>
        <v>174.2</v>
      </c>
      <c r="D35" s="5">
        <f t="shared" si="4"/>
        <v>178.7</v>
      </c>
      <c r="E35" s="6">
        <f t="shared" si="9"/>
        <v>2.5181869054280919E-2</v>
      </c>
      <c r="F35" s="5">
        <f t="shared" si="5"/>
        <v>159.1</v>
      </c>
      <c r="G35" s="5">
        <f t="shared" si="6"/>
        <v>165.9</v>
      </c>
      <c r="H35" s="6">
        <f t="shared" si="10"/>
        <v>4.0988547317661307E-2</v>
      </c>
      <c r="I35" s="5">
        <f t="shared" si="7"/>
        <v>167.9</v>
      </c>
      <c r="J35" s="5">
        <f t="shared" si="8"/>
        <v>173.4</v>
      </c>
      <c r="K35" s="6">
        <f t="shared" si="11"/>
        <v>3.1718569780853516E-2</v>
      </c>
    </row>
    <row r="36" spans="2:36" x14ac:dyDescent="0.35">
      <c r="B36" s="5" t="s">
        <v>14</v>
      </c>
      <c r="C36" s="5">
        <f t="shared" si="3"/>
        <v>181.9</v>
      </c>
      <c r="D36" s="5">
        <f t="shared" si="4"/>
        <v>191.1</v>
      </c>
      <c r="E36" s="6">
        <f t="shared" si="9"/>
        <v>4.8142333856619514E-2</v>
      </c>
      <c r="F36" s="5">
        <f t="shared" si="5"/>
        <v>186.3</v>
      </c>
      <c r="G36" s="5">
        <f t="shared" si="6"/>
        <v>197.7</v>
      </c>
      <c r="H36" s="6">
        <f t="shared" si="10"/>
        <v>5.7663125948406564E-2</v>
      </c>
      <c r="I36" s="5">
        <f t="shared" si="7"/>
        <v>183.9</v>
      </c>
      <c r="J36" s="5">
        <f t="shared" si="8"/>
        <v>194.2</v>
      </c>
      <c r="K36" s="6">
        <f t="shared" si="11"/>
        <v>5.3038105046343889E-2</v>
      </c>
    </row>
    <row r="37" spans="2:36" x14ac:dyDescent="0.35">
      <c r="B37" s="5" t="s">
        <v>15</v>
      </c>
      <c r="C37" s="5">
        <f t="shared" si="3"/>
        <v>172.4</v>
      </c>
      <c r="D37" s="5">
        <f t="shared" si="4"/>
        <v>176.8</v>
      </c>
      <c r="E37" s="6">
        <f t="shared" si="9"/>
        <v>2.4886877828054328E-2</v>
      </c>
      <c r="F37" s="5">
        <f t="shared" si="5"/>
        <v>179.3</v>
      </c>
      <c r="G37" s="5">
        <f t="shared" si="6"/>
        <v>183.1</v>
      </c>
      <c r="H37" s="6">
        <f t="shared" si="10"/>
        <v>2.0753686510103675E-2</v>
      </c>
      <c r="I37" s="5">
        <f t="shared" si="7"/>
        <v>174.9</v>
      </c>
      <c r="J37" s="5">
        <f t="shared" si="8"/>
        <v>179.1</v>
      </c>
      <c r="K37" s="6">
        <f t="shared" si="11"/>
        <v>2.3450586264656553E-2</v>
      </c>
      <c r="W37" s="69" t="s">
        <v>129</v>
      </c>
    </row>
    <row r="38" spans="2:36" x14ac:dyDescent="0.35">
      <c r="W38" t="s">
        <v>282</v>
      </c>
    </row>
    <row r="39" spans="2:36" x14ac:dyDescent="0.35">
      <c r="M39" s="10"/>
    </row>
    <row r="40" spans="2:36" x14ac:dyDescent="0.35">
      <c r="B40" s="21"/>
    </row>
    <row r="42" spans="2:36" x14ac:dyDescent="0.35">
      <c r="L42" s="19" t="s">
        <v>104</v>
      </c>
    </row>
    <row r="43" spans="2:36" x14ac:dyDescent="0.35">
      <c r="L43" s="10" t="s">
        <v>109</v>
      </c>
    </row>
    <row r="44" spans="2:36" x14ac:dyDescent="0.35">
      <c r="L44" t="s">
        <v>99</v>
      </c>
    </row>
    <row r="45" spans="2:36" ht="21" x14ac:dyDescent="0.5">
      <c r="AI45" s="71"/>
    </row>
    <row r="48" spans="2:36" ht="21" x14ac:dyDescent="0.5">
      <c r="AJ48" s="71"/>
    </row>
    <row r="64" spans="35:35" ht="21" x14ac:dyDescent="0.5">
      <c r="AI64" s="72"/>
    </row>
  </sheetData>
  <mergeCells count="3">
    <mergeCell ref="B23:B24"/>
    <mergeCell ref="U2:Y2"/>
    <mergeCell ref="AA2:AH2"/>
  </mergeCells>
  <conditionalFormatting sqref="E25:E3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F74-F0A8-4038-AE9D-69517CEDA625}">
  <dimension ref="B1:CH73"/>
  <sheetViews>
    <sheetView showGridLines="0" topLeftCell="AL45" zoomScale="81" zoomScaleNormal="63" workbookViewId="0">
      <selection activeCell="BI4" sqref="BI4"/>
    </sheetView>
  </sheetViews>
  <sheetFormatPr defaultRowHeight="14.5" x14ac:dyDescent="0.35"/>
  <cols>
    <col min="1" max="1" width="11.36328125" bestFit="1" customWidth="1"/>
    <col min="2" max="2" width="14.6328125" bestFit="1" customWidth="1"/>
    <col min="3" max="3" width="8.26953125" bestFit="1" customWidth="1"/>
    <col min="4" max="4" width="11.7265625" customWidth="1"/>
    <col min="17" max="17" width="12.7265625" customWidth="1"/>
    <col min="37" max="37" width="14.81640625" customWidth="1"/>
    <col min="39" max="39" width="13.90625" customWidth="1"/>
    <col min="40" max="40" width="11.36328125" bestFit="1" customWidth="1"/>
    <col min="61" max="61" width="19.54296875" customWidth="1"/>
    <col min="62" max="62" width="18.26953125" customWidth="1"/>
    <col min="63" max="63" width="13.36328125" customWidth="1"/>
    <col min="64" max="64" width="10.81640625" customWidth="1"/>
    <col min="80" max="80" width="28.81640625" customWidth="1"/>
    <col min="81" max="81" width="16.36328125" customWidth="1"/>
  </cols>
  <sheetData>
    <row r="1" spans="2:60" x14ac:dyDescent="0.35">
      <c r="B1" t="s">
        <v>51</v>
      </c>
      <c r="AB1" t="s">
        <v>53</v>
      </c>
      <c r="AZ1" t="s">
        <v>23</v>
      </c>
    </row>
    <row r="2" spans="2:60" x14ac:dyDescent="0.35">
      <c r="B2" s="9" t="s">
        <v>2</v>
      </c>
      <c r="C2" s="9" t="s">
        <v>30</v>
      </c>
      <c r="D2" s="9" t="s">
        <v>33</v>
      </c>
      <c r="E2" s="9" t="s">
        <v>34</v>
      </c>
      <c r="H2" s="9" t="s">
        <v>2</v>
      </c>
      <c r="I2" s="9" t="s">
        <v>30</v>
      </c>
      <c r="J2" s="9" t="s">
        <v>33</v>
      </c>
      <c r="K2" s="9" t="s">
        <v>34</v>
      </c>
      <c r="AB2" s="9" t="s">
        <v>2</v>
      </c>
      <c r="AC2" s="9" t="s">
        <v>30</v>
      </c>
      <c r="AD2" s="9" t="s">
        <v>33</v>
      </c>
      <c r="AE2" s="9" t="s">
        <v>34</v>
      </c>
      <c r="AG2" s="22" t="s">
        <v>2</v>
      </c>
      <c r="AH2" s="22" t="s">
        <v>30</v>
      </c>
      <c r="AI2" s="22" t="s">
        <v>33</v>
      </c>
      <c r="AJ2" s="22" t="s">
        <v>34</v>
      </c>
      <c r="AZ2" s="9" t="s">
        <v>2</v>
      </c>
      <c r="BA2" s="9" t="s">
        <v>30</v>
      </c>
      <c r="BB2" s="9" t="s">
        <v>33</v>
      </c>
      <c r="BC2" s="9" t="s">
        <v>34</v>
      </c>
      <c r="BE2" s="22" t="s">
        <v>2</v>
      </c>
      <c r="BF2" s="22" t="s">
        <v>30</v>
      </c>
      <c r="BG2" s="22" t="s">
        <v>33</v>
      </c>
      <c r="BH2" s="22"/>
    </row>
    <row r="3" spans="2:60" x14ac:dyDescent="0.35">
      <c r="B3" s="5" t="s">
        <v>118</v>
      </c>
      <c r="C3" s="76">
        <f>SUMIFS(March19,SECTOR,C$2,Category,$B$1)</f>
        <v>1761.2000000000003</v>
      </c>
      <c r="D3" s="76">
        <f>SUMIFS(March19,SECTOR,D$2,Category,$B$1)</f>
        <v>1768.4</v>
      </c>
      <c r="E3" s="76">
        <f>SUMIFS(March19,SECTOR,E$2,Category,$B$1)</f>
        <v>1762.9</v>
      </c>
      <c r="H3" s="5" t="s">
        <v>111</v>
      </c>
      <c r="I3" s="6">
        <f>(C4-C3)/C3</f>
        <v>8.8717919600272525E-3</v>
      </c>
      <c r="J3" s="6">
        <f>(D4-D3)/D3</f>
        <v>1.3288848676769832E-2</v>
      </c>
      <c r="K3" s="6">
        <f>(E4-E3)/E3</f>
        <v>1.0550796982244983E-2</v>
      </c>
      <c r="AB3" s="5" t="s">
        <v>118</v>
      </c>
      <c r="AC3" s="76">
        <f>SUMIFS(March19,SECTOR,AC$2,Category,$AB$1)</f>
        <v>447</v>
      </c>
      <c r="AD3" s="76">
        <f>SUMIFS(March19,SECTOR,AD$2,Category,$AB$1)</f>
        <v>416.29999999999995</v>
      </c>
      <c r="AE3" s="76">
        <f>SUMIFS(March19,SECTOR,AE$2,Category,$AB$1)</f>
        <v>434.5</v>
      </c>
      <c r="AG3" s="5" t="s">
        <v>111</v>
      </c>
      <c r="AH3" s="6">
        <f>(AC4-AC3)/AC3</f>
        <v>1.510067114093858E-3</v>
      </c>
      <c r="AI3" s="6">
        <f>(AD4-AD3)/AD3</f>
        <v>1.7415325486428604E-3</v>
      </c>
      <c r="AJ3" s="6">
        <f>(AE4-AE3)/AE3</f>
        <v>1.6685845799770374E-3</v>
      </c>
      <c r="AZ3" s="5" t="s">
        <v>118</v>
      </c>
      <c r="BA3" s="76">
        <f>SUMIFS(March19,SECTOR,BA$2,Category,$AZ$1)</f>
        <v>150.4</v>
      </c>
      <c r="BB3" s="76">
        <f>SUMIFS(March19,SECTOR,BB$2,Category,$AZ$1)</f>
        <v>139.19999999999999</v>
      </c>
      <c r="BC3" s="76">
        <f>SUMIFS(March19,SECTOR,BC$2,Category,$AZ$1)</f>
        <v>146.19999999999999</v>
      </c>
      <c r="BE3" s="5" t="s">
        <v>111</v>
      </c>
      <c r="BF3" s="6">
        <f>(BA4-BA3)/BA3</f>
        <v>2.8257978723403121E-3</v>
      </c>
      <c r="BG3" s="6">
        <f t="shared" ref="BG3:BH3" si="0">(BB4-BB3)/BB3</f>
        <v>1.7959770114942531E-3</v>
      </c>
      <c r="BH3" s="6">
        <f t="shared" si="0"/>
        <v>2.2229822161421932E-3</v>
      </c>
    </row>
    <row r="4" spans="2:60" x14ac:dyDescent="0.35">
      <c r="B4" s="5" t="s">
        <v>111</v>
      </c>
      <c r="C4" s="76">
        <f>SUMIFS(April19,SECTOR,C$2,Category,$B$1)</f>
        <v>1776.8250000000003</v>
      </c>
      <c r="D4" s="76">
        <f>SUMIFS(April19,SECTOR,D$2,Category,$B$1)</f>
        <v>1791.8999999999999</v>
      </c>
      <c r="E4" s="76">
        <f>SUMIFS(April19,SECTOR,E$2,Category,$B$1)</f>
        <v>1781.4999999999998</v>
      </c>
      <c r="H4" s="5" t="s">
        <v>117</v>
      </c>
      <c r="I4" s="6">
        <f t="shared" ref="I4:I25" si="1">(C5-C4)/C4</f>
        <v>2.9687785797700185E-3</v>
      </c>
      <c r="J4" s="6">
        <f t="shared" ref="J4:J25" si="2">(D5-D4)/D4</f>
        <v>1.0938110385624401E-2</v>
      </c>
      <c r="K4" s="6">
        <f t="shared" ref="K4:K25" si="3">(E5-E4)/E4</f>
        <v>5.8377771540839441E-3</v>
      </c>
      <c r="AB4" s="5" t="s">
        <v>111</v>
      </c>
      <c r="AC4" s="76">
        <f>SUMIFS(April19,SECTOR,AC$2,Category,$AB$1)</f>
        <v>447.67499999999995</v>
      </c>
      <c r="AD4" s="76">
        <f>SUMIFS(April19,SECTOR,AD$2,Category,$AB$1)</f>
        <v>417.02499999999998</v>
      </c>
      <c r="AE4" s="76">
        <f>SUMIFS(April19,SECTOR,AE$2,Category,$AB$1)</f>
        <v>435.22500000000002</v>
      </c>
      <c r="AG4" s="5" t="s">
        <v>117</v>
      </c>
      <c r="AH4" s="6">
        <f t="shared" ref="AH4:AH25" si="4">(AC5-AC4)/AC4</f>
        <v>2.0662310828168011E-3</v>
      </c>
      <c r="AI4" s="6">
        <f t="shared" ref="AI4:AI25" si="5">(AD5-AD4)/AD4</f>
        <v>2.0981955518254302E-3</v>
      </c>
      <c r="AJ4" s="6">
        <f t="shared" ref="AJ4:AJ25" si="6">(AE5-AE4)/AE4</f>
        <v>2.0104543626859668E-3</v>
      </c>
      <c r="AZ4" s="5" t="s">
        <v>111</v>
      </c>
      <c r="BA4" s="76">
        <f>SUMIFS(April19,SECTOR,BA$2,Category,$AZ$1)</f>
        <v>150.82499999999999</v>
      </c>
      <c r="BB4" s="76">
        <f>SUMIFS(April19,SECTOR,BB$2,Category,$AZ$1)</f>
        <v>139.44999999999999</v>
      </c>
      <c r="BC4" s="76">
        <f>SUMIFS(April19,SECTOR,BC$2,Category,$AZ$1)</f>
        <v>146.52499999999998</v>
      </c>
      <c r="BE4" s="5" t="s">
        <v>117</v>
      </c>
      <c r="BF4" s="6">
        <f t="shared" ref="BF4:BF25" si="7">(BA5-BA4)/BA4</f>
        <v>3.149345267694499E-3</v>
      </c>
      <c r="BG4" s="6">
        <f t="shared" ref="BG4:BG25" si="8">(BB5-BB4)/BB4</f>
        <v>2.5098601649338314E-3</v>
      </c>
      <c r="BH4" s="6">
        <f t="shared" ref="BH4:BH25" si="9">(BC5-BC4)/BC4</f>
        <v>2.5592902235115405E-3</v>
      </c>
    </row>
    <row r="5" spans="2:60" x14ac:dyDescent="0.35">
      <c r="B5" s="5" t="s">
        <v>117</v>
      </c>
      <c r="C5" s="76">
        <f>SUMIFS(Maymonth19,SECTOR,C$2,Category,$B$1)</f>
        <v>1782.1000000000001</v>
      </c>
      <c r="D5" s="76">
        <f>SUMIFS(Maymonth19,SECTOR,D$2,Category,$B$1)</f>
        <v>1811.5000000000002</v>
      </c>
      <c r="E5" s="76">
        <f>SUMIFS(Maymonth19,SECTOR,E$2,Category,$B$1)</f>
        <v>1791.9000000000003</v>
      </c>
      <c r="H5" s="5" t="s">
        <v>119</v>
      </c>
      <c r="I5" s="6">
        <f t="shared" si="1"/>
        <v>1.2401099826047741E-2</v>
      </c>
      <c r="J5" s="6">
        <f t="shared" si="2"/>
        <v>1.203422577974027E-2</v>
      </c>
      <c r="K5" s="6">
        <f t="shared" si="3"/>
        <v>1.2389084212288529E-2</v>
      </c>
      <c r="AB5" s="5" t="s">
        <v>117</v>
      </c>
      <c r="AC5" s="76">
        <f>SUMIFS(Maymonth19,SECTOR,AC$2,Category,$AB$1)</f>
        <v>448.59999999999997</v>
      </c>
      <c r="AD5" s="76">
        <f>SUMIFS(Maymonth19,SECTOR,AD$2,Category,$AB$1)</f>
        <v>417.9</v>
      </c>
      <c r="AE5" s="76">
        <f>SUMIFS(Maymonth19,SECTOR,AE$2,Category,$AB$1)</f>
        <v>436.1</v>
      </c>
      <c r="AG5" s="5" t="s">
        <v>119</v>
      </c>
      <c r="AH5" s="6">
        <f t="shared" si="4"/>
        <v>0</v>
      </c>
      <c r="AI5" s="6">
        <f t="shared" si="5"/>
        <v>1.1964584828906438E-3</v>
      </c>
      <c r="AJ5" s="6">
        <f t="shared" si="6"/>
        <v>6.8791561568437175E-4</v>
      </c>
      <c r="AZ5" s="5" t="s">
        <v>117</v>
      </c>
      <c r="BA5" s="76">
        <f>SUMIFS(Maymonth19,SECTOR,BA$2,Category,$AZ$1)</f>
        <v>151.30000000000001</v>
      </c>
      <c r="BB5" s="76">
        <f>SUMIFS(Maymonth19,SECTOR,BB$2,Category,$AZ$1)</f>
        <v>139.80000000000001</v>
      </c>
      <c r="BC5" s="76">
        <f>SUMIFS(Maymonth19,SECTOR,BC$2,Category,$AZ$1)</f>
        <v>146.9</v>
      </c>
      <c r="BE5" s="5" t="s">
        <v>119</v>
      </c>
      <c r="BF5" s="6">
        <f t="shared" si="7"/>
        <v>2.6437541308656789E-3</v>
      </c>
      <c r="BG5" s="6">
        <f t="shared" si="8"/>
        <v>3.5765379113018594E-3</v>
      </c>
      <c r="BH5" s="6">
        <f t="shared" si="9"/>
        <v>3.4036759700476512E-3</v>
      </c>
    </row>
    <row r="6" spans="2:60" x14ac:dyDescent="0.35">
      <c r="B6" s="5" t="s">
        <v>119</v>
      </c>
      <c r="C6" s="76">
        <f>SUMIFS(June2019,SECTOR,C$2,Category,$B$1)</f>
        <v>1804.1999999999998</v>
      </c>
      <c r="D6" s="76">
        <f>SUMIFS(June2019,SECTOR,D$2,Category,$B$1)</f>
        <v>1833.2999999999997</v>
      </c>
      <c r="E6" s="76">
        <f>SUMIFS(June2019,SECTOR,E$2,Category,$B$1)</f>
        <v>1814.1000000000001</v>
      </c>
      <c r="H6" s="5" t="s">
        <v>120</v>
      </c>
      <c r="I6" s="6">
        <f t="shared" si="1"/>
        <v>1.2581753685844167E-2</v>
      </c>
      <c r="J6" s="6">
        <f t="shared" si="2"/>
        <v>1.3145693558064768E-2</v>
      </c>
      <c r="K6" s="6">
        <f t="shared" si="3"/>
        <v>1.289895816107153E-2</v>
      </c>
      <c r="AB6" s="5" t="s">
        <v>119</v>
      </c>
      <c r="AC6" s="76">
        <f>SUMIFS(June2019,SECTOR,AC$2,Category,$AB$1)</f>
        <v>448.59999999999997</v>
      </c>
      <c r="AD6" s="76">
        <f>SUMIFS(June2019,SECTOR,AD$2,Category,$AB$1)</f>
        <v>418.4</v>
      </c>
      <c r="AE6" s="76">
        <f>SUMIFS(June2019,SECTOR,AE$2,Category,$AB$1)</f>
        <v>436.4</v>
      </c>
      <c r="AG6" s="5" t="s">
        <v>120</v>
      </c>
      <c r="AH6" s="6">
        <f t="shared" si="4"/>
        <v>1.1145786892555883E-3</v>
      </c>
      <c r="AI6" s="6">
        <f t="shared" si="5"/>
        <v>2.1510516252390872E-3</v>
      </c>
      <c r="AJ6" s="6">
        <f t="shared" si="6"/>
        <v>1.3748854262145343E-3</v>
      </c>
      <c r="AZ6" s="5" t="s">
        <v>119</v>
      </c>
      <c r="BA6" s="76">
        <f>SUMIFS(June2019,SECTOR,BA$2,Category,$AZ$1)</f>
        <v>151.69999999999999</v>
      </c>
      <c r="BB6" s="76">
        <f>SUMIFS(June2019,SECTOR,BB$2,Category,$AZ$1)</f>
        <v>140.30000000000001</v>
      </c>
      <c r="BC6" s="76">
        <f>SUMIFS(June2019,SECTOR,BC$2,Category,$AZ$1)</f>
        <v>147.4</v>
      </c>
      <c r="BE6" s="5" t="s">
        <v>120</v>
      </c>
      <c r="BF6" s="6">
        <f t="shared" si="7"/>
        <v>3.2959789057350037E-3</v>
      </c>
      <c r="BG6" s="6">
        <f t="shared" si="8"/>
        <v>3.5637918745545258E-3</v>
      </c>
      <c r="BH6" s="6">
        <f t="shared" si="9"/>
        <v>3.3921302578018993E-3</v>
      </c>
    </row>
    <row r="7" spans="2:60" x14ac:dyDescent="0.35">
      <c r="B7" s="5" t="s">
        <v>120</v>
      </c>
      <c r="C7" s="76">
        <f>SUMIFS(July2019,SECTOR,C$2,Category,$B$1)</f>
        <v>1826.8999999999999</v>
      </c>
      <c r="D7" s="76">
        <f>SUMIFS(July2019,SECTOR,D$2,Category,$B$1)</f>
        <v>1857.3999999999999</v>
      </c>
      <c r="E7" s="76">
        <f>SUMIFS(July2019,SECTOR,E$2,Category,$B$1)</f>
        <v>1837.5</v>
      </c>
      <c r="H7" s="5" t="s">
        <v>121</v>
      </c>
      <c r="I7" s="6">
        <f t="shared" si="1"/>
        <v>4.1600525480323851E-3</v>
      </c>
      <c r="J7" s="6">
        <f t="shared" si="2"/>
        <v>6.2991278130720609E-3</v>
      </c>
      <c r="K7" s="6">
        <f t="shared" si="3"/>
        <v>4.8979591836734691E-3</v>
      </c>
      <c r="AB7" s="5" t="s">
        <v>120</v>
      </c>
      <c r="AC7" s="76">
        <f>SUMIFS(July2019,SECTOR,AC$2,Category,$AB$1)</f>
        <v>449.1</v>
      </c>
      <c r="AD7" s="76">
        <f>SUMIFS(July2019,SECTOR,AD$2,Category,$AB$1)</f>
        <v>419.3</v>
      </c>
      <c r="AE7" s="76">
        <f>SUMIFS(July2019,SECTOR,AE$2,Category,$AB$1)</f>
        <v>437</v>
      </c>
      <c r="AG7" s="5" t="s">
        <v>121</v>
      </c>
      <c r="AH7" s="6">
        <f t="shared" si="4"/>
        <v>8.9067022934753335E-4</v>
      </c>
      <c r="AI7" s="6">
        <f t="shared" si="5"/>
        <v>2.1464345337466662E-3</v>
      </c>
      <c r="AJ7" s="6">
        <f t="shared" si="6"/>
        <v>1.3729977116705326E-3</v>
      </c>
      <c r="AZ7" s="5" t="s">
        <v>120</v>
      </c>
      <c r="BA7" s="76">
        <f>SUMIFS(July2019,SECTOR,BA$2,Category,$AZ$1)</f>
        <v>152.19999999999999</v>
      </c>
      <c r="BB7" s="76">
        <f>SUMIFS(July2019,SECTOR,BB$2,Category,$AZ$1)</f>
        <v>140.80000000000001</v>
      </c>
      <c r="BC7" s="76">
        <f>SUMIFS(July2019,SECTOR,BC$2,Category,$AZ$1)</f>
        <v>147.9</v>
      </c>
      <c r="BE7" s="5" t="s">
        <v>121</v>
      </c>
      <c r="BF7" s="6">
        <f t="shared" si="7"/>
        <v>3.28515111695138E-3</v>
      </c>
      <c r="BG7" s="6">
        <f t="shared" si="8"/>
        <v>4.9715909090908283E-3</v>
      </c>
      <c r="BH7" s="6">
        <f t="shared" si="9"/>
        <v>4.0567951318458036E-3</v>
      </c>
    </row>
    <row r="8" spans="2:60" x14ac:dyDescent="0.35">
      <c r="B8" s="5" t="s">
        <v>121</v>
      </c>
      <c r="C8" s="76">
        <f>SUMIFS(August2019,SECTOR,C$2,Category,$B$1)</f>
        <v>1834.5000000000002</v>
      </c>
      <c r="D8" s="76">
        <f>SUMIFS(August2019,SECTOR,D$2,Category,$B$1)</f>
        <v>1869.1</v>
      </c>
      <c r="E8" s="76">
        <f>SUMIFS(August2019,SECTOR,E$2,Category,$B$1)</f>
        <v>1846.5</v>
      </c>
      <c r="H8" s="5" t="s">
        <v>122</v>
      </c>
      <c r="I8" s="6">
        <f t="shared" si="1"/>
        <v>7.7405287544288996E-3</v>
      </c>
      <c r="J8" s="6">
        <f t="shared" si="2"/>
        <v>3.1030977475791461E-3</v>
      </c>
      <c r="K8" s="6">
        <f t="shared" si="3"/>
        <v>6.0655293799078353E-3</v>
      </c>
      <c r="AB8" s="5" t="s">
        <v>121</v>
      </c>
      <c r="AC8" s="76">
        <f>SUMIFS(August2019,SECTOR,AC$2,Category,$AB$1)</f>
        <v>449.5</v>
      </c>
      <c r="AD8" s="76">
        <f>SUMIFS(August2019,SECTOR,AD$2,Category,$AB$1)</f>
        <v>420.2</v>
      </c>
      <c r="AE8" s="76">
        <f>SUMIFS(August2019,SECTOR,AE$2,Category,$AB$1)</f>
        <v>437.6</v>
      </c>
      <c r="AG8" s="5" t="s">
        <v>122</v>
      </c>
      <c r="AH8" s="6">
        <f t="shared" si="4"/>
        <v>-4.4493882091222576E-4</v>
      </c>
      <c r="AI8" s="6">
        <f t="shared" si="5"/>
        <v>1.4278914802475554E-3</v>
      </c>
      <c r="AJ8" s="6">
        <f t="shared" si="6"/>
        <v>2.285191956122236E-4</v>
      </c>
      <c r="AZ8" s="5" t="s">
        <v>121</v>
      </c>
      <c r="BA8" s="76">
        <f>SUMIFS(August2019,SECTOR,BA$2,Category,$AZ$1)</f>
        <v>152.69999999999999</v>
      </c>
      <c r="BB8" s="76">
        <f>SUMIFS(August2019,SECTOR,BB$2,Category,$AZ$1)</f>
        <v>141.5</v>
      </c>
      <c r="BC8" s="76">
        <f>SUMIFS(August2019,SECTOR,BC$2,Category,$AZ$1)</f>
        <v>148.5</v>
      </c>
      <c r="BE8" s="5" t="s">
        <v>122</v>
      </c>
      <c r="BF8" s="6">
        <f t="shared" si="7"/>
        <v>4.5841519318927122E-3</v>
      </c>
      <c r="BG8" s="6">
        <f t="shared" si="8"/>
        <v>2.8268551236749519E-3</v>
      </c>
      <c r="BH8" s="6">
        <f t="shared" si="9"/>
        <v>3.3670033670033669E-3</v>
      </c>
    </row>
    <row r="9" spans="2:60" x14ac:dyDescent="0.35">
      <c r="B9" s="5" t="s">
        <v>122</v>
      </c>
      <c r="C9" s="76">
        <f>SUMIFS(September19,SECTOR,C$2,Category,$B$1)</f>
        <v>1848.7</v>
      </c>
      <c r="D9" s="76">
        <f>SUMIFS(September19,SECTOR,D$2,Category,$B$1)</f>
        <v>1874.9</v>
      </c>
      <c r="E9" s="76">
        <f>SUMIFS(September19,SECTOR,E$2,Category,$B$1)</f>
        <v>1857.6999999999998</v>
      </c>
      <c r="H9" s="5" t="s">
        <v>123</v>
      </c>
      <c r="I9" s="6">
        <f t="shared" si="1"/>
        <v>1.5253962243738622E-2</v>
      </c>
      <c r="J9" s="6">
        <f t="shared" si="2"/>
        <v>1.4774121286468635E-2</v>
      </c>
      <c r="K9" s="6">
        <f t="shared" si="3"/>
        <v>1.501857135167135E-2</v>
      </c>
      <c r="AB9" s="5" t="s">
        <v>122</v>
      </c>
      <c r="AC9" s="76">
        <f>SUMIFS(September19,SECTOR,AC$2,Category,$AB$1)</f>
        <v>449.29999999999995</v>
      </c>
      <c r="AD9" s="76">
        <f>SUMIFS(September19,SECTOR,AD$2,Category,$AB$1)</f>
        <v>420.8</v>
      </c>
      <c r="AE9" s="76">
        <f>SUMIFS(September19,SECTOR,AE$2,Category,$AB$1)</f>
        <v>437.69999999999993</v>
      </c>
      <c r="AG9" s="5" t="s">
        <v>123</v>
      </c>
      <c r="AH9" s="6">
        <f t="shared" si="4"/>
        <v>2.2256843979528767E-4</v>
      </c>
      <c r="AI9" s="6">
        <f t="shared" si="5"/>
        <v>3.3269961977187121E-3</v>
      </c>
      <c r="AJ9" s="6">
        <f t="shared" si="6"/>
        <v>1.5992689056433685E-3</v>
      </c>
      <c r="AZ9" s="5" t="s">
        <v>122</v>
      </c>
      <c r="BA9" s="76">
        <f>SUMIFS(September19,SECTOR,BA$2,Category,$AZ$1)</f>
        <v>153.4</v>
      </c>
      <c r="BB9" s="76">
        <f>SUMIFS(September19,SECTOR,BB$2,Category,$AZ$1)</f>
        <v>141.9</v>
      </c>
      <c r="BC9" s="76">
        <f>SUMIFS(September19,SECTOR,BC$2,Category,$AZ$1)</f>
        <v>149</v>
      </c>
      <c r="BE9" s="5" t="s">
        <v>123</v>
      </c>
      <c r="BF9" s="6">
        <f t="shared" si="7"/>
        <v>1.9556714471967596E-3</v>
      </c>
      <c r="BG9" s="6">
        <f t="shared" si="8"/>
        <v>3.5236081747709652E-3</v>
      </c>
      <c r="BH9" s="6">
        <f t="shared" si="9"/>
        <v>2.6845637583892998E-3</v>
      </c>
    </row>
    <row r="10" spans="2:60" x14ac:dyDescent="0.35">
      <c r="B10" s="5" t="s">
        <v>123</v>
      </c>
      <c r="C10" s="76">
        <f>SUMIFS(October19,SECTOR,C$2,Category,$B$1)</f>
        <v>1876.8999999999996</v>
      </c>
      <c r="D10" s="76">
        <f>SUMIFS(October19,SECTOR,D$2,Category,$B$1)</f>
        <v>1902.6000000000001</v>
      </c>
      <c r="E10" s="76">
        <f>SUMIFS(October19,SECTOR,E$2,Category,$B$1)</f>
        <v>1885.5999999999997</v>
      </c>
      <c r="H10" s="5" t="s">
        <v>116</v>
      </c>
      <c r="I10" s="6">
        <f t="shared" si="1"/>
        <v>1.4758378176781132E-2</v>
      </c>
      <c r="J10" s="6">
        <f t="shared" si="2"/>
        <v>1.124776621465344E-2</v>
      </c>
      <c r="K10" s="6">
        <f t="shared" si="3"/>
        <v>1.3417479847263689E-2</v>
      </c>
      <c r="AB10" s="5" t="s">
        <v>123</v>
      </c>
      <c r="AC10" s="76">
        <f>SUMIFS(October19,SECTOR,AC$2,Category,$AB$1)</f>
        <v>449.4</v>
      </c>
      <c r="AD10" s="76">
        <f>SUMIFS(October19,SECTOR,AD$2,Category,$AB$1)</f>
        <v>422.20000000000005</v>
      </c>
      <c r="AE10" s="76">
        <f>SUMIFS(October19,SECTOR,AE$2,Category,$AB$1)</f>
        <v>438.40000000000003</v>
      </c>
      <c r="AG10" s="5" t="s">
        <v>116</v>
      </c>
      <c r="AH10" s="6">
        <f t="shared" si="4"/>
        <v>3.1152647975078644E-3</v>
      </c>
      <c r="AI10" s="6">
        <f t="shared" si="5"/>
        <v>2.131691141638845E-3</v>
      </c>
      <c r="AJ10" s="6">
        <f t="shared" si="6"/>
        <v>2.5091240875911628E-3</v>
      </c>
      <c r="AR10" s="14" t="e">
        <f>_xlfn.XLOOKUP($AG3,#REF!,#REF!)</f>
        <v>#REF!</v>
      </c>
      <c r="AZ10" s="5" t="s">
        <v>123</v>
      </c>
      <c r="BA10" s="76">
        <f>SUMIFS(October19,SECTOR,BA$2,Category,$AZ$1)</f>
        <v>153.69999999999999</v>
      </c>
      <c r="BB10" s="76">
        <f>SUMIFS(October19,SECTOR,BB$2,Category,$AZ$1)</f>
        <v>142.4</v>
      </c>
      <c r="BC10" s="76">
        <f>SUMIFS(October19,SECTOR,BC$2,Category,$AZ$1)</f>
        <v>149.4</v>
      </c>
      <c r="BE10" s="5" t="s">
        <v>116</v>
      </c>
      <c r="BF10" s="6">
        <f t="shared" si="7"/>
        <v>3.9037085230970905E-3</v>
      </c>
      <c r="BG10" s="6">
        <f t="shared" si="8"/>
        <v>2.8089887640449836E-3</v>
      </c>
      <c r="BH10" s="6">
        <f t="shared" si="9"/>
        <v>3.3467202141900937E-3</v>
      </c>
    </row>
    <row r="11" spans="2:60" x14ac:dyDescent="0.35">
      <c r="B11" s="5" t="s">
        <v>116</v>
      </c>
      <c r="C11" s="76">
        <f>SUMIFS(November19,SECTOR,C$2,Category,$B$1)</f>
        <v>1904.6000000000001</v>
      </c>
      <c r="D11" s="76">
        <f>SUMIFS(November19,SECTOR,D$2,Category,$B$1)</f>
        <v>1923.9999999999998</v>
      </c>
      <c r="E11" s="76">
        <f>SUMIFS(November19,SECTOR,E$2,Category,$B$1)</f>
        <v>1910.9</v>
      </c>
      <c r="H11" s="5" t="s">
        <v>113</v>
      </c>
      <c r="I11" s="6">
        <f t="shared" si="1"/>
        <v>1.9111624488081177E-2</v>
      </c>
      <c r="J11" s="6">
        <f t="shared" si="2"/>
        <v>1.6995841995842139E-2</v>
      </c>
      <c r="K11" s="6">
        <f t="shared" si="3"/>
        <v>1.8420639489245928E-2</v>
      </c>
      <c r="AB11" s="5" t="s">
        <v>116</v>
      </c>
      <c r="AC11" s="76">
        <f>SUMIFS(November19,SECTOR,AC$2,Category,$AB$1)</f>
        <v>450.8</v>
      </c>
      <c r="AD11" s="76">
        <f>SUMIFS(November19,SECTOR,AD$2,Category,$AB$1)</f>
        <v>423.09999999999997</v>
      </c>
      <c r="AE11" s="76">
        <f>SUMIFS(November19,SECTOR,AE$2,Category,$AB$1)</f>
        <v>439.5</v>
      </c>
      <c r="AG11" s="5" t="s">
        <v>113</v>
      </c>
      <c r="AH11" s="6">
        <f t="shared" si="4"/>
        <v>2.2182786157940175E-3</v>
      </c>
      <c r="AI11" s="6">
        <f t="shared" si="5"/>
        <v>2.5998581895534854E-3</v>
      </c>
      <c r="AJ11" s="6">
        <f t="shared" si="6"/>
        <v>2.5028441410694488E-3</v>
      </c>
      <c r="AZ11" s="5" t="s">
        <v>116</v>
      </c>
      <c r="BA11" s="76">
        <f>SUMIFS(November19,SECTOR,BA$2,Category,$AZ$1)</f>
        <v>154.30000000000001</v>
      </c>
      <c r="BB11" s="76">
        <f>SUMIFS(November19,SECTOR,BB$2,Category,$AZ$1)</f>
        <v>142.80000000000001</v>
      </c>
      <c r="BC11" s="76">
        <f>SUMIFS(November19,SECTOR,BC$2,Category,$AZ$1)</f>
        <v>149.9</v>
      </c>
      <c r="BE11" s="5" t="s">
        <v>113</v>
      </c>
      <c r="BF11" s="6">
        <f t="shared" si="7"/>
        <v>3.2404406999351908E-3</v>
      </c>
      <c r="BG11" s="6">
        <f t="shared" si="8"/>
        <v>2.8011204481791121E-3</v>
      </c>
      <c r="BH11" s="6">
        <f t="shared" si="9"/>
        <v>3.3355570380253501E-3</v>
      </c>
    </row>
    <row r="12" spans="2:60" x14ac:dyDescent="0.35">
      <c r="B12" s="5" t="s">
        <v>113</v>
      </c>
      <c r="C12" s="76">
        <f>SUMIFS(December19,SECTOR,C$2,Category,$B$1)</f>
        <v>1940.9999999999995</v>
      </c>
      <c r="D12" s="76">
        <f>SUMIFS(December19,SECTOR,D$2,Category,$B$1)</f>
        <v>1956.7</v>
      </c>
      <c r="E12" s="76">
        <f>SUMIFS(December19,SECTOR,E$2,Category,$B$1)</f>
        <v>1946.1000000000001</v>
      </c>
      <c r="H12" s="5" t="s">
        <v>114</v>
      </c>
      <c r="I12" s="6">
        <f t="shared" si="1"/>
        <v>-1.2364760432764744E-3</v>
      </c>
      <c r="J12" s="6">
        <f t="shared" si="2"/>
        <v>-5.7750293862115715E-3</v>
      </c>
      <c r="K12" s="6">
        <f t="shared" si="3"/>
        <v>-2.9289347926623878E-3</v>
      </c>
      <c r="AB12" s="5" t="s">
        <v>113</v>
      </c>
      <c r="AC12" s="76">
        <f>SUMIFS(December19,SECTOR,AC$2,Category,$AB$1)</f>
        <v>451.79999999999995</v>
      </c>
      <c r="AD12" s="76">
        <f>SUMIFS(December19,SECTOR,AD$2,Category,$AB$1)</f>
        <v>424.20000000000005</v>
      </c>
      <c r="AE12" s="76">
        <f>SUMIFS(December19,SECTOR,AE$2,Category,$AB$1)</f>
        <v>440.6</v>
      </c>
      <c r="AG12" s="5" t="s">
        <v>114</v>
      </c>
      <c r="AH12" s="6">
        <f t="shared" si="4"/>
        <v>1.1066843736168962E-3</v>
      </c>
      <c r="AI12" s="6">
        <f t="shared" si="5"/>
        <v>2.1216407355020678E-3</v>
      </c>
      <c r="AJ12" s="6">
        <f t="shared" si="6"/>
        <v>1.3617793917384609E-3</v>
      </c>
      <c r="AZ12" s="5" t="s">
        <v>113</v>
      </c>
      <c r="BA12" s="76">
        <f>SUMIFS(December19,SECTOR,BA$2,Category,$AZ$1)</f>
        <v>154.80000000000001</v>
      </c>
      <c r="BB12" s="76">
        <f>SUMIFS(December19,SECTOR,BB$2,Category,$AZ$1)</f>
        <v>143.19999999999999</v>
      </c>
      <c r="BC12" s="76">
        <f>SUMIFS(December19,SECTOR,BC$2,Category,$AZ$1)</f>
        <v>150.4</v>
      </c>
      <c r="BE12" s="5" t="s">
        <v>114</v>
      </c>
      <c r="BF12" s="6">
        <f t="shared" si="7"/>
        <v>5.8139534883719455E-3</v>
      </c>
      <c r="BG12" s="6">
        <f t="shared" si="8"/>
        <v>4.1899441340783718E-3</v>
      </c>
      <c r="BH12" s="6">
        <f t="shared" si="9"/>
        <v>5.319148936170099E-3</v>
      </c>
    </row>
    <row r="13" spans="2:60" x14ac:dyDescent="0.35">
      <c r="B13" s="5" t="s">
        <v>114</v>
      </c>
      <c r="C13" s="76">
        <f>SUMIFS(January2020,SECTOR,C$2,Category,$B$1)</f>
        <v>1938.6</v>
      </c>
      <c r="D13" s="76">
        <f>SUMIFS(January2020,SECTOR,D$2,Category,$B$1)</f>
        <v>1945.3999999999999</v>
      </c>
      <c r="E13" s="76">
        <f>SUMIFS(January2020,SECTOR,E$2,Category,$B$1)</f>
        <v>1940.3999999999999</v>
      </c>
      <c r="H13" s="5" t="s">
        <v>115</v>
      </c>
      <c r="I13" s="6">
        <f t="shared" si="1"/>
        <v>-1.485608170844949E-2</v>
      </c>
      <c r="J13" s="6">
        <f t="shared" si="2"/>
        <v>-1.4804153387478132E-2</v>
      </c>
      <c r="K13" s="6">
        <f t="shared" si="3"/>
        <v>-1.4842300556586249E-2</v>
      </c>
      <c r="AB13" s="5" t="s">
        <v>114</v>
      </c>
      <c r="AC13" s="76">
        <f>SUMIFS(January2020,SECTOR,AC$2,Category,$AB$1)</f>
        <v>452.30000000000007</v>
      </c>
      <c r="AD13" s="76">
        <f>SUMIFS(January2020,SECTOR,AD$2,Category,$AB$1)</f>
        <v>425.1</v>
      </c>
      <c r="AE13" s="76">
        <f>SUMIFS(January2020,SECTOR,AE$2,Category,$AB$1)</f>
        <v>441.2</v>
      </c>
      <c r="AG13" s="5" t="s">
        <v>115</v>
      </c>
      <c r="AH13" s="6">
        <f t="shared" si="4"/>
        <v>1.105460977227378E-3</v>
      </c>
      <c r="AI13" s="6">
        <f t="shared" si="5"/>
        <v>2.1171489061396782E-3</v>
      </c>
      <c r="AJ13" s="6">
        <f t="shared" si="6"/>
        <v>1.8132366273798989E-3</v>
      </c>
      <c r="AZ13" s="5" t="s">
        <v>114</v>
      </c>
      <c r="BA13" s="76">
        <f>SUMIFS(January2020,SECTOR,BA$2,Category,$AZ$1)</f>
        <v>155.69999999999999</v>
      </c>
      <c r="BB13" s="76">
        <f>SUMIFS(January2020,SECTOR,BB$2,Category,$AZ$1)</f>
        <v>143.80000000000001</v>
      </c>
      <c r="BC13" s="76">
        <f>SUMIFS(January2020,SECTOR,BC$2,Category,$AZ$1)</f>
        <v>151.19999999999999</v>
      </c>
      <c r="BE13" s="5" t="s">
        <v>115</v>
      </c>
      <c r="BF13" s="6">
        <f t="shared" si="7"/>
        <v>3.2113037893384717E-3</v>
      </c>
      <c r="BG13" s="6">
        <f t="shared" si="8"/>
        <v>4.1724617524338961E-3</v>
      </c>
      <c r="BH13" s="6">
        <f t="shared" si="9"/>
        <v>3.3068783068783071E-3</v>
      </c>
    </row>
    <row r="14" spans="2:60" x14ac:dyDescent="0.35">
      <c r="B14" s="5" t="s">
        <v>115</v>
      </c>
      <c r="C14" s="76">
        <f>SUMIFS(February2020,SECTOR,C$2,Category,$B$1)</f>
        <v>1909.7999999999997</v>
      </c>
      <c r="D14" s="76">
        <f>SUMIFS(February2020,SECTOR,D$2,Category,$B$1)</f>
        <v>1916.6</v>
      </c>
      <c r="E14" s="76">
        <f>SUMIFS(February2020,SECTOR,E$2,Category,$B$1)</f>
        <v>1911.6</v>
      </c>
      <c r="H14" s="5" t="s">
        <v>112</v>
      </c>
      <c r="I14" s="6">
        <f t="shared" si="1"/>
        <v>-7.9589485810032719E-3</v>
      </c>
      <c r="J14" s="6">
        <f t="shared" si="2"/>
        <v>-9.4438067411039914E-3</v>
      </c>
      <c r="K14" s="6">
        <f t="shared" si="3"/>
        <v>-8.4745762711863452E-3</v>
      </c>
      <c r="AB14" s="5" t="s">
        <v>115</v>
      </c>
      <c r="AC14" s="76">
        <f>SUMIFS(February2020,SECTOR,AC$2,Category,$AB$1)</f>
        <v>452.8</v>
      </c>
      <c r="AD14" s="76">
        <f>SUMIFS(February2020,SECTOR,AD$2,Category,$AB$1)</f>
        <v>426</v>
      </c>
      <c r="AE14" s="76">
        <f>SUMIFS(February2020,SECTOR,AE$2,Category,$AB$1)</f>
        <v>442</v>
      </c>
      <c r="AG14" s="5" t="s">
        <v>112</v>
      </c>
      <c r="AH14" s="6">
        <f t="shared" si="4"/>
        <v>1.5459363957596921E-3</v>
      </c>
      <c r="AI14" s="6">
        <f t="shared" si="5"/>
        <v>2.5821596244131988E-3</v>
      </c>
      <c r="AJ14" s="6">
        <f t="shared" si="6"/>
        <v>2.0361990950227018E-3</v>
      </c>
      <c r="AZ14" s="5" t="s">
        <v>115</v>
      </c>
      <c r="BA14" s="76">
        <f>SUMIFS(February2020,SECTOR,BA$2,Category,$AZ$1)</f>
        <v>156.19999999999999</v>
      </c>
      <c r="BB14" s="76">
        <f>SUMIFS(February2020,SECTOR,BB$2,Category,$AZ$1)</f>
        <v>144.4</v>
      </c>
      <c r="BC14" s="76">
        <f>SUMIFS(February2020,SECTOR,BC$2,Category,$AZ$1)</f>
        <v>151.69999999999999</v>
      </c>
      <c r="BE14" s="5" t="s">
        <v>112</v>
      </c>
      <c r="BF14" s="6">
        <f t="shared" si="7"/>
        <v>3.2010243277848915E-3</v>
      </c>
      <c r="BG14" s="6">
        <f t="shared" si="8"/>
        <v>4.1551246537395725E-3</v>
      </c>
      <c r="BH14" s="6">
        <f t="shared" si="9"/>
        <v>3.9551746868821541E-3</v>
      </c>
    </row>
    <row r="15" spans="2:60" x14ac:dyDescent="0.35">
      <c r="B15" s="5" t="s">
        <v>112</v>
      </c>
      <c r="C15" s="76">
        <f>SUMIFS(March20,SECTOR,C$2,Category,$B$1)</f>
        <v>1894.5999999999997</v>
      </c>
      <c r="D15" s="76">
        <f>SUMIFS(March20,SECTOR,D$2,Category,$B$1)</f>
        <v>1898.5</v>
      </c>
      <c r="E15" s="76">
        <f>SUMIFS(March20,SECTOR,E$2,Category,$B$1)</f>
        <v>1895.4</v>
      </c>
      <c r="H15" s="5" t="s">
        <v>72</v>
      </c>
      <c r="I15" s="6">
        <f t="shared" si="1"/>
        <v>2.4807347197297828E-2</v>
      </c>
      <c r="J15" s="6">
        <f t="shared" si="2"/>
        <v>3.413220963918881E-2</v>
      </c>
      <c r="K15" s="6">
        <f t="shared" si="3"/>
        <v>2.8437269178009844E-2</v>
      </c>
      <c r="AB15" s="5" t="s">
        <v>112</v>
      </c>
      <c r="AC15" s="76">
        <f>SUMIFS(March20,SECTOR,AC$2,Category,$AB$1)</f>
        <v>453.5</v>
      </c>
      <c r="AD15" s="76">
        <f>SUMIFS(March20,SECTOR,AD$2,Category,$AB$1)</f>
        <v>427.1</v>
      </c>
      <c r="AE15" s="76">
        <f>SUMIFS(March20,SECTOR,AE$2,Category,$AB$1)</f>
        <v>442.90000000000003</v>
      </c>
      <c r="AG15" s="5" t="s">
        <v>72</v>
      </c>
      <c r="AH15" s="6">
        <f t="shared" si="4"/>
        <v>0</v>
      </c>
      <c r="AI15" s="6">
        <f t="shared" si="5"/>
        <v>0</v>
      </c>
      <c r="AJ15" s="6">
        <f t="shared" si="6"/>
        <v>0</v>
      </c>
      <c r="AZ15" s="5" t="s">
        <v>112</v>
      </c>
      <c r="BA15" s="76">
        <f>SUMIFS(March20,SECTOR,BA$2,Category,$AZ$1)</f>
        <v>156.69999999999999</v>
      </c>
      <c r="BB15" s="76">
        <f>SUMIFS(March20,SECTOR,BB$2,Category,$AZ$1)</f>
        <v>145</v>
      </c>
      <c r="BC15" s="76">
        <f>SUMIFS(March20,SECTOR,BC$2,Category,$AZ$1)</f>
        <v>152.30000000000001</v>
      </c>
      <c r="BE15" s="5" t="s">
        <v>72</v>
      </c>
      <c r="BF15" s="6">
        <f t="shared" si="7"/>
        <v>-1.5315890236119831E-2</v>
      </c>
      <c r="BG15" s="6">
        <f t="shared" si="8"/>
        <v>-1.3793103448275078E-3</v>
      </c>
      <c r="BH15" s="6">
        <f t="shared" si="9"/>
        <v>-1.0505581089954186E-2</v>
      </c>
    </row>
    <row r="16" spans="2:60" x14ac:dyDescent="0.35">
      <c r="B16" s="5" t="s">
        <v>72</v>
      </c>
      <c r="C16" s="76">
        <f>SUMIFS(April20,SECTOR,C$2,Category,$B$1)</f>
        <v>1941.6000000000001</v>
      </c>
      <c r="D16" s="76">
        <f>SUMIFS(April20,SECTOR,D$2,Category,$B$1)</f>
        <v>1963.3</v>
      </c>
      <c r="E16" s="76">
        <f>SUMIFS(April20,SECTOR,E$2,Category,$B$1)</f>
        <v>1949.3</v>
      </c>
      <c r="H16" s="5" t="s">
        <v>73</v>
      </c>
      <c r="I16" s="6">
        <f t="shared" si="1"/>
        <v>-3.6310259579727822E-3</v>
      </c>
      <c r="J16" s="6">
        <f t="shared" si="2"/>
        <v>-1.7827127795022751E-4</v>
      </c>
      <c r="K16" s="6">
        <f t="shared" si="3"/>
        <v>-2.4239470579181803E-3</v>
      </c>
      <c r="AB16" s="5" t="s">
        <v>72</v>
      </c>
      <c r="AC16" s="76">
        <f>SUMIFS(April20,SECTOR,AC$2,Category,$AB$1)</f>
        <v>453.5</v>
      </c>
      <c r="AD16" s="76">
        <f>SUMIFS(April20,SECTOR,AD$2,Category,$AB$1)</f>
        <v>427.1</v>
      </c>
      <c r="AE16" s="76">
        <f>SUMIFS(April20,SECTOR,AE$2,Category,$AB$1)</f>
        <v>442.90000000000003</v>
      </c>
      <c r="AG16" s="5" t="s">
        <v>73</v>
      </c>
      <c r="AH16" s="6">
        <f t="shared" si="4"/>
        <v>5.8434399117972087E-3</v>
      </c>
      <c r="AI16" s="6">
        <f t="shared" si="5"/>
        <v>6.789978927651417E-3</v>
      </c>
      <c r="AJ16" s="6">
        <f t="shared" si="6"/>
        <v>6.0961842402347897E-3</v>
      </c>
      <c r="AZ16" s="5" t="s">
        <v>72</v>
      </c>
      <c r="BA16" s="76">
        <f>SUMIFS(April20,SECTOR,BA$2,Category,$AZ$1)</f>
        <v>154.30000000000001</v>
      </c>
      <c r="BB16" s="76">
        <f>SUMIFS(April20,SECTOR,BB$2,Category,$AZ$1)</f>
        <v>144.80000000000001</v>
      </c>
      <c r="BC16" s="76">
        <f>SUMIFS(April20,SECTOR,BC$2,Category,$AZ$1)</f>
        <v>150.69999999999999</v>
      </c>
      <c r="BE16" s="5" t="s">
        <v>73</v>
      </c>
      <c r="BF16" s="6">
        <f t="shared" si="7"/>
        <v>1.6526247569669365E-2</v>
      </c>
      <c r="BG16" s="6">
        <f t="shared" si="8"/>
        <v>1.1740331491712627E-2</v>
      </c>
      <c r="BH16" s="6">
        <f t="shared" si="9"/>
        <v>1.4930325149303253E-2</v>
      </c>
    </row>
    <row r="17" spans="2:86" x14ac:dyDescent="0.35">
      <c r="B17" s="5" t="s">
        <v>73</v>
      </c>
      <c r="C17" s="76">
        <f>SUMIFS(Maymonth20,SECTOR,C$2,Category,$B$1)</f>
        <v>1934.5500000000002</v>
      </c>
      <c r="D17" s="76">
        <f>SUMIFS(Maymonth20,SECTOR,D$2,Category,$B$1)</f>
        <v>1962.9500000000003</v>
      </c>
      <c r="E17" s="76">
        <f>SUMIFS(Maymonth20,SECTOR,E$2,Category,$B$1)</f>
        <v>1944.575</v>
      </c>
      <c r="H17" s="5" t="s">
        <v>74</v>
      </c>
      <c r="I17" s="6">
        <f t="shared" si="1"/>
        <v>8.5032694941975222E-3</v>
      </c>
      <c r="J17" s="6">
        <f t="shared" si="2"/>
        <v>1.632746631345653E-2</v>
      </c>
      <c r="K17" s="6">
        <f t="shared" si="3"/>
        <v>1.1429232608667773E-2</v>
      </c>
      <c r="AB17" s="5" t="s">
        <v>73</v>
      </c>
      <c r="AC17" s="76">
        <f>SUMIFS(Maymonth20,SECTOR,AC$2,Category,$AB$1)</f>
        <v>456.15000000000003</v>
      </c>
      <c r="AD17" s="76">
        <f>SUMIFS(Maymonth20,SECTOR,AD$2,Category,$AB$1)</f>
        <v>429.99999999999994</v>
      </c>
      <c r="AE17" s="76">
        <f>SUMIFS(Maymonth20,SECTOR,AE$2,Category,$AB$1)</f>
        <v>445.6</v>
      </c>
      <c r="AG17" s="5" t="s">
        <v>74</v>
      </c>
      <c r="AH17" s="6">
        <f t="shared" si="4"/>
        <v>5.8094924915048128E-3</v>
      </c>
      <c r="AI17" s="6">
        <f t="shared" si="5"/>
        <v>6.7441860465117078E-3</v>
      </c>
      <c r="AJ17" s="6">
        <f t="shared" si="6"/>
        <v>6.0592459605025399E-3</v>
      </c>
      <c r="AZ17" s="5" t="s">
        <v>73</v>
      </c>
      <c r="BA17" s="76">
        <f>SUMIFS(Maymonth20,SECTOR,BA$2,Category,$AZ$1)</f>
        <v>156.85</v>
      </c>
      <c r="BB17" s="76">
        <f>SUMIFS(Maymonth20,SECTOR,BB$2,Category,$AZ$1)</f>
        <v>146.5</v>
      </c>
      <c r="BC17" s="76">
        <f>SUMIFS(Maymonth20,SECTOR,BC$2,Category,$AZ$1)</f>
        <v>152.94999999999999</v>
      </c>
      <c r="BE17" s="5" t="s">
        <v>74</v>
      </c>
      <c r="BF17" s="6">
        <f t="shared" si="7"/>
        <v>8.6069493146317781E-3</v>
      </c>
      <c r="BG17" s="6">
        <f t="shared" si="8"/>
        <v>1.0921501706484604E-2</v>
      </c>
      <c r="BH17" s="6">
        <f t="shared" si="9"/>
        <v>9.4802222948677153E-3</v>
      </c>
    </row>
    <row r="18" spans="2:86" x14ac:dyDescent="0.35">
      <c r="B18" s="5" t="s">
        <v>74</v>
      </c>
      <c r="C18" s="76">
        <f>SUMIFS(June2020,SECTOR,C$2,Category,$B$1)</f>
        <v>1951</v>
      </c>
      <c r="D18" s="76">
        <f>SUMIFS(June2020,SECTOR,D$2,Category,$B$1)</f>
        <v>1994.9999999999998</v>
      </c>
      <c r="E18" s="76">
        <f>SUMIFS(June2020,SECTOR,E$2,Category,$B$1)</f>
        <v>1966.8000000000002</v>
      </c>
      <c r="H18" s="5" t="s">
        <v>75</v>
      </c>
      <c r="I18" s="6">
        <f t="shared" si="1"/>
        <v>0</v>
      </c>
      <c r="J18" s="6">
        <f t="shared" si="2"/>
        <v>0</v>
      </c>
      <c r="K18" s="6">
        <f t="shared" si="3"/>
        <v>0</v>
      </c>
      <c r="AB18" s="5" t="s">
        <v>74</v>
      </c>
      <c r="AC18" s="76">
        <f>SUMIFS(June2020,SECTOR,AC$2,Category,$AB$1)</f>
        <v>458.79999999999995</v>
      </c>
      <c r="AD18" s="76">
        <f>SUMIFS(June2020,SECTOR,AD$2,Category,$AB$1)</f>
        <v>432.9</v>
      </c>
      <c r="AE18" s="76">
        <f>SUMIFS(June2020,SECTOR,AE$2,Category,$AB$1)</f>
        <v>448.29999999999995</v>
      </c>
      <c r="AG18" s="5" t="s">
        <v>75</v>
      </c>
      <c r="AH18" s="6">
        <f t="shared" si="4"/>
        <v>0</v>
      </c>
      <c r="AI18" s="6">
        <f t="shared" si="5"/>
        <v>0</v>
      </c>
      <c r="AJ18" s="6">
        <f t="shared" si="6"/>
        <v>0</v>
      </c>
      <c r="AZ18" s="5" t="s">
        <v>74</v>
      </c>
      <c r="BA18" s="76">
        <f>SUMIFS(June2020,SECTOR,BA$2,Category,$AZ$1)</f>
        <v>158.19999999999999</v>
      </c>
      <c r="BB18" s="76">
        <f>SUMIFS(June2020,SECTOR,BB$2,Category,$AZ$1)</f>
        <v>148.1</v>
      </c>
      <c r="BC18" s="76">
        <f>SUMIFS(June2020,SECTOR,BC$2,Category,$AZ$1)</f>
        <v>154.4</v>
      </c>
      <c r="BE18" s="5" t="s">
        <v>75</v>
      </c>
      <c r="BF18" s="6">
        <f t="shared" si="7"/>
        <v>0</v>
      </c>
      <c r="BG18" s="6">
        <f t="shared" si="8"/>
        <v>0</v>
      </c>
      <c r="BH18" s="6">
        <f t="shared" si="9"/>
        <v>0</v>
      </c>
    </row>
    <row r="19" spans="2:86" x14ac:dyDescent="0.35">
      <c r="B19" s="5" t="s">
        <v>75</v>
      </c>
      <c r="C19" s="76">
        <f>SUMIFS(July2020,SECTOR,C$2,Category,$B$1)</f>
        <v>1951</v>
      </c>
      <c r="D19" s="76">
        <f>SUMIFS(July2020,SECTOR,D$2,Category,$B$1)</f>
        <v>1994.9999999999998</v>
      </c>
      <c r="E19" s="76">
        <f>SUMIFS(July2020,SECTOR,E$2,Category,$B$1)</f>
        <v>1966.8000000000002</v>
      </c>
      <c r="H19" s="5" t="s">
        <v>76</v>
      </c>
      <c r="I19" s="6">
        <f t="shared" si="1"/>
        <v>1.4146591491542753E-2</v>
      </c>
      <c r="J19" s="6">
        <f t="shared" si="2"/>
        <v>1.4987468671679246E-2</v>
      </c>
      <c r="K19" s="6">
        <f t="shared" si="3"/>
        <v>1.4439699003457207E-2</v>
      </c>
      <c r="AB19" s="5" t="s">
        <v>75</v>
      </c>
      <c r="AC19" s="76">
        <f>SUMIFS(July2020,SECTOR,AC$2,Category,$AB$1)</f>
        <v>458.79999999999995</v>
      </c>
      <c r="AD19" s="76">
        <f>SUMIFS(July2020,SECTOR,AD$2,Category,$AB$1)</f>
        <v>432.9</v>
      </c>
      <c r="AE19" s="76">
        <f>SUMIFS(July2020,SECTOR,AE$2,Category,$AB$1)</f>
        <v>448.29999999999995</v>
      </c>
      <c r="AG19" s="5" t="s">
        <v>76</v>
      </c>
      <c r="AH19" s="6">
        <f t="shared" si="4"/>
        <v>-2.179598953791759E-4</v>
      </c>
      <c r="AI19" s="6">
        <f t="shared" si="5"/>
        <v>2.3100023100028355E-4</v>
      </c>
      <c r="AJ19" s="6">
        <f t="shared" si="6"/>
        <v>-2.2306491188928376E-4</v>
      </c>
      <c r="AZ19" s="5" t="s">
        <v>75</v>
      </c>
      <c r="BA19" s="76">
        <f>SUMIFS(July2020,SECTOR,BA$2,Category,$AZ$1)</f>
        <v>158.19999999999999</v>
      </c>
      <c r="BB19" s="76">
        <f>SUMIFS(July2020,SECTOR,BB$2,Category,$AZ$1)</f>
        <v>148.1</v>
      </c>
      <c r="BC19" s="76">
        <f>SUMIFS(July2020,SECTOR,BC$2,Category,$AZ$1)</f>
        <v>154.4</v>
      </c>
      <c r="BE19" s="5" t="s">
        <v>76</v>
      </c>
      <c r="BF19" s="6">
        <f t="shared" si="7"/>
        <v>3.7926675094818126E-3</v>
      </c>
      <c r="BG19" s="6">
        <f t="shared" si="8"/>
        <v>4.051316677920286E-3</v>
      </c>
      <c r="BH19" s="6">
        <f t="shared" si="9"/>
        <v>3.8860103626942636E-3</v>
      </c>
    </row>
    <row r="20" spans="2:86" x14ac:dyDescent="0.35">
      <c r="B20" s="5" t="s">
        <v>76</v>
      </c>
      <c r="C20" s="76">
        <f>SUMIFS(August2020,SECTOR,C$2,Category,$B$1)</f>
        <v>1978.6</v>
      </c>
      <c r="D20" s="76">
        <f>SUMIFS(August2020,SECTOR,D$2,Category,$B$1)</f>
        <v>2024.8999999999999</v>
      </c>
      <c r="E20" s="76">
        <f>SUMIFS(August2020,SECTOR,E$2,Category,$B$1)</f>
        <v>1995.1999999999998</v>
      </c>
      <c r="H20" s="5" t="s">
        <v>77</v>
      </c>
      <c r="I20" s="6">
        <f t="shared" si="1"/>
        <v>4.4475892044879986E-3</v>
      </c>
      <c r="J20" s="6">
        <f t="shared" si="2"/>
        <v>8.2473208553510164E-3</v>
      </c>
      <c r="K20" s="6">
        <f t="shared" si="3"/>
        <v>5.9141940657579106E-3</v>
      </c>
      <c r="AB20" s="5" t="s">
        <v>76</v>
      </c>
      <c r="AC20" s="76">
        <f>SUMIFS(August2020,SECTOR,AC$2,Category,$AB$1)</f>
        <v>458.7</v>
      </c>
      <c r="AD20" s="76">
        <f>SUMIFS(August2020,SECTOR,AD$2,Category,$AB$1)</f>
        <v>433</v>
      </c>
      <c r="AE20" s="76">
        <f>SUMIFS(August2020,SECTOR,AE$2,Category,$AB$1)</f>
        <v>448.2</v>
      </c>
      <c r="AG20" s="5" t="s">
        <v>77</v>
      </c>
      <c r="AH20" s="6">
        <f t="shared" si="4"/>
        <v>2.6160889470241743E-3</v>
      </c>
      <c r="AI20" s="6">
        <f t="shared" si="5"/>
        <v>3.6951501154734935E-3</v>
      </c>
      <c r="AJ20" s="6">
        <f t="shared" si="6"/>
        <v>3.3467202141902208E-3</v>
      </c>
      <c r="AZ20" s="5" t="s">
        <v>76</v>
      </c>
      <c r="BA20" s="76">
        <f>SUMIFS(August2020,SECTOR,BA$2,Category,$AZ$1)</f>
        <v>158.80000000000001</v>
      </c>
      <c r="BB20" s="76">
        <f>SUMIFS(August2020,SECTOR,BB$2,Category,$AZ$1)</f>
        <v>148.69999999999999</v>
      </c>
      <c r="BC20" s="76">
        <f>SUMIFS(August2020,SECTOR,BC$2,Category,$AZ$1)</f>
        <v>155</v>
      </c>
      <c r="BE20" s="5" t="s">
        <v>77</v>
      </c>
      <c r="BF20" s="6">
        <f t="shared" si="7"/>
        <v>1.8891687657429654E-3</v>
      </c>
      <c r="BG20" s="6">
        <f t="shared" si="8"/>
        <v>8.7424344317418388E-3</v>
      </c>
      <c r="BH20" s="6">
        <f t="shared" si="9"/>
        <v>3.870967741935447E-3</v>
      </c>
    </row>
    <row r="21" spans="2:86" x14ac:dyDescent="0.35">
      <c r="B21" s="5" t="s">
        <v>77</v>
      </c>
      <c r="C21" s="76">
        <f>SUMIFS(September2020,SECTOR,C$2,Category,$B$1)</f>
        <v>1987.3999999999999</v>
      </c>
      <c r="D21" s="76">
        <f>SUMIFS(September2020,SECTOR,D$2,Category,$B$1)</f>
        <v>2041.6000000000001</v>
      </c>
      <c r="E21" s="76">
        <f>SUMIFS(September2020,SECTOR,E$2,Category,$B$1)</f>
        <v>2007</v>
      </c>
      <c r="H21" s="5" t="s">
        <v>78</v>
      </c>
      <c r="I21" s="6">
        <f t="shared" si="1"/>
        <v>2.1887893730502279E-2</v>
      </c>
      <c r="J21" s="6">
        <f t="shared" si="2"/>
        <v>1.8906739811912068E-2</v>
      </c>
      <c r="K21" s="6">
        <f t="shared" si="3"/>
        <v>2.0727453911310596E-2</v>
      </c>
      <c r="AB21" s="5" t="s">
        <v>77</v>
      </c>
      <c r="AC21" s="76">
        <f>SUMIFS(September2020,SECTOR,AC$2,Category,$AB$1)</f>
        <v>459.9</v>
      </c>
      <c r="AD21" s="76">
        <f>SUMIFS(September2020,SECTOR,AD$2,Category,$AB$1)</f>
        <v>434.6</v>
      </c>
      <c r="AE21" s="76">
        <f>SUMIFS(September2020,SECTOR,AE$2,Category,$AB$1)</f>
        <v>449.70000000000005</v>
      </c>
      <c r="AG21" s="5" t="s">
        <v>78</v>
      </c>
      <c r="AH21" s="6">
        <f t="shared" si="4"/>
        <v>3.0441400304413511E-3</v>
      </c>
      <c r="AI21" s="6">
        <f t="shared" si="5"/>
        <v>6.9028992176716831E-4</v>
      </c>
      <c r="AJ21" s="6">
        <f t="shared" si="6"/>
        <v>2.0013342228150329E-3</v>
      </c>
      <c r="AZ21" s="5" t="s">
        <v>77</v>
      </c>
      <c r="BA21" s="76">
        <f>SUMIFS(September2020,SECTOR,BA$2,Category,$AZ$1)</f>
        <v>159.1</v>
      </c>
      <c r="BB21" s="76">
        <f>SUMIFS(September2020,SECTOR,BB$2,Category,$AZ$1)</f>
        <v>150</v>
      </c>
      <c r="BC21" s="76">
        <f>SUMIFS(September2020,SECTOR,BC$2,Category,$AZ$1)</f>
        <v>155.6</v>
      </c>
      <c r="BE21" s="5" t="s">
        <v>78</v>
      </c>
      <c r="BF21" s="6">
        <f t="shared" si="7"/>
        <v>2.5141420490258056E-3</v>
      </c>
      <c r="BG21" s="6">
        <f t="shared" si="8"/>
        <v>6.6666666666666671E-3</v>
      </c>
      <c r="BH21" s="6">
        <f t="shared" si="9"/>
        <v>4.4987146529564077E-3</v>
      </c>
    </row>
    <row r="22" spans="2:86" x14ac:dyDescent="0.35">
      <c r="B22" s="5" t="s">
        <v>78</v>
      </c>
      <c r="C22" s="76">
        <f>SUMIFS(October2020,SECTOR,C$2,Category,$B$1)</f>
        <v>2030.9</v>
      </c>
      <c r="D22" s="76">
        <f>SUMIFS(October2020,SECTOR,D$2,Category,$B$1)</f>
        <v>2080.1999999999998</v>
      </c>
      <c r="E22" s="76">
        <f>SUMIFS(October2020,SECTOR,E$2,Category,$B$1)</f>
        <v>2048.6000000000004</v>
      </c>
      <c r="H22" s="5" t="s">
        <v>79</v>
      </c>
      <c r="I22" s="6">
        <f t="shared" si="1"/>
        <v>2.5358215569451965E-2</v>
      </c>
      <c r="J22" s="6">
        <f t="shared" si="2"/>
        <v>1.9469281799826942E-2</v>
      </c>
      <c r="K22" s="6">
        <f t="shared" si="3"/>
        <v>2.2942497315239448E-2</v>
      </c>
      <c r="AB22" s="5" t="s">
        <v>78</v>
      </c>
      <c r="AC22" s="76">
        <f>SUMIFS(October2020,SECTOR,AC$2,Category,$AB$1)</f>
        <v>461.29999999999995</v>
      </c>
      <c r="AD22" s="76">
        <f>SUMIFS(October2020,SECTOR,AD$2,Category,$AB$1)</f>
        <v>434.90000000000003</v>
      </c>
      <c r="AE22" s="76">
        <f>SUMIFS(October2020,SECTOR,AE$2,Category,$AB$1)</f>
        <v>450.59999999999997</v>
      </c>
      <c r="AG22" s="5" t="s">
        <v>79</v>
      </c>
      <c r="AH22" s="6">
        <f t="shared" si="4"/>
        <v>3.2516800346847107E-3</v>
      </c>
      <c r="AI22" s="6">
        <f t="shared" si="5"/>
        <v>3.2191308346745853E-3</v>
      </c>
      <c r="AJ22" s="6">
        <f t="shared" si="6"/>
        <v>3.1069684864626964E-3</v>
      </c>
      <c r="AZ22" s="5" t="s">
        <v>78</v>
      </c>
      <c r="BA22" s="76">
        <f>SUMIFS(October2020,SECTOR,BA$2,Category,$AZ$1)</f>
        <v>159.5</v>
      </c>
      <c r="BB22" s="76">
        <f>SUMIFS(October2020,SECTOR,BB$2,Category,$AZ$1)</f>
        <v>151</v>
      </c>
      <c r="BC22" s="76">
        <f>SUMIFS(October2020,SECTOR,BC$2,Category,$AZ$1)</f>
        <v>156.30000000000001</v>
      </c>
      <c r="BE22" s="5" t="s">
        <v>79</v>
      </c>
      <c r="BF22" s="6">
        <f t="shared" si="7"/>
        <v>5.6426332288401614E-3</v>
      </c>
      <c r="BG22" s="6">
        <f t="shared" si="8"/>
        <v>6.6225165562913907E-3</v>
      </c>
      <c r="BH22" s="6">
        <f t="shared" si="9"/>
        <v>5.7581573896351712E-3</v>
      </c>
    </row>
    <row r="23" spans="2:86" x14ac:dyDescent="0.35">
      <c r="B23" s="5" t="s">
        <v>79</v>
      </c>
      <c r="C23" s="76">
        <f>SUMIFS(November2020,SECTOR,C$2,Category,$B$1)</f>
        <v>2082.4</v>
      </c>
      <c r="D23" s="76">
        <f>SUMIFS(November2020,SECTOR,D$2,Category,$B$1)</f>
        <v>2120.6999999999998</v>
      </c>
      <c r="E23" s="76">
        <f>SUMIFS(November2020,SECTOR,E$2,Category,$B$1)</f>
        <v>2095.6</v>
      </c>
      <c r="H23" s="5" t="s">
        <v>80</v>
      </c>
      <c r="I23" s="6">
        <f t="shared" si="1"/>
        <v>8.6918939684978436E-3</v>
      </c>
      <c r="J23" s="6">
        <f t="shared" si="2"/>
        <v>2.2162493516293077E-3</v>
      </c>
      <c r="K23" s="6">
        <f t="shared" si="3"/>
        <v>6.4420690971559464E-3</v>
      </c>
      <c r="AB23" s="5" t="s">
        <v>79</v>
      </c>
      <c r="AC23" s="76">
        <f>SUMIFS(November2020,SECTOR,AC$2,Category,$AB$1)</f>
        <v>462.8</v>
      </c>
      <c r="AD23" s="76">
        <f>SUMIFS(November2020,SECTOR,AD$2,Category,$AB$1)</f>
        <v>436.3</v>
      </c>
      <c r="AE23" s="76">
        <f>SUMIFS(November2020,SECTOR,AE$2,Category,$AB$1)</f>
        <v>452.00000000000006</v>
      </c>
      <c r="AG23" s="5" t="s">
        <v>80</v>
      </c>
      <c r="AH23" s="6">
        <f t="shared" si="4"/>
        <v>4.5375972342264967E-3</v>
      </c>
      <c r="AI23" s="6">
        <f t="shared" si="5"/>
        <v>4.354801741920775E-3</v>
      </c>
      <c r="AJ23" s="6">
        <f t="shared" si="6"/>
        <v>4.4247787610618202E-3</v>
      </c>
      <c r="AZ23" s="5" t="s">
        <v>79</v>
      </c>
      <c r="BA23" s="76">
        <f>SUMIFS(November2020,SECTOR,BA$2,Category,$AZ$1)</f>
        <v>160.4</v>
      </c>
      <c r="BB23" s="76">
        <f>SUMIFS(November2020,SECTOR,BB$2,Category,$AZ$1)</f>
        <v>152</v>
      </c>
      <c r="BC23" s="76">
        <f>SUMIFS(November2020,SECTOR,BC$2,Category,$AZ$1)</f>
        <v>157.19999999999999</v>
      </c>
      <c r="BE23" s="5" t="s">
        <v>80</v>
      </c>
      <c r="BF23" s="6">
        <f t="shared" si="7"/>
        <v>7.4812967581046668E-3</v>
      </c>
      <c r="BG23" s="6">
        <f t="shared" si="8"/>
        <v>5.9210526315789849E-3</v>
      </c>
      <c r="BH23" s="6">
        <f t="shared" si="9"/>
        <v>6.9974554707380584E-3</v>
      </c>
    </row>
    <row r="24" spans="2:86" x14ac:dyDescent="0.35">
      <c r="B24" s="5" t="s">
        <v>80</v>
      </c>
      <c r="C24" s="76">
        <f>SUMIFS(December2020,SECTOR,C$2,Category,$B$1)</f>
        <v>2100.5</v>
      </c>
      <c r="D24" s="76">
        <f>SUMIFS(December2020,SECTOR,D$2,Category,$B$1)</f>
        <v>2125.4</v>
      </c>
      <c r="E24" s="76">
        <f>SUMIFS(December2020,SECTOR,E$2,Category,$B$1)</f>
        <v>2109.1</v>
      </c>
      <c r="H24" s="5" t="s">
        <v>81</v>
      </c>
      <c r="I24" s="6">
        <f t="shared" si="1"/>
        <v>-1.6567483932397136E-2</v>
      </c>
      <c r="J24" s="6">
        <f t="shared" si="2"/>
        <v>-1.336219064646659E-2</v>
      </c>
      <c r="K24" s="6">
        <f t="shared" si="3"/>
        <v>-1.5456829927457167E-2</v>
      </c>
      <c r="M24" s="23" t="s">
        <v>104</v>
      </c>
      <c r="AB24" s="5" t="s">
        <v>80</v>
      </c>
      <c r="AC24" s="76">
        <f>SUMIFS(December2020,SECTOR,AC$2,Category,$AB$1)</f>
        <v>464.90000000000003</v>
      </c>
      <c r="AD24" s="76">
        <f>SUMIFS(December2020,SECTOR,AD$2,Category,$AB$1)</f>
        <v>438.20000000000005</v>
      </c>
      <c r="AE24" s="76">
        <f>SUMIFS(December2020,SECTOR,AE$2,Category,$AB$1)</f>
        <v>454</v>
      </c>
      <c r="AG24" s="5" t="s">
        <v>81</v>
      </c>
      <c r="AH24" s="6">
        <f t="shared" si="4"/>
        <v>3.8718003871799408E-3</v>
      </c>
      <c r="AI24" s="6">
        <f t="shared" si="5"/>
        <v>4.1077133728889877E-3</v>
      </c>
      <c r="AJ24" s="6">
        <f t="shared" si="6"/>
        <v>3.9647577092511268E-3</v>
      </c>
      <c r="AZ24" s="5" t="s">
        <v>80</v>
      </c>
      <c r="BA24" s="76">
        <f>SUMIFS(December2020,SECTOR,BA$2,Category,$AZ$1)</f>
        <v>161.6</v>
      </c>
      <c r="BB24" s="76">
        <f>SUMIFS(December2020,SECTOR,BB$2,Category,$AZ$1)</f>
        <v>152.9</v>
      </c>
      <c r="BC24" s="76">
        <f>SUMIFS(December2020,SECTOR,BC$2,Category,$AZ$1)</f>
        <v>158.30000000000001</v>
      </c>
      <c r="BE24" s="5" t="s">
        <v>81</v>
      </c>
      <c r="BF24" s="6">
        <f t="shared" si="7"/>
        <v>5.5693069306931046E-3</v>
      </c>
      <c r="BG24" s="6">
        <f t="shared" si="8"/>
        <v>7.848266841072522E-3</v>
      </c>
      <c r="BH24" s="6">
        <f t="shared" si="9"/>
        <v>6.3171193935565376E-3</v>
      </c>
    </row>
    <row r="25" spans="2:86" x14ac:dyDescent="0.35">
      <c r="B25" s="5" t="s">
        <v>81</v>
      </c>
      <c r="C25" s="76">
        <f>SUMIFS(January2021,SECTOR,C$2,Category,$B$1)</f>
        <v>2065.6999999999998</v>
      </c>
      <c r="D25" s="76">
        <f>SUMIFS(January2021,SECTOR,D$2,Category,$B$1)</f>
        <v>2097</v>
      </c>
      <c r="E25" s="76">
        <f>SUMIFS(January2021,SECTOR,E$2,Category,$B$1)</f>
        <v>2076.5</v>
      </c>
      <c r="H25" s="5" t="s">
        <v>82</v>
      </c>
      <c r="I25" s="6">
        <f t="shared" si="1"/>
        <v>-1.9557534976037114E-2</v>
      </c>
      <c r="J25" s="6">
        <f t="shared" si="2"/>
        <v>-1.4783023366714354E-2</v>
      </c>
      <c r="K25" s="6">
        <f t="shared" si="3"/>
        <v>-1.7914760414158352E-2</v>
      </c>
      <c r="M25" t="s">
        <v>124</v>
      </c>
      <c r="AB25" s="5" t="s">
        <v>81</v>
      </c>
      <c r="AC25" s="76">
        <f>SUMIFS(January2021,SECTOR,AC$2,Category,$AB$1)</f>
        <v>466.7</v>
      </c>
      <c r="AD25" s="76">
        <f>SUMIFS(January2021,SECTOR,AD$2,Category,$AB$1)</f>
        <v>440</v>
      </c>
      <c r="AE25" s="76">
        <f>SUMIFS(January2021,SECTOR,AE$2,Category,$AB$1)</f>
        <v>455.8</v>
      </c>
      <c r="AG25" s="5" t="s">
        <v>82</v>
      </c>
      <c r="AH25" s="6">
        <f t="shared" si="4"/>
        <v>1.0070709235054615E-2</v>
      </c>
      <c r="AI25" s="6">
        <f t="shared" si="5"/>
        <v>9.5454545454545202E-3</v>
      </c>
      <c r="AJ25" s="6">
        <f t="shared" si="6"/>
        <v>1.0092145677928965E-2</v>
      </c>
      <c r="AM25" s="23" t="s">
        <v>129</v>
      </c>
      <c r="AZ25" s="5" t="s">
        <v>81</v>
      </c>
      <c r="BA25" s="76">
        <f>SUMIFS(January2021,SECTOR,BA$2,Category,$AZ$1)</f>
        <v>162.5</v>
      </c>
      <c r="BB25" s="76">
        <f>SUMIFS(January2021,SECTOR,BB$2,Category,$AZ$1)</f>
        <v>154.1</v>
      </c>
      <c r="BC25" s="76">
        <f>SUMIFS(January2021,SECTOR,BC$2,Category,$AZ$1)</f>
        <v>159.30000000000001</v>
      </c>
      <c r="BE25" s="5" t="s">
        <v>82</v>
      </c>
      <c r="BF25" s="6">
        <f t="shared" si="7"/>
        <v>1.1076923076923147E-2</v>
      </c>
      <c r="BG25" s="6">
        <f t="shared" si="8"/>
        <v>1.4276443867618541E-2</v>
      </c>
      <c r="BH25" s="6">
        <f t="shared" si="9"/>
        <v>1.2554927809165096E-2</v>
      </c>
      <c r="BJ25" s="23" t="s">
        <v>129</v>
      </c>
    </row>
    <row r="26" spans="2:86" x14ac:dyDescent="0.35">
      <c r="B26" s="5" t="s">
        <v>82</v>
      </c>
      <c r="C26" s="76">
        <f>SUMIFS(February2021,SECTOR,C$2,Category,$B$1)</f>
        <v>2025.3</v>
      </c>
      <c r="D26" s="76">
        <f>SUMIFS(February2021,SECTOR,D$2,Category,$B$1)</f>
        <v>2066</v>
      </c>
      <c r="E26" s="76">
        <f>SUMIFS(February2021,SECTOR,E$2,Category,$B$1)</f>
        <v>2039.3000000000002</v>
      </c>
      <c r="M26" t="s">
        <v>203</v>
      </c>
      <c r="AB26" s="5" t="s">
        <v>82</v>
      </c>
      <c r="AC26" s="76">
        <f>SUMIFS(February2021,SECTOR,AC$2,Category,$AB$1)</f>
        <v>471.4</v>
      </c>
      <c r="AD26" s="76">
        <f>SUMIFS(February2021,SECTOR,AD$2,Category,$AB$1)</f>
        <v>444.2</v>
      </c>
      <c r="AE26" s="76">
        <f>SUMIFS(February2021,SECTOR,AE$2,Category,$AB$1)</f>
        <v>460.40000000000003</v>
      </c>
      <c r="AM26" t="s">
        <v>209</v>
      </c>
      <c r="AZ26" s="5" t="s">
        <v>82</v>
      </c>
      <c r="BA26" s="76">
        <f>SUMIFS(February2021,SECTOR,BA$2,Category,$AZ$1)</f>
        <v>164.3</v>
      </c>
      <c r="BB26" s="76">
        <f>SUMIFS(February2021,SECTOR,BB$2,Category,$AZ$1)</f>
        <v>156.30000000000001</v>
      </c>
      <c r="BC26" s="76">
        <f>SUMIFS(February2021,SECTOR,BC$2,Category,$AZ$1)</f>
        <v>161.30000000000001</v>
      </c>
      <c r="BJ26" t="s">
        <v>217</v>
      </c>
    </row>
    <row r="27" spans="2:86" x14ac:dyDescent="0.35">
      <c r="BJ27" t="s">
        <v>279</v>
      </c>
    </row>
    <row r="28" spans="2:86" x14ac:dyDescent="0.35">
      <c r="M28" s="23" t="s">
        <v>125</v>
      </c>
      <c r="BJ28" s="19" t="s">
        <v>214</v>
      </c>
    </row>
    <row r="29" spans="2:86" x14ac:dyDescent="0.35">
      <c r="M29" t="s">
        <v>126</v>
      </c>
      <c r="AM29" s="23" t="s">
        <v>130</v>
      </c>
      <c r="BJ29" t="s">
        <v>218</v>
      </c>
    </row>
    <row r="30" spans="2:86" x14ac:dyDescent="0.35">
      <c r="M30" t="s">
        <v>127</v>
      </c>
      <c r="AM30" t="s">
        <v>131</v>
      </c>
    </row>
    <row r="31" spans="2:86" x14ac:dyDescent="0.35">
      <c r="M31" t="s">
        <v>128</v>
      </c>
      <c r="AM31" t="s">
        <v>126</v>
      </c>
    </row>
    <row r="32" spans="2:86" x14ac:dyDescent="0.35">
      <c r="CH32" t="s">
        <v>218</v>
      </c>
    </row>
    <row r="37" spans="37:40" x14ac:dyDescent="0.35">
      <c r="AK37" s="9" t="s">
        <v>2</v>
      </c>
      <c r="AL37" s="8" t="s">
        <v>51</v>
      </c>
      <c r="AM37" s="8" t="s">
        <v>210</v>
      </c>
      <c r="AN37" s="8" t="s">
        <v>23</v>
      </c>
    </row>
    <row r="38" spans="37:40" x14ac:dyDescent="0.35">
      <c r="AK38" s="68" t="s">
        <v>111</v>
      </c>
      <c r="AL38" s="6">
        <v>1.0550796982244983E-2</v>
      </c>
      <c r="AM38" s="14">
        <v>1.6685845799770374E-3</v>
      </c>
      <c r="AN38" s="14">
        <v>2.2229822161421932E-3</v>
      </c>
    </row>
    <row r="39" spans="37:40" x14ac:dyDescent="0.35">
      <c r="AK39" s="68" t="s">
        <v>117</v>
      </c>
      <c r="AL39" s="6">
        <v>5.8377771540839441E-3</v>
      </c>
      <c r="AM39" s="14">
        <v>2.0104543626859668E-3</v>
      </c>
      <c r="AN39" s="14">
        <v>2.5592902235115405E-3</v>
      </c>
    </row>
    <row r="40" spans="37:40" x14ac:dyDescent="0.35">
      <c r="AK40" s="68" t="s">
        <v>119</v>
      </c>
      <c r="AL40" s="6">
        <v>1.2389084212288529E-2</v>
      </c>
      <c r="AM40" s="14">
        <v>6.8791561568437175E-4</v>
      </c>
      <c r="AN40" s="14">
        <v>3.4036759700476512E-3</v>
      </c>
    </row>
    <row r="41" spans="37:40" x14ac:dyDescent="0.35">
      <c r="AK41" s="68" t="s">
        <v>120</v>
      </c>
      <c r="AL41" s="6">
        <v>1.289895816107153E-2</v>
      </c>
      <c r="AM41" s="14">
        <v>1.3748854262145343E-3</v>
      </c>
      <c r="AN41" s="14">
        <v>3.3921302578018993E-3</v>
      </c>
    </row>
    <row r="42" spans="37:40" x14ac:dyDescent="0.35">
      <c r="AK42" s="68" t="s">
        <v>121</v>
      </c>
      <c r="AL42" s="6">
        <v>4.8979591836734691E-3</v>
      </c>
      <c r="AM42" s="14">
        <v>1.3729977116705326E-3</v>
      </c>
      <c r="AN42" s="14">
        <v>4.0567951318458036E-3</v>
      </c>
    </row>
    <row r="43" spans="37:40" x14ac:dyDescent="0.35">
      <c r="AK43" s="68" t="s">
        <v>122</v>
      </c>
      <c r="AL43" s="6">
        <v>6.0655293799078353E-3</v>
      </c>
      <c r="AM43" s="14">
        <v>2.285191956122236E-4</v>
      </c>
      <c r="AN43" s="14">
        <v>3.3670033670033669E-3</v>
      </c>
    </row>
    <row r="44" spans="37:40" x14ac:dyDescent="0.35">
      <c r="AK44" s="68" t="s">
        <v>123</v>
      </c>
      <c r="AL44" s="6">
        <v>1.501857135167135E-2</v>
      </c>
      <c r="AM44" s="14">
        <v>1.5992689056433685E-3</v>
      </c>
      <c r="AN44" s="14">
        <v>2.6845637583892998E-3</v>
      </c>
    </row>
    <row r="45" spans="37:40" x14ac:dyDescent="0.35">
      <c r="AK45" s="68" t="s">
        <v>116</v>
      </c>
      <c r="AL45" s="6">
        <v>1.3417479847263689E-2</v>
      </c>
      <c r="AM45" s="14">
        <v>2.5091240875911628E-3</v>
      </c>
      <c r="AN45" s="14">
        <v>3.3467202141900937E-3</v>
      </c>
    </row>
    <row r="46" spans="37:40" x14ac:dyDescent="0.35">
      <c r="AK46" s="68" t="s">
        <v>113</v>
      </c>
      <c r="AL46" s="6">
        <v>1.8420639489245928E-2</v>
      </c>
      <c r="AM46" s="14">
        <v>2.5028441410694488E-3</v>
      </c>
      <c r="AN46" s="14">
        <v>3.3355570380253501E-3</v>
      </c>
    </row>
    <row r="47" spans="37:40" x14ac:dyDescent="0.35">
      <c r="AK47" s="68" t="s">
        <v>114</v>
      </c>
      <c r="AL47" s="6">
        <v>-2.9289347926623878E-3</v>
      </c>
      <c r="AM47" s="14">
        <v>1.3617793917384609E-3</v>
      </c>
      <c r="AN47" s="14">
        <v>5.319148936170099E-3</v>
      </c>
    </row>
    <row r="48" spans="37:40" x14ac:dyDescent="0.35">
      <c r="AK48" s="68" t="s">
        <v>115</v>
      </c>
      <c r="AL48" s="6">
        <v>-1.4842300556586249E-2</v>
      </c>
      <c r="AM48" s="14">
        <v>1.8132366273798989E-3</v>
      </c>
      <c r="AN48" s="14">
        <v>3.3068783068783071E-3</v>
      </c>
    </row>
    <row r="49" spans="37:59" x14ac:dyDescent="0.35">
      <c r="AK49" s="68" t="s">
        <v>112</v>
      </c>
      <c r="AL49" s="6">
        <v>-8.4745762711863452E-3</v>
      </c>
      <c r="AM49" s="14">
        <v>2.0361990950227018E-3</v>
      </c>
      <c r="AN49" s="14">
        <v>3.9551746868821541E-3</v>
      </c>
    </row>
    <row r="50" spans="37:59" x14ac:dyDescent="0.35">
      <c r="AK50" s="68" t="s">
        <v>72</v>
      </c>
      <c r="AL50" s="6">
        <v>2.8437269178009844E-2</v>
      </c>
      <c r="AM50" s="14">
        <v>0</v>
      </c>
      <c r="AN50" s="14">
        <v>-1.0505581089954186E-2</v>
      </c>
    </row>
    <row r="51" spans="37:59" x14ac:dyDescent="0.35">
      <c r="AK51" s="68" t="s">
        <v>73</v>
      </c>
      <c r="AL51" s="6">
        <v>-2.4239470579181803E-3</v>
      </c>
      <c r="AM51" s="14">
        <v>6.0961842402347897E-3</v>
      </c>
      <c r="AN51" s="14">
        <v>1.4930325149303253E-2</v>
      </c>
    </row>
    <row r="52" spans="37:59" x14ac:dyDescent="0.35">
      <c r="AK52" s="68" t="s">
        <v>74</v>
      </c>
      <c r="AL52" s="6">
        <v>1.1429232608667773E-2</v>
      </c>
      <c r="AM52" s="14">
        <v>6.0592459605025399E-3</v>
      </c>
      <c r="AN52" s="14">
        <v>9.4802222948677153E-3</v>
      </c>
    </row>
    <row r="53" spans="37:59" x14ac:dyDescent="0.35">
      <c r="AK53" s="68" t="s">
        <v>75</v>
      </c>
      <c r="AL53" s="6">
        <v>0</v>
      </c>
      <c r="AM53" s="14">
        <v>0</v>
      </c>
      <c r="AN53" s="14">
        <v>0</v>
      </c>
    </row>
    <row r="54" spans="37:59" x14ac:dyDescent="0.35">
      <c r="AK54" s="68" t="s">
        <v>76</v>
      </c>
      <c r="AL54" s="6">
        <v>1.4439699003457207E-2</v>
      </c>
      <c r="AM54" s="14">
        <v>-2.2306491188928376E-4</v>
      </c>
      <c r="AN54" s="14">
        <v>3.8860103626942636E-3</v>
      </c>
    </row>
    <row r="55" spans="37:59" x14ac:dyDescent="0.35">
      <c r="AK55" s="68" t="s">
        <v>77</v>
      </c>
      <c r="AL55" s="6">
        <v>5.9141940657579106E-3</v>
      </c>
      <c r="AM55" s="14">
        <v>3.3467202141902208E-3</v>
      </c>
      <c r="AN55" s="14">
        <v>3.870967741935447E-3</v>
      </c>
    </row>
    <row r="56" spans="37:59" x14ac:dyDescent="0.35">
      <c r="AK56" s="68" t="s">
        <v>78</v>
      </c>
      <c r="AL56" s="6">
        <v>2.0727453911310596E-2</v>
      </c>
      <c r="AM56" s="14">
        <v>2.0013342228150329E-3</v>
      </c>
      <c r="AN56" s="14">
        <v>4.4987146529564077E-3</v>
      </c>
    </row>
    <row r="57" spans="37:59" x14ac:dyDescent="0.35">
      <c r="AK57" s="68" t="s">
        <v>79</v>
      </c>
      <c r="AL57" s="6">
        <v>2.2942497315239448E-2</v>
      </c>
      <c r="AM57" s="14">
        <v>3.1069684864626964E-3</v>
      </c>
      <c r="AN57" s="14">
        <v>5.7581573896351712E-3</v>
      </c>
    </row>
    <row r="58" spans="37:59" x14ac:dyDescent="0.35">
      <c r="AK58" s="68" t="s">
        <v>80</v>
      </c>
      <c r="AL58" s="6">
        <v>6.4420690971559464E-3</v>
      </c>
      <c r="AM58" s="14">
        <v>4.4247787610618202E-3</v>
      </c>
      <c r="AN58" s="14">
        <v>6.9974554707380584E-3</v>
      </c>
    </row>
    <row r="59" spans="37:59" x14ac:dyDescent="0.35">
      <c r="AK59" s="68" t="s">
        <v>81</v>
      </c>
      <c r="AL59" s="6">
        <v>-1.5456829927457167E-2</v>
      </c>
      <c r="AM59" s="14">
        <v>3.9647577092511268E-3</v>
      </c>
      <c r="AN59" s="14">
        <v>6.3171193935565376E-3</v>
      </c>
    </row>
    <row r="60" spans="37:59" x14ac:dyDescent="0.35">
      <c r="AK60" s="68" t="s">
        <v>82</v>
      </c>
      <c r="AL60" s="6">
        <v>-1.7914760414158352E-2</v>
      </c>
      <c r="AM60" s="14">
        <v>1.0092145677928965E-2</v>
      </c>
      <c r="AN60" s="14">
        <v>1.2554927809165096E-2</v>
      </c>
    </row>
    <row r="62" spans="37:59" x14ac:dyDescent="0.35">
      <c r="AQ62" s="19" t="s">
        <v>129</v>
      </c>
    </row>
    <row r="63" spans="37:59" x14ac:dyDescent="0.35">
      <c r="AQ63" s="95" t="s">
        <v>139</v>
      </c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</row>
    <row r="64" spans="37:59" x14ac:dyDescent="0.35">
      <c r="AQ64" t="s">
        <v>222</v>
      </c>
    </row>
    <row r="66" spans="34:43" x14ac:dyDescent="0.35">
      <c r="AQ66" s="19" t="s">
        <v>214</v>
      </c>
    </row>
    <row r="67" spans="34:43" x14ac:dyDescent="0.35">
      <c r="AQ67" t="s">
        <v>219</v>
      </c>
    </row>
    <row r="73" spans="34:43" x14ac:dyDescent="0.35">
      <c r="AH73" s="6"/>
    </row>
  </sheetData>
  <mergeCells count="1">
    <mergeCell ref="AQ63:BG6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6DB1-4777-4C1E-8699-1118983EF2A9}">
  <dimension ref="A1:BL70"/>
  <sheetViews>
    <sheetView showGridLines="0" tabSelected="1" topLeftCell="A45" zoomScale="66" zoomScaleNormal="100" workbookViewId="0">
      <selection activeCell="AM39" sqref="AM39"/>
    </sheetView>
  </sheetViews>
  <sheetFormatPr defaultRowHeight="14.5" x14ac:dyDescent="0.35"/>
  <cols>
    <col min="2" max="2" width="30.7265625" bestFit="1" customWidth="1"/>
    <col min="3" max="8" width="14.6328125" customWidth="1"/>
    <col min="9" max="9" width="18.54296875" bestFit="1" customWidth="1"/>
    <col min="10" max="10" width="12.26953125" bestFit="1" customWidth="1"/>
    <col min="11" max="11" width="12.453125" bestFit="1" customWidth="1"/>
    <col min="12" max="12" width="15.90625" bestFit="1" customWidth="1"/>
    <col min="13" max="13" width="11.08984375" bestFit="1" customWidth="1"/>
    <col min="14" max="14" width="5.453125" bestFit="1" customWidth="1"/>
    <col min="15" max="15" width="9.81640625" bestFit="1" customWidth="1"/>
    <col min="16" max="16" width="17.6328125" bestFit="1" customWidth="1"/>
    <col min="17" max="17" width="21.453125" bestFit="1" customWidth="1"/>
    <col min="18" max="18" width="5.90625" bestFit="1" customWidth="1"/>
    <col min="19" max="19" width="21.36328125" bestFit="1" customWidth="1"/>
    <col min="20" max="20" width="30.7265625" bestFit="1" customWidth="1"/>
    <col min="21" max="21" width="17.7265625" bestFit="1" customWidth="1"/>
    <col min="22" max="22" width="24.7265625" bestFit="1" customWidth="1"/>
    <col min="23" max="23" width="7.6328125" bestFit="1" customWidth="1"/>
    <col min="25" max="25" width="19.54296875" bestFit="1" customWidth="1"/>
    <col min="26" max="26" width="7.54296875" bestFit="1" customWidth="1"/>
    <col min="27" max="27" width="11.90625" bestFit="1" customWidth="1"/>
    <col min="28" max="28" width="26.26953125" bestFit="1" customWidth="1"/>
    <col min="29" max="29" width="6.26953125" bestFit="1" customWidth="1"/>
    <col min="30" max="30" width="26.36328125" bestFit="1" customWidth="1"/>
    <col min="31" max="31" width="24" bestFit="1" customWidth="1"/>
    <col min="32" max="32" width="9.08984375" bestFit="1" customWidth="1"/>
    <col min="33" max="33" width="21.90625" bestFit="1" customWidth="1"/>
    <col min="34" max="34" width="12.6328125" bestFit="1" customWidth="1"/>
    <col min="37" max="37" width="30.7265625" bestFit="1" customWidth="1"/>
    <col min="38" max="38" width="14.6328125" bestFit="1" customWidth="1"/>
    <col min="39" max="39" width="6.81640625" bestFit="1" customWidth="1"/>
    <col min="40" max="40" width="12.26953125" bestFit="1" customWidth="1"/>
    <col min="43" max="43" width="10.6328125" bestFit="1" customWidth="1"/>
    <col min="44" max="44" width="18.54296875" bestFit="1" customWidth="1"/>
    <col min="45" max="45" width="12.26953125" bestFit="1" customWidth="1"/>
    <col min="46" max="46" width="17.6328125" bestFit="1" customWidth="1"/>
    <col min="47" max="47" width="15.90625" bestFit="1" customWidth="1"/>
    <col min="48" max="48" width="11.08984375" bestFit="1" customWidth="1"/>
    <col min="49" max="49" width="21.36328125" bestFit="1" customWidth="1"/>
    <col min="50" max="50" width="30.7265625" bestFit="1" customWidth="1"/>
    <col min="51" max="51" width="17.6328125" bestFit="1" customWidth="1"/>
    <col min="52" max="52" width="21.453125" bestFit="1" customWidth="1"/>
    <col min="53" max="53" width="7.6328125" bestFit="1" customWidth="1"/>
    <col min="54" max="54" width="21.36328125" bestFit="1" customWidth="1"/>
    <col min="55" max="55" width="30.7265625" bestFit="1" customWidth="1"/>
    <col min="56" max="56" width="17.7265625" bestFit="1" customWidth="1"/>
    <col min="57" max="57" width="24.7265625" bestFit="1" customWidth="1"/>
    <col min="58" max="58" width="7.6328125" bestFit="1" customWidth="1"/>
    <col min="60" max="60" width="19.54296875" bestFit="1" customWidth="1"/>
    <col min="61" max="61" width="7.54296875" bestFit="1" customWidth="1"/>
    <col min="62" max="62" width="11.90625" bestFit="1" customWidth="1"/>
    <col min="63" max="63" width="26.26953125" bestFit="1" customWidth="1"/>
    <col min="64" max="64" width="12.6328125" bestFit="1" customWidth="1"/>
    <col min="65" max="65" width="26.36328125" bestFit="1" customWidth="1"/>
    <col min="66" max="66" width="24" bestFit="1" customWidth="1"/>
    <col min="67" max="67" width="9.08984375" bestFit="1" customWidth="1"/>
    <col min="68" max="68" width="21.90625" bestFit="1" customWidth="1"/>
    <col min="69" max="69" width="12.6328125" bestFit="1" customWidth="1"/>
  </cols>
  <sheetData>
    <row r="1" spans="1:64" x14ac:dyDescent="0.35">
      <c r="E1">
        <v>7.33</v>
      </c>
      <c r="I1" t="s">
        <v>34</v>
      </c>
    </row>
    <row r="2" spans="1:64" x14ac:dyDescent="0.35">
      <c r="B2" s="18" t="s">
        <v>103</v>
      </c>
      <c r="C2" s="18" t="s">
        <v>141</v>
      </c>
      <c r="D2" s="18" t="s">
        <v>205</v>
      </c>
      <c r="E2" s="18" t="s">
        <v>206</v>
      </c>
      <c r="F2" s="18" t="s">
        <v>204</v>
      </c>
      <c r="G2" s="53"/>
      <c r="H2" s="18" t="s">
        <v>103</v>
      </c>
      <c r="I2" s="18" t="s">
        <v>3</v>
      </c>
      <c r="J2" s="18" t="s">
        <v>4</v>
      </c>
      <c r="K2" s="18" t="s">
        <v>5</v>
      </c>
      <c r="L2" s="18" t="s">
        <v>6</v>
      </c>
      <c r="M2" s="18" t="s">
        <v>7</v>
      </c>
      <c r="N2" s="18" t="s">
        <v>8</v>
      </c>
      <c r="O2" s="18" t="s">
        <v>9</v>
      </c>
      <c r="P2" s="18" t="s">
        <v>10</v>
      </c>
      <c r="Q2" s="18" t="s">
        <v>11</v>
      </c>
      <c r="R2" s="18" t="s">
        <v>12</v>
      </c>
      <c r="S2" s="18" t="s">
        <v>13</v>
      </c>
      <c r="T2" s="18" t="s">
        <v>14</v>
      </c>
      <c r="U2" s="18" t="s">
        <v>15</v>
      </c>
      <c r="V2" s="18" t="s">
        <v>16</v>
      </c>
      <c r="W2" s="18" t="s">
        <v>17</v>
      </c>
      <c r="X2" s="18" t="s">
        <v>18</v>
      </c>
      <c r="Y2" s="18" t="s">
        <v>19</v>
      </c>
      <c r="Z2" s="18" t="s">
        <v>20</v>
      </c>
      <c r="AA2" s="18" t="s">
        <v>21</v>
      </c>
      <c r="AB2" s="18" t="s">
        <v>22</v>
      </c>
      <c r="AC2" s="18" t="s">
        <v>23</v>
      </c>
      <c r="AD2" s="18" t="s">
        <v>24</v>
      </c>
      <c r="AE2" s="18" t="s">
        <v>25</v>
      </c>
      <c r="AF2" s="18" t="s">
        <v>26</v>
      </c>
      <c r="AG2" s="18" t="s">
        <v>27</v>
      </c>
      <c r="AH2" s="18" t="s">
        <v>28</v>
      </c>
      <c r="AL2" s="18" t="s">
        <v>103</v>
      </c>
      <c r="AM2" s="18" t="s">
        <v>3</v>
      </c>
      <c r="AN2" s="18" t="s">
        <v>4</v>
      </c>
      <c r="AO2" s="18" t="s">
        <v>5</v>
      </c>
      <c r="AP2" s="18" t="s">
        <v>6</v>
      </c>
      <c r="AQ2" s="18" t="s">
        <v>7</v>
      </c>
      <c r="AR2" s="18" t="s">
        <v>8</v>
      </c>
      <c r="AS2" s="18" t="s">
        <v>9</v>
      </c>
      <c r="AT2" s="18" t="s">
        <v>10</v>
      </c>
      <c r="AU2" s="18" t="s">
        <v>11</v>
      </c>
      <c r="AV2" s="18" t="s">
        <v>12</v>
      </c>
      <c r="AW2" s="18" t="s">
        <v>13</v>
      </c>
      <c r="AX2" s="18" t="s">
        <v>14</v>
      </c>
      <c r="AY2" s="18" t="s">
        <v>15</v>
      </c>
      <c r="AZ2" s="18" t="s">
        <v>16</v>
      </c>
      <c r="BA2" s="18" t="s">
        <v>17</v>
      </c>
      <c r="BB2" s="18" t="s">
        <v>18</v>
      </c>
      <c r="BC2" s="18" t="s">
        <v>19</v>
      </c>
      <c r="BD2" s="18" t="s">
        <v>20</v>
      </c>
      <c r="BE2" s="18" t="s">
        <v>21</v>
      </c>
      <c r="BF2" s="18" t="s">
        <v>22</v>
      </c>
      <c r="BG2" s="18" t="s">
        <v>23</v>
      </c>
      <c r="BH2" s="18" t="s">
        <v>24</v>
      </c>
      <c r="BI2" s="18" t="s">
        <v>25</v>
      </c>
      <c r="BJ2" s="18" t="s">
        <v>26</v>
      </c>
      <c r="BK2" s="18" t="s">
        <v>27</v>
      </c>
      <c r="BL2" s="18" t="s">
        <v>28</v>
      </c>
    </row>
    <row r="3" spans="1:64" s="53" customFormat="1" x14ac:dyDescent="0.35">
      <c r="A3"/>
      <c r="B3" s="5" t="s">
        <v>112</v>
      </c>
      <c r="C3" s="65">
        <v>42917.058429571603</v>
      </c>
      <c r="D3" s="65">
        <v>19515.246140264</v>
      </c>
      <c r="E3" s="65">
        <f>C3/(D3*$E$1)</f>
        <v>0.30002119703552765</v>
      </c>
      <c r="F3" s="15"/>
      <c r="H3" s="5" t="s">
        <v>112</v>
      </c>
      <c r="I3" s="15">
        <f t="shared" ref="I3:AI3" si="0">SUMIFS(March20,Subcategory,I$2,SECTOR,$I$1)</f>
        <v>145.1</v>
      </c>
      <c r="J3" s="15">
        <f t="shared" si="0"/>
        <v>167</v>
      </c>
      <c r="K3" s="15">
        <f t="shared" si="0"/>
        <v>148.1</v>
      </c>
      <c r="L3" s="15">
        <f t="shared" si="0"/>
        <v>151.5</v>
      </c>
      <c r="M3" s="15">
        <f t="shared" si="0"/>
        <v>131.19999999999999</v>
      </c>
      <c r="N3" s="15">
        <f t="shared" si="0"/>
        <v>142.5</v>
      </c>
      <c r="O3" s="15">
        <f t="shared" si="0"/>
        <v>157.30000000000001</v>
      </c>
      <c r="P3" s="15">
        <f t="shared" si="0"/>
        <v>141.1</v>
      </c>
      <c r="Q3" s="15">
        <f t="shared" si="0"/>
        <v>113.2</v>
      </c>
      <c r="R3" s="15">
        <f t="shared" si="0"/>
        <v>153.19999999999999</v>
      </c>
      <c r="S3" s="15">
        <f t="shared" si="0"/>
        <v>136.69999999999999</v>
      </c>
      <c r="T3" s="15">
        <f t="shared" si="0"/>
        <v>159.6</v>
      </c>
      <c r="U3" s="15">
        <f t="shared" si="0"/>
        <v>148.9</v>
      </c>
      <c r="V3" s="15">
        <f t="shared" si="0"/>
        <v>171.2</v>
      </c>
      <c r="W3" s="15">
        <f t="shared" si="0"/>
        <v>151.19999999999999</v>
      </c>
      <c r="X3" s="15">
        <f t="shared" si="0"/>
        <v>141.9</v>
      </c>
      <c r="Y3" s="15">
        <f t="shared" si="0"/>
        <v>149.80000000000001</v>
      </c>
      <c r="Z3" s="15">
        <f t="shared" si="0"/>
        <v>154.5</v>
      </c>
      <c r="AA3" s="15">
        <f t="shared" si="0"/>
        <v>148.9</v>
      </c>
      <c r="AB3" s="15">
        <f t="shared" si="0"/>
        <v>146.4</v>
      </c>
      <c r="AC3" s="15">
        <f t="shared" si="0"/>
        <v>152.30000000000001</v>
      </c>
      <c r="AD3" s="15">
        <f t="shared" si="0"/>
        <v>129.9</v>
      </c>
      <c r="AE3" s="15">
        <f t="shared" si="0"/>
        <v>143.69999999999999</v>
      </c>
      <c r="AF3" s="15">
        <f t="shared" si="0"/>
        <v>156.1</v>
      </c>
      <c r="AG3" s="15">
        <f t="shared" si="0"/>
        <v>145.19999999999999</v>
      </c>
      <c r="AH3" s="15">
        <f t="shared" si="0"/>
        <v>143.80000000000001</v>
      </c>
      <c r="AI3" s="15">
        <f t="shared" si="0"/>
        <v>0</v>
      </c>
      <c r="AL3" s="5" t="s">
        <v>72</v>
      </c>
      <c r="AM3" s="64">
        <f>(I4-I3)/I3</f>
        <v>2.4810475534114366E-2</v>
      </c>
      <c r="AN3" s="64">
        <f t="shared" ref="AN3:BL3" si="1">(J4-J3)/J3</f>
        <v>0</v>
      </c>
      <c r="AO3" s="64">
        <f t="shared" si="1"/>
        <v>4.7265361242404937E-3</v>
      </c>
      <c r="AP3" s="64">
        <f t="shared" si="1"/>
        <v>2.7062706270627027E-2</v>
      </c>
      <c r="AQ3" s="64">
        <f t="shared" si="1"/>
        <v>2.9725609756097608E-2</v>
      </c>
      <c r="AR3" s="64">
        <f t="shared" si="1"/>
        <v>5.1929824561403548E-2</v>
      </c>
      <c r="AS3" s="64">
        <f t="shared" si="1"/>
        <v>7.1837253655435362E-2</v>
      </c>
      <c r="AT3" s="64">
        <f t="shared" si="1"/>
        <v>6.5910701630049695E-2</v>
      </c>
      <c r="AU3" s="64">
        <f t="shared" si="1"/>
        <v>6.2720848056537049E-2</v>
      </c>
      <c r="AV3" s="64">
        <f t="shared" si="1"/>
        <v>2.545691906005226E-2</v>
      </c>
      <c r="AW3" s="64">
        <f t="shared" si="1"/>
        <v>7.3152889539153431E-4</v>
      </c>
      <c r="AX3" s="64">
        <f t="shared" si="1"/>
        <v>0</v>
      </c>
      <c r="AY3" s="64">
        <f t="shared" si="1"/>
        <v>1.6789791806581598E-2</v>
      </c>
      <c r="AZ3" s="64">
        <f t="shared" si="1"/>
        <v>0</v>
      </c>
      <c r="BA3" s="64">
        <f t="shared" si="1"/>
        <v>0</v>
      </c>
      <c r="BB3" s="64">
        <f t="shared" si="1"/>
        <v>0</v>
      </c>
      <c r="BC3" s="64">
        <f t="shared" si="1"/>
        <v>0</v>
      </c>
      <c r="BD3" s="64">
        <f t="shared" si="1"/>
        <v>7.1197411003235877E-3</v>
      </c>
      <c r="BE3" s="64">
        <f t="shared" si="1"/>
        <v>-3.2236400268636743E-2</v>
      </c>
      <c r="BF3" s="64">
        <f t="shared" si="1"/>
        <v>0</v>
      </c>
      <c r="BG3" s="64">
        <f t="shared" si="1"/>
        <v>-1.0505581089954186E-2</v>
      </c>
      <c r="BH3" s="64">
        <f t="shared" si="1"/>
        <v>0</v>
      </c>
      <c r="BI3" s="64">
        <f t="shared" si="1"/>
        <v>0</v>
      </c>
      <c r="BJ3" s="64">
        <f t="shared" si="1"/>
        <v>0</v>
      </c>
      <c r="BK3" s="64">
        <f t="shared" si="1"/>
        <v>0</v>
      </c>
      <c r="BL3" s="64">
        <f t="shared" si="1"/>
        <v>0</v>
      </c>
    </row>
    <row r="4" spans="1:64" x14ac:dyDescent="0.35">
      <c r="B4" s="5" t="s">
        <v>72</v>
      </c>
      <c r="C4" s="61">
        <v>23097.82128634103</v>
      </c>
      <c r="D4" s="61">
        <v>16552.706435043747</v>
      </c>
      <c r="E4" s="65">
        <f t="shared" ref="E4:E39" si="2">C4/(D4*$E$1)</f>
        <v>0.19036978933005055</v>
      </c>
      <c r="F4" s="6">
        <f>(E4-E3)/E3</f>
        <v>-0.36547886878970254</v>
      </c>
      <c r="H4" s="5" t="s">
        <v>72</v>
      </c>
      <c r="I4" s="15">
        <f t="shared" ref="I4:AI4" si="3">SUMIFS(April20,Subcategory,I$2,SECTOR,$I$1)</f>
        <v>148.69999999999999</v>
      </c>
      <c r="J4" s="15">
        <f t="shared" si="3"/>
        <v>167</v>
      </c>
      <c r="K4" s="15">
        <f t="shared" si="3"/>
        <v>148.80000000000001</v>
      </c>
      <c r="L4" s="15">
        <f t="shared" si="3"/>
        <v>155.6</v>
      </c>
      <c r="M4" s="15">
        <f t="shared" si="3"/>
        <v>135.1</v>
      </c>
      <c r="N4" s="15">
        <f t="shared" si="3"/>
        <v>149.9</v>
      </c>
      <c r="O4" s="15">
        <f t="shared" si="3"/>
        <v>168.6</v>
      </c>
      <c r="P4" s="15">
        <f t="shared" si="3"/>
        <v>150.4</v>
      </c>
      <c r="Q4" s="15">
        <f t="shared" si="3"/>
        <v>120.3</v>
      </c>
      <c r="R4" s="15">
        <f t="shared" si="3"/>
        <v>157.1</v>
      </c>
      <c r="S4" s="15">
        <f t="shared" si="3"/>
        <v>136.80000000000001</v>
      </c>
      <c r="T4" s="15">
        <f t="shared" si="3"/>
        <v>159.6</v>
      </c>
      <c r="U4" s="15">
        <f t="shared" si="3"/>
        <v>151.4</v>
      </c>
      <c r="V4" s="15">
        <f t="shared" si="3"/>
        <v>171.2</v>
      </c>
      <c r="W4" s="15">
        <f t="shared" si="3"/>
        <v>151.19999999999999</v>
      </c>
      <c r="X4" s="15">
        <f t="shared" si="3"/>
        <v>141.9</v>
      </c>
      <c r="Y4" s="15">
        <f t="shared" si="3"/>
        <v>149.80000000000001</v>
      </c>
      <c r="Z4" s="15">
        <f t="shared" si="3"/>
        <v>155.6</v>
      </c>
      <c r="AA4" s="15">
        <f t="shared" si="3"/>
        <v>144.1</v>
      </c>
      <c r="AB4" s="15">
        <f t="shared" si="3"/>
        <v>146.4</v>
      </c>
      <c r="AC4" s="15">
        <f t="shared" si="3"/>
        <v>150.69999999999999</v>
      </c>
      <c r="AD4" s="15">
        <f t="shared" si="3"/>
        <v>129.9</v>
      </c>
      <c r="AE4" s="15">
        <f t="shared" si="3"/>
        <v>143.69999999999999</v>
      </c>
      <c r="AF4" s="15">
        <f t="shared" si="3"/>
        <v>156.1</v>
      </c>
      <c r="AG4" s="15">
        <f t="shared" si="3"/>
        <v>145.19999999999999</v>
      </c>
      <c r="AH4" s="15">
        <f t="shared" si="3"/>
        <v>143.80000000000001</v>
      </c>
      <c r="AI4" s="15">
        <f t="shared" si="3"/>
        <v>0</v>
      </c>
      <c r="AL4" s="5" t="s">
        <v>73</v>
      </c>
      <c r="AM4" s="14">
        <f>(I5-I4)/I4</f>
        <v>-3.0262273032951492E-3</v>
      </c>
      <c r="AN4" s="14">
        <f>(J5-J4)/J4</f>
        <v>7.6946107784431103E-2</v>
      </c>
      <c r="AO4" s="14">
        <f t="shared" ref="AO4:BL19" si="4">(K5-K4)/K4</f>
        <v>7.5604838709677413E-3</v>
      </c>
      <c r="AP4" s="14">
        <f t="shared" si="4"/>
        <v>-1.3978149100256959E-2</v>
      </c>
      <c r="AQ4" s="14">
        <f t="shared" si="4"/>
        <v>-2.7757216876387863E-3</v>
      </c>
      <c r="AR4" s="14">
        <f t="shared" si="4"/>
        <v>-2.1347565043362354E-2</v>
      </c>
      <c r="AS4" s="14">
        <f t="shared" si="4"/>
        <v>-5.2639383155397394E-2</v>
      </c>
      <c r="AT4" s="14">
        <f t="shared" si="4"/>
        <v>-1.3796542553191602E-2</v>
      </c>
      <c r="AU4" s="14">
        <f t="shared" si="4"/>
        <v>-4.0108063175394872E-2</v>
      </c>
      <c r="AV4" s="14">
        <f t="shared" si="4"/>
        <v>1.4322087842138405E-3</v>
      </c>
      <c r="AW4" s="14">
        <f t="shared" si="4"/>
        <v>9.3201754385963242E-3</v>
      </c>
      <c r="AX4" s="14">
        <f t="shared" si="4"/>
        <v>6.8922305764410677E-3</v>
      </c>
      <c r="AY4" s="14">
        <f t="shared" si="4"/>
        <v>4.4583883751650125E-3</v>
      </c>
      <c r="AZ4" s="14">
        <f t="shared" si="4"/>
        <v>3.5922897196261717E-2</v>
      </c>
      <c r="BA4" s="14">
        <f t="shared" si="4"/>
        <v>4.2989417989418369E-3</v>
      </c>
      <c r="BB4" s="14">
        <f t="shared" si="4"/>
        <v>8.8090204369274134E-3</v>
      </c>
      <c r="BC4" s="14">
        <f t="shared" si="4"/>
        <v>5.340453938584855E-3</v>
      </c>
      <c r="BD4" s="14">
        <f t="shared" si="4"/>
        <v>-4.6593830334189868E-3</v>
      </c>
      <c r="BE4" s="14">
        <f t="shared" si="4"/>
        <v>6.9396252602355534E-4</v>
      </c>
      <c r="BF4" s="14">
        <f t="shared" si="4"/>
        <v>0</v>
      </c>
      <c r="BG4" s="14">
        <f t="shared" si="4"/>
        <v>1.4930325149303253E-2</v>
      </c>
      <c r="BH4" s="14">
        <f t="shared" si="4"/>
        <v>1.9630484988452525E-2</v>
      </c>
      <c r="BI4" s="14">
        <f t="shared" si="4"/>
        <v>1.6005567153792703E-2</v>
      </c>
      <c r="BJ4" s="14">
        <f t="shared" si="4"/>
        <v>9.6092248558619919E-4</v>
      </c>
      <c r="BK4" s="14">
        <f t="shared" si="4"/>
        <v>2.2038567493112872E-2</v>
      </c>
      <c r="BL4" s="14">
        <f t="shared" si="4"/>
        <v>1.1126564673157122E-2</v>
      </c>
    </row>
    <row r="5" spans="1:64" x14ac:dyDescent="0.35">
      <c r="B5" s="5" t="s">
        <v>73</v>
      </c>
      <c r="C5" s="61">
        <v>17134.221652653792</v>
      </c>
      <c r="D5" s="61">
        <v>14606.829776791896</v>
      </c>
      <c r="E5" s="65">
        <f t="shared" si="2"/>
        <v>0.16003111750004445</v>
      </c>
      <c r="F5" s="6">
        <f t="shared" ref="F5:F39" si="5">(E5-E4)/E4</f>
        <v>-0.15936705050089076</v>
      </c>
      <c r="H5" s="5" t="s">
        <v>73</v>
      </c>
      <c r="I5" s="15">
        <f t="shared" ref="I5:AI5" si="6">SUMIFS(Maymonth20,Subcategory,I$2,SECTOR,$I$1)</f>
        <v>148.25</v>
      </c>
      <c r="J5" s="15">
        <f t="shared" si="6"/>
        <v>179.85</v>
      </c>
      <c r="K5" s="15">
        <f t="shared" si="6"/>
        <v>149.92500000000001</v>
      </c>
      <c r="L5" s="15">
        <f t="shared" si="6"/>
        <v>153.42500000000001</v>
      </c>
      <c r="M5" s="15">
        <f t="shared" si="6"/>
        <v>134.72499999999999</v>
      </c>
      <c r="N5" s="15">
        <f t="shared" si="6"/>
        <v>146.69999999999999</v>
      </c>
      <c r="O5" s="15">
        <f t="shared" si="6"/>
        <v>159.72499999999999</v>
      </c>
      <c r="P5" s="15">
        <f t="shared" si="6"/>
        <v>148.32499999999999</v>
      </c>
      <c r="Q5" s="15">
        <f t="shared" si="6"/>
        <v>115.47499999999999</v>
      </c>
      <c r="R5" s="15">
        <f t="shared" si="6"/>
        <v>157.32499999999999</v>
      </c>
      <c r="S5" s="15">
        <f t="shared" si="6"/>
        <v>138.07499999999999</v>
      </c>
      <c r="T5" s="15">
        <f t="shared" si="6"/>
        <v>160.69999999999999</v>
      </c>
      <c r="U5" s="15">
        <f t="shared" si="6"/>
        <v>152.07499999999999</v>
      </c>
      <c r="V5" s="15">
        <f t="shared" si="6"/>
        <v>177.35</v>
      </c>
      <c r="W5" s="15">
        <f t="shared" si="6"/>
        <v>151.85</v>
      </c>
      <c r="X5" s="15">
        <f t="shared" si="6"/>
        <v>143.15</v>
      </c>
      <c r="Y5" s="15">
        <f t="shared" si="6"/>
        <v>150.60000000000002</v>
      </c>
      <c r="Z5" s="15">
        <f t="shared" si="6"/>
        <v>154.875</v>
      </c>
      <c r="AA5" s="15">
        <f t="shared" si="6"/>
        <v>144.19999999999999</v>
      </c>
      <c r="AB5" s="15">
        <f t="shared" si="6"/>
        <v>146.4</v>
      </c>
      <c r="AC5" s="15">
        <f t="shared" si="6"/>
        <v>152.94999999999999</v>
      </c>
      <c r="AD5" s="15">
        <f t="shared" si="6"/>
        <v>132.44999999999999</v>
      </c>
      <c r="AE5" s="15">
        <f t="shared" si="6"/>
        <v>146</v>
      </c>
      <c r="AF5" s="15">
        <f t="shared" si="6"/>
        <v>156.25</v>
      </c>
      <c r="AG5" s="15">
        <f t="shared" si="6"/>
        <v>148.39999999999998</v>
      </c>
      <c r="AH5" s="15">
        <f t="shared" si="6"/>
        <v>145.4</v>
      </c>
      <c r="AI5" s="15">
        <f t="shared" si="6"/>
        <v>0</v>
      </c>
      <c r="AL5" s="5" t="s">
        <v>74</v>
      </c>
      <c r="AM5" s="14">
        <f t="shared" ref="AM5:AM38" si="7">(I6-I5)/I5</f>
        <v>9.106239460370957E-3</v>
      </c>
      <c r="AN5" s="14">
        <f t="shared" ref="AN5:AZ38" si="8">(J6-J5)/J5</f>
        <v>7.144842924659435E-2</v>
      </c>
      <c r="AO5" s="14">
        <f t="shared" si="4"/>
        <v>9.8382524595630755E-3</v>
      </c>
      <c r="AP5" s="14">
        <f t="shared" si="4"/>
        <v>-8.1473032426266896E-4</v>
      </c>
      <c r="AQ5" s="14">
        <f t="shared" si="4"/>
        <v>1.1690480608647372E-2</v>
      </c>
      <c r="AR5" s="14">
        <f t="shared" si="4"/>
        <v>3.408316291751875E-3</v>
      </c>
      <c r="AS5" s="14">
        <f t="shared" si="4"/>
        <v>-2.0190953200813863E-2</v>
      </c>
      <c r="AT5" s="14">
        <f t="shared" si="4"/>
        <v>1.7360525872240129E-2</v>
      </c>
      <c r="AU5" s="14">
        <f t="shared" si="4"/>
        <v>-1.1041350941762213E-2</v>
      </c>
      <c r="AV5" s="14">
        <f t="shared" si="4"/>
        <v>1.3824884792626802E-2</v>
      </c>
      <c r="AW5" s="14">
        <f t="shared" si="4"/>
        <v>9.5962339308348164E-3</v>
      </c>
      <c r="AX5" s="14">
        <f t="shared" si="4"/>
        <v>6.8450528935906831E-3</v>
      </c>
      <c r="AY5" s="14">
        <f t="shared" si="4"/>
        <v>1.2658227848101342E-2</v>
      </c>
      <c r="AZ5" s="14">
        <f t="shared" si="4"/>
        <v>3.4677191993233755E-2</v>
      </c>
      <c r="BA5" s="14">
        <f t="shared" si="4"/>
        <v>4.2805400065854841E-3</v>
      </c>
      <c r="BB5" s="14">
        <f t="shared" si="4"/>
        <v>8.7320991966468742E-3</v>
      </c>
      <c r="BC5" s="14">
        <f t="shared" si="4"/>
        <v>5.3120849933597798E-3</v>
      </c>
      <c r="BD5" s="14">
        <f t="shared" si="4"/>
        <v>-1.1299435028249321E-3</v>
      </c>
      <c r="BE5" s="14">
        <f t="shared" ref="BE5:BL38" si="9">(AA6-AA5)/AA5</f>
        <v>-1.5950069348127482E-2</v>
      </c>
      <c r="BF5" s="14">
        <f t="shared" si="9"/>
        <v>0</v>
      </c>
      <c r="BG5" s="14">
        <f t="shared" si="9"/>
        <v>9.4802222948677153E-3</v>
      </c>
      <c r="BH5" s="14">
        <f t="shared" si="9"/>
        <v>1.9252548131370416E-2</v>
      </c>
      <c r="BI5" s="14">
        <f t="shared" si="9"/>
        <v>1.5753424657534324E-2</v>
      </c>
      <c r="BJ5" s="14">
        <f t="shared" si="9"/>
        <v>9.6000000000003635E-4</v>
      </c>
      <c r="BK5" s="14">
        <f t="shared" si="9"/>
        <v>2.1563342318059418E-2</v>
      </c>
      <c r="BL5" s="14">
        <f t="shared" si="9"/>
        <v>1.1004126547455256E-2</v>
      </c>
    </row>
    <row r="6" spans="1:64" x14ac:dyDescent="0.35">
      <c r="B6" s="5" t="s">
        <v>74</v>
      </c>
      <c r="C6" s="61">
        <v>24391.22860384245</v>
      </c>
      <c r="D6" s="61">
        <v>13676.510171806</v>
      </c>
      <c r="E6" s="65">
        <f t="shared" si="2"/>
        <v>0.24330689090463664</v>
      </c>
      <c r="F6" s="6">
        <f t="shared" si="5"/>
        <v>0.52037237948156589</v>
      </c>
      <c r="H6" s="5" t="s">
        <v>74</v>
      </c>
      <c r="I6" s="15">
        <f t="shared" ref="I6:AI6" si="10">SUMIFS(June2020,Subcategory,I$2,SECTOR,$I$1)</f>
        <v>149.6</v>
      </c>
      <c r="J6" s="15">
        <f t="shared" si="10"/>
        <v>192.7</v>
      </c>
      <c r="K6" s="15">
        <f t="shared" si="10"/>
        <v>151.4</v>
      </c>
      <c r="L6" s="15">
        <f t="shared" si="10"/>
        <v>153.30000000000001</v>
      </c>
      <c r="M6" s="15">
        <f t="shared" si="10"/>
        <v>136.30000000000001</v>
      </c>
      <c r="N6" s="15">
        <f t="shared" si="10"/>
        <v>147.19999999999999</v>
      </c>
      <c r="O6" s="15">
        <f t="shared" si="10"/>
        <v>156.5</v>
      </c>
      <c r="P6" s="15">
        <f t="shared" si="10"/>
        <v>150.9</v>
      </c>
      <c r="Q6" s="15">
        <f t="shared" si="10"/>
        <v>114.2</v>
      </c>
      <c r="R6" s="15">
        <f t="shared" si="10"/>
        <v>159.5</v>
      </c>
      <c r="S6" s="15">
        <f t="shared" si="10"/>
        <v>139.4</v>
      </c>
      <c r="T6" s="15">
        <f t="shared" si="10"/>
        <v>161.80000000000001</v>
      </c>
      <c r="U6" s="15">
        <f t="shared" si="10"/>
        <v>154</v>
      </c>
      <c r="V6" s="15">
        <f t="shared" si="10"/>
        <v>183.5</v>
      </c>
      <c r="W6" s="15">
        <f t="shared" si="10"/>
        <v>152.5</v>
      </c>
      <c r="X6" s="15">
        <f t="shared" si="10"/>
        <v>144.4</v>
      </c>
      <c r="Y6" s="15">
        <f t="shared" si="10"/>
        <v>151.4</v>
      </c>
      <c r="Z6" s="15">
        <f t="shared" si="10"/>
        <v>154.69999999999999</v>
      </c>
      <c r="AA6" s="15">
        <f t="shared" si="10"/>
        <v>141.9</v>
      </c>
      <c r="AB6" s="15">
        <f t="shared" si="10"/>
        <v>146.4</v>
      </c>
      <c r="AC6" s="15">
        <f t="shared" si="10"/>
        <v>154.4</v>
      </c>
      <c r="AD6" s="15">
        <f t="shared" si="10"/>
        <v>135</v>
      </c>
      <c r="AE6" s="15">
        <f t="shared" si="10"/>
        <v>148.30000000000001</v>
      </c>
      <c r="AF6" s="15">
        <f t="shared" si="10"/>
        <v>156.4</v>
      </c>
      <c r="AG6" s="15">
        <f t="shared" si="10"/>
        <v>151.6</v>
      </c>
      <c r="AH6" s="15">
        <f t="shared" si="10"/>
        <v>147</v>
      </c>
      <c r="AI6" s="15">
        <f t="shared" si="10"/>
        <v>0</v>
      </c>
      <c r="AL6" s="5" t="s">
        <v>75</v>
      </c>
      <c r="AM6" s="14">
        <f t="shared" si="7"/>
        <v>0</v>
      </c>
      <c r="AN6" s="14">
        <f t="shared" si="8"/>
        <v>0</v>
      </c>
      <c r="AO6" s="14">
        <f t="shared" si="4"/>
        <v>0</v>
      </c>
      <c r="AP6" s="14">
        <f t="shared" si="4"/>
        <v>0</v>
      </c>
      <c r="AQ6" s="14">
        <f t="shared" si="4"/>
        <v>0</v>
      </c>
      <c r="AR6" s="14">
        <f t="shared" si="4"/>
        <v>0</v>
      </c>
      <c r="AS6" s="14">
        <f t="shared" si="4"/>
        <v>0</v>
      </c>
      <c r="AT6" s="14">
        <f t="shared" si="4"/>
        <v>0</v>
      </c>
      <c r="AU6" s="14">
        <f t="shared" si="4"/>
        <v>0</v>
      </c>
      <c r="AV6" s="14">
        <f t="shared" si="4"/>
        <v>0</v>
      </c>
      <c r="AW6" s="14">
        <f t="shared" si="4"/>
        <v>0</v>
      </c>
      <c r="AX6" s="14">
        <f t="shared" si="4"/>
        <v>0</v>
      </c>
      <c r="AY6" s="14">
        <f t="shared" si="4"/>
        <v>0</v>
      </c>
      <c r="AZ6" s="14">
        <f t="shared" si="4"/>
        <v>0</v>
      </c>
      <c r="BA6" s="14">
        <f t="shared" si="4"/>
        <v>0</v>
      </c>
      <c r="BB6" s="14">
        <f t="shared" si="4"/>
        <v>0</v>
      </c>
      <c r="BC6" s="14">
        <f t="shared" si="4"/>
        <v>0</v>
      </c>
      <c r="BD6" s="14">
        <f t="shared" si="4"/>
        <v>0</v>
      </c>
      <c r="BE6" s="14">
        <f t="shared" si="9"/>
        <v>0</v>
      </c>
      <c r="BF6" s="14">
        <f t="shared" si="9"/>
        <v>0</v>
      </c>
      <c r="BG6" s="14">
        <f t="shared" si="9"/>
        <v>0</v>
      </c>
      <c r="BH6" s="14">
        <f t="shared" si="9"/>
        <v>0</v>
      </c>
      <c r="BI6" s="14">
        <f t="shared" si="9"/>
        <v>0</v>
      </c>
      <c r="BJ6" s="14">
        <f t="shared" si="9"/>
        <v>0</v>
      </c>
      <c r="BK6" s="14">
        <f t="shared" si="9"/>
        <v>0</v>
      </c>
      <c r="BL6" s="14">
        <f t="shared" si="9"/>
        <v>0</v>
      </c>
    </row>
    <row r="7" spans="1:64" x14ac:dyDescent="0.35">
      <c r="B7" s="5" t="s">
        <v>75</v>
      </c>
      <c r="C7" s="61">
        <v>28431.99353711386</v>
      </c>
      <c r="D7" s="61">
        <v>12335.495538241998</v>
      </c>
      <c r="E7" s="65">
        <f t="shared" si="2"/>
        <v>0.31444647933503161</v>
      </c>
      <c r="F7" s="6">
        <f t="shared" si="5"/>
        <v>0.29238624588844014</v>
      </c>
      <c r="H7" s="5" t="s">
        <v>75</v>
      </c>
      <c r="I7" s="15">
        <f t="shared" ref="I7:AI7" si="11">SUMIFS(July2020,Subcategory,I$2,SECTOR,$I$1)</f>
        <v>149.6</v>
      </c>
      <c r="J7" s="15">
        <f t="shared" si="11"/>
        <v>192.7</v>
      </c>
      <c r="K7" s="15">
        <f t="shared" si="11"/>
        <v>151.4</v>
      </c>
      <c r="L7" s="15">
        <f t="shared" si="11"/>
        <v>153.30000000000001</v>
      </c>
      <c r="M7" s="15">
        <f t="shared" si="11"/>
        <v>136.30000000000001</v>
      </c>
      <c r="N7" s="15">
        <f t="shared" si="11"/>
        <v>147.19999999999999</v>
      </c>
      <c r="O7" s="15">
        <f t="shared" si="11"/>
        <v>156.5</v>
      </c>
      <c r="P7" s="15">
        <f t="shared" si="11"/>
        <v>150.9</v>
      </c>
      <c r="Q7" s="15">
        <f t="shared" si="11"/>
        <v>114.2</v>
      </c>
      <c r="R7" s="15">
        <f t="shared" si="11"/>
        <v>159.5</v>
      </c>
      <c r="S7" s="15">
        <f t="shared" si="11"/>
        <v>139.4</v>
      </c>
      <c r="T7" s="15">
        <f t="shared" si="11"/>
        <v>161.80000000000001</v>
      </c>
      <c r="U7" s="15">
        <f t="shared" si="11"/>
        <v>154</v>
      </c>
      <c r="V7" s="15">
        <f t="shared" si="11"/>
        <v>183.5</v>
      </c>
      <c r="W7" s="15">
        <f t="shared" si="11"/>
        <v>152.5</v>
      </c>
      <c r="X7" s="15">
        <f t="shared" si="11"/>
        <v>144.4</v>
      </c>
      <c r="Y7" s="15">
        <f t="shared" si="11"/>
        <v>151.4</v>
      </c>
      <c r="Z7" s="15">
        <f t="shared" si="11"/>
        <v>154.69999999999999</v>
      </c>
      <c r="AA7" s="15">
        <f t="shared" si="11"/>
        <v>141.9</v>
      </c>
      <c r="AB7" s="15">
        <f t="shared" si="11"/>
        <v>146.4</v>
      </c>
      <c r="AC7" s="15">
        <f t="shared" si="11"/>
        <v>154.4</v>
      </c>
      <c r="AD7" s="15">
        <f t="shared" si="11"/>
        <v>135</v>
      </c>
      <c r="AE7" s="15">
        <f t="shared" si="11"/>
        <v>148.30000000000001</v>
      </c>
      <c r="AF7" s="15">
        <f t="shared" si="11"/>
        <v>156.4</v>
      </c>
      <c r="AG7" s="15">
        <f t="shared" si="11"/>
        <v>151.6</v>
      </c>
      <c r="AH7" s="15">
        <f t="shared" si="11"/>
        <v>147</v>
      </c>
      <c r="AI7" s="15">
        <f t="shared" si="11"/>
        <v>0</v>
      </c>
      <c r="AL7" s="5" t="s">
        <v>76</v>
      </c>
      <c r="AM7" s="14">
        <f t="shared" si="7"/>
        <v>-4.6791443850266621E-3</v>
      </c>
      <c r="AN7" s="14">
        <f t="shared" si="8"/>
        <v>-9.3409444732744321E-3</v>
      </c>
      <c r="AO7" s="14">
        <f t="shared" si="4"/>
        <v>-3.9630118890356296E-3</v>
      </c>
      <c r="AP7" s="14">
        <f t="shared" si="4"/>
        <v>0</v>
      </c>
      <c r="AQ7" s="14">
        <f t="shared" si="4"/>
        <v>8.0704328686720048E-3</v>
      </c>
      <c r="AR7" s="14">
        <f t="shared" si="4"/>
        <v>2.1739130434782726E-2</v>
      </c>
      <c r="AS7" s="14">
        <f t="shared" si="4"/>
        <v>0.13801916932907343</v>
      </c>
      <c r="AT7" s="14">
        <f t="shared" si="4"/>
        <v>-3.3134526176275677E-3</v>
      </c>
      <c r="AU7" s="14">
        <f t="shared" si="4"/>
        <v>7.8809106830121847E-3</v>
      </c>
      <c r="AV7" s="14">
        <f t="shared" si="4"/>
        <v>3.134796238244514E-3</v>
      </c>
      <c r="AW7" s="14">
        <f t="shared" si="4"/>
        <v>8.6083213773313384E-3</v>
      </c>
      <c r="AX7" s="14">
        <f t="shared" si="4"/>
        <v>3.0902348578491965E-3</v>
      </c>
      <c r="AY7" s="14">
        <f t="shared" si="4"/>
        <v>1.948051948051948E-2</v>
      </c>
      <c r="AZ7" s="14">
        <f t="shared" si="4"/>
        <v>-4.9046321525885866E-3</v>
      </c>
      <c r="BA7" s="14">
        <f t="shared" si="4"/>
        <v>3.9344262295081594E-3</v>
      </c>
      <c r="BB7" s="14">
        <f t="shared" si="4"/>
        <v>-6.9252077562326868E-3</v>
      </c>
      <c r="BC7" s="14">
        <f t="shared" si="4"/>
        <v>1.9815059445177207E-3</v>
      </c>
      <c r="BD7" s="14">
        <f t="shared" si="4"/>
        <v>5.1712992889464213E-3</v>
      </c>
      <c r="BE7" s="14">
        <f t="shared" si="9"/>
        <v>7.751937984496084E-3</v>
      </c>
      <c r="BF7" s="14">
        <f t="shared" si="9"/>
        <v>1.3661202185792349E-2</v>
      </c>
      <c r="BG7" s="14">
        <f t="shared" si="9"/>
        <v>3.8860103626942636E-3</v>
      </c>
      <c r="BH7" s="14">
        <f t="shared" si="9"/>
        <v>2.5925925925925925E-2</v>
      </c>
      <c r="BI7" s="14">
        <f t="shared" si="9"/>
        <v>-1.5509103169251593E-2</v>
      </c>
      <c r="BJ7" s="14">
        <f t="shared" si="9"/>
        <v>1.3427109974424516E-2</v>
      </c>
      <c r="BK7" s="14">
        <f t="shared" si="9"/>
        <v>1.7810026385224387E-2</v>
      </c>
      <c r="BL7" s="14">
        <f t="shared" si="9"/>
        <v>1.3605442176870748E-2</v>
      </c>
    </row>
    <row r="8" spans="1:64" x14ac:dyDescent="0.35">
      <c r="B8" s="5" t="s">
        <v>76</v>
      </c>
      <c r="C8" s="61">
        <v>40659.068498646011</v>
      </c>
      <c r="D8" s="61">
        <v>16858.785622813997</v>
      </c>
      <c r="E8" s="65">
        <f t="shared" si="2"/>
        <v>0.32902368486051176</v>
      </c>
      <c r="F8" s="6">
        <f t="shared" si="5"/>
        <v>4.6358304142272315E-2</v>
      </c>
      <c r="H8" s="5" t="s">
        <v>76</v>
      </c>
      <c r="I8" s="15">
        <f t="shared" ref="I8:AI8" si="12">SUMIFS(August2020,Subcategory,I$2,SECTOR,$I$1)</f>
        <v>148.9</v>
      </c>
      <c r="J8" s="15">
        <f t="shared" si="12"/>
        <v>190.9</v>
      </c>
      <c r="K8" s="15">
        <f t="shared" si="12"/>
        <v>150.80000000000001</v>
      </c>
      <c r="L8" s="15">
        <f t="shared" si="12"/>
        <v>153.30000000000001</v>
      </c>
      <c r="M8" s="15">
        <f t="shared" si="12"/>
        <v>137.4</v>
      </c>
      <c r="N8" s="15">
        <f t="shared" si="12"/>
        <v>150.4</v>
      </c>
      <c r="O8" s="15">
        <f t="shared" si="12"/>
        <v>178.1</v>
      </c>
      <c r="P8" s="15">
        <f t="shared" si="12"/>
        <v>150.4</v>
      </c>
      <c r="Q8" s="15">
        <f t="shared" si="12"/>
        <v>115.1</v>
      </c>
      <c r="R8" s="15">
        <f t="shared" si="12"/>
        <v>160</v>
      </c>
      <c r="S8" s="15">
        <f t="shared" si="12"/>
        <v>140.6</v>
      </c>
      <c r="T8" s="15">
        <f t="shared" si="12"/>
        <v>162.30000000000001</v>
      </c>
      <c r="U8" s="15">
        <f t="shared" si="12"/>
        <v>157</v>
      </c>
      <c r="V8" s="15">
        <f t="shared" si="12"/>
        <v>182.6</v>
      </c>
      <c r="W8" s="15">
        <f t="shared" si="12"/>
        <v>153.1</v>
      </c>
      <c r="X8" s="15">
        <f t="shared" si="12"/>
        <v>143.4</v>
      </c>
      <c r="Y8" s="15">
        <f t="shared" si="12"/>
        <v>151.69999999999999</v>
      </c>
      <c r="Z8" s="15">
        <f t="shared" si="12"/>
        <v>155.5</v>
      </c>
      <c r="AA8" s="15">
        <f t="shared" si="12"/>
        <v>143</v>
      </c>
      <c r="AB8" s="15">
        <f t="shared" si="12"/>
        <v>148.4</v>
      </c>
      <c r="AC8" s="15">
        <f t="shared" si="12"/>
        <v>155</v>
      </c>
      <c r="AD8" s="15">
        <f t="shared" si="12"/>
        <v>138.5</v>
      </c>
      <c r="AE8" s="15">
        <f t="shared" si="12"/>
        <v>146</v>
      </c>
      <c r="AF8" s="15">
        <f t="shared" si="12"/>
        <v>158.5</v>
      </c>
      <c r="AG8" s="15">
        <f t="shared" si="12"/>
        <v>154.30000000000001</v>
      </c>
      <c r="AH8" s="15">
        <f t="shared" si="12"/>
        <v>149</v>
      </c>
      <c r="AI8" s="15">
        <f t="shared" si="12"/>
        <v>0</v>
      </c>
      <c r="AL8" s="5" t="s">
        <v>77</v>
      </c>
      <c r="AM8" s="14">
        <f t="shared" si="7"/>
        <v>-3.3579583613163196E-3</v>
      </c>
      <c r="AN8" s="14">
        <f t="shared" si="8"/>
        <v>-1.9905709795704617E-2</v>
      </c>
      <c r="AO8" s="14">
        <f t="shared" si="4"/>
        <v>1.1273209549071541E-2</v>
      </c>
      <c r="AP8" s="14">
        <f t="shared" si="4"/>
        <v>1.9569471624265029E-3</v>
      </c>
      <c r="AQ8" s="14">
        <f t="shared" si="4"/>
        <v>5.8224163027655231E-3</v>
      </c>
      <c r="AR8" s="14">
        <f t="shared" si="4"/>
        <v>3.324468085106383E-3</v>
      </c>
      <c r="AS8" s="14">
        <f t="shared" si="4"/>
        <v>4.8287478944413223E-2</v>
      </c>
      <c r="AT8" s="14">
        <f t="shared" si="4"/>
        <v>-3.989361702127622E-3</v>
      </c>
      <c r="AU8" s="14">
        <f t="shared" si="4"/>
        <v>1.1294526498696885E-2</v>
      </c>
      <c r="AV8" s="14">
        <f t="shared" si="4"/>
        <v>1.8750000000000711E-3</v>
      </c>
      <c r="AW8" s="14">
        <f t="shared" si="4"/>
        <v>1.1379800853485025E-2</v>
      </c>
      <c r="AX8" s="14">
        <f t="shared" si="4"/>
        <v>3.6968576709796321E-3</v>
      </c>
      <c r="AY8" s="14">
        <f t="shared" si="4"/>
        <v>6.369426751592357E-3</v>
      </c>
      <c r="AZ8" s="14">
        <f t="shared" si="4"/>
        <v>9.8576122672508846E-3</v>
      </c>
      <c r="BA8" s="14">
        <f t="shared" si="4"/>
        <v>1.959503592423327E-3</v>
      </c>
      <c r="BB8" s="14">
        <f t="shared" si="4"/>
        <v>6.2761506276151026E-3</v>
      </c>
      <c r="BC8" s="14">
        <f t="shared" si="4"/>
        <v>1.9775873434410771E-3</v>
      </c>
      <c r="BD8" s="14">
        <f t="shared" si="4"/>
        <v>5.1446945337621309E-3</v>
      </c>
      <c r="BE8" s="14">
        <f t="shared" si="9"/>
        <v>-6.9930069930065951E-4</v>
      </c>
      <c r="BF8" s="14">
        <f t="shared" si="9"/>
        <v>2.0215633423179445E-3</v>
      </c>
      <c r="BG8" s="14">
        <f t="shared" si="9"/>
        <v>3.870967741935447E-3</v>
      </c>
      <c r="BH8" s="14">
        <f t="shared" si="9"/>
        <v>7.9422382671479729E-3</v>
      </c>
      <c r="BI8" s="14">
        <f t="shared" si="9"/>
        <v>4.1095890410958518E-3</v>
      </c>
      <c r="BJ8" s="14">
        <f t="shared" si="9"/>
        <v>-6.3091482649842269E-3</v>
      </c>
      <c r="BK8" s="14">
        <f t="shared" si="9"/>
        <v>2.6571613739468529E-2</v>
      </c>
      <c r="BL8" s="14">
        <f t="shared" si="9"/>
        <v>6.7114093959731542E-3</v>
      </c>
    </row>
    <row r="9" spans="1:64" x14ac:dyDescent="0.35">
      <c r="B9" s="5" t="s">
        <v>77</v>
      </c>
      <c r="C9" s="61">
        <v>34353.850793896505</v>
      </c>
      <c r="D9" s="61">
        <v>15180.006144035999</v>
      </c>
      <c r="E9" s="65">
        <f t="shared" si="2"/>
        <v>0.30874469431251705</v>
      </c>
      <c r="F9" s="6">
        <f t="shared" si="5"/>
        <v>-6.1633832095072116E-2</v>
      </c>
      <c r="H9" s="5" t="s">
        <v>77</v>
      </c>
      <c r="I9" s="15">
        <f t="shared" ref="I9:AI9" si="13">SUMIFS(September2020,Subcategory,I$2,SECTOR,$I$1)</f>
        <v>148.4</v>
      </c>
      <c r="J9" s="15">
        <f t="shared" si="13"/>
        <v>187.1</v>
      </c>
      <c r="K9" s="15">
        <f t="shared" si="13"/>
        <v>152.5</v>
      </c>
      <c r="L9" s="15">
        <f t="shared" si="13"/>
        <v>153.6</v>
      </c>
      <c r="M9" s="15">
        <f t="shared" si="13"/>
        <v>138.19999999999999</v>
      </c>
      <c r="N9" s="15">
        <f t="shared" si="13"/>
        <v>150.9</v>
      </c>
      <c r="O9" s="15">
        <f t="shared" si="13"/>
        <v>186.7</v>
      </c>
      <c r="P9" s="15">
        <f t="shared" si="13"/>
        <v>149.80000000000001</v>
      </c>
      <c r="Q9" s="15">
        <f t="shared" si="13"/>
        <v>116.4</v>
      </c>
      <c r="R9" s="15">
        <f t="shared" si="13"/>
        <v>160.30000000000001</v>
      </c>
      <c r="S9" s="15">
        <f t="shared" si="13"/>
        <v>142.19999999999999</v>
      </c>
      <c r="T9" s="15">
        <f t="shared" si="13"/>
        <v>162.9</v>
      </c>
      <c r="U9" s="15">
        <f t="shared" si="13"/>
        <v>158</v>
      </c>
      <c r="V9" s="15">
        <f t="shared" si="13"/>
        <v>184.4</v>
      </c>
      <c r="W9" s="15">
        <f t="shared" si="13"/>
        <v>153.4</v>
      </c>
      <c r="X9" s="15">
        <f t="shared" si="13"/>
        <v>144.30000000000001</v>
      </c>
      <c r="Y9" s="15">
        <f t="shared" si="13"/>
        <v>152</v>
      </c>
      <c r="Z9" s="15">
        <f t="shared" si="13"/>
        <v>156.30000000000001</v>
      </c>
      <c r="AA9" s="15">
        <f t="shared" si="13"/>
        <v>142.9</v>
      </c>
      <c r="AB9" s="15">
        <f t="shared" si="13"/>
        <v>148.69999999999999</v>
      </c>
      <c r="AC9" s="15">
        <f t="shared" si="13"/>
        <v>155.6</v>
      </c>
      <c r="AD9" s="15">
        <f t="shared" si="13"/>
        <v>139.6</v>
      </c>
      <c r="AE9" s="15">
        <f t="shared" si="13"/>
        <v>146.6</v>
      </c>
      <c r="AF9" s="15">
        <f t="shared" si="13"/>
        <v>157.5</v>
      </c>
      <c r="AG9" s="15">
        <f t="shared" si="13"/>
        <v>158.4</v>
      </c>
      <c r="AH9" s="15">
        <f t="shared" si="13"/>
        <v>150</v>
      </c>
      <c r="AI9" s="15">
        <f t="shared" si="13"/>
        <v>0</v>
      </c>
      <c r="AL9" s="5" t="s">
        <v>78</v>
      </c>
      <c r="AM9" s="14">
        <f t="shared" si="7"/>
        <v>-6.064690026954216E-3</v>
      </c>
      <c r="AN9" s="14">
        <f t="shared" si="8"/>
        <v>9.6205237840727501E-3</v>
      </c>
      <c r="AO9" s="14">
        <f t="shared" si="4"/>
        <v>5.8360655737704957E-2</v>
      </c>
      <c r="AP9" s="14">
        <f t="shared" si="4"/>
        <v>0</v>
      </c>
      <c r="AQ9" s="14">
        <f t="shared" si="4"/>
        <v>1.3748191027496425E-2</v>
      </c>
      <c r="AR9" s="14">
        <f t="shared" si="4"/>
        <v>1.9880715705764278E-3</v>
      </c>
      <c r="AS9" s="14">
        <f t="shared" si="4"/>
        <v>0.12051419389394752</v>
      </c>
      <c r="AT9" s="14">
        <f t="shared" si="4"/>
        <v>7.3431241655540335E-3</v>
      </c>
      <c r="AU9" s="14">
        <f t="shared" si="4"/>
        <v>-1.7182130584192682E-3</v>
      </c>
      <c r="AV9" s="14">
        <f t="shared" si="4"/>
        <v>4.3668122270741645E-3</v>
      </c>
      <c r="AW9" s="14">
        <f t="shared" si="4"/>
        <v>1.2658227848101347E-2</v>
      </c>
      <c r="AX9" s="14">
        <f t="shared" si="4"/>
        <v>1.8416206261509082E-3</v>
      </c>
      <c r="AY9" s="14">
        <f t="shared" si="4"/>
        <v>2.1518987341772187E-2</v>
      </c>
      <c r="AZ9" s="14">
        <f t="shared" si="4"/>
        <v>-5.4229934924075003E-4</v>
      </c>
      <c r="BA9" s="14">
        <f t="shared" si="4"/>
        <v>1.9556714471967596E-3</v>
      </c>
      <c r="BB9" s="14">
        <f t="shared" si="4"/>
        <v>2.0790020790019607E-3</v>
      </c>
      <c r="BC9" s="14">
        <f t="shared" si="4"/>
        <v>1.9736842105263904E-3</v>
      </c>
      <c r="BD9" s="14">
        <f t="shared" si="4"/>
        <v>1.2795905310299975E-3</v>
      </c>
      <c r="BE9" s="14">
        <f t="shared" si="9"/>
        <v>1.3995801259621317E-3</v>
      </c>
      <c r="BF9" s="14">
        <f t="shared" si="9"/>
        <v>0</v>
      </c>
      <c r="BG9" s="14">
        <f t="shared" si="9"/>
        <v>4.4987146529564077E-3</v>
      </c>
      <c r="BH9" s="14">
        <f t="shared" si="9"/>
        <v>7.1633237822349575E-3</v>
      </c>
      <c r="BI9" s="14">
        <f t="shared" si="9"/>
        <v>-6.8212824010910182E-4</v>
      </c>
      <c r="BJ9" s="14">
        <f t="shared" si="9"/>
        <v>6.3492063492063492E-3</v>
      </c>
      <c r="BK9" s="14">
        <f t="shared" si="9"/>
        <v>-8.8383838383838745E-3</v>
      </c>
      <c r="BL9" s="14">
        <f t="shared" si="9"/>
        <v>2.6666666666667047E-3</v>
      </c>
    </row>
    <row r="10" spans="1:64" x14ac:dyDescent="0.35">
      <c r="B10" s="5" t="s">
        <v>78</v>
      </c>
      <c r="C10" s="61">
        <v>33074.491674390949</v>
      </c>
      <c r="D10" s="61">
        <v>15381.458577314999</v>
      </c>
      <c r="E10" s="65">
        <f t="shared" si="2"/>
        <v>0.29335377636592114</v>
      </c>
      <c r="F10" s="6">
        <f t="shared" si="5"/>
        <v>-4.9849983595238553E-2</v>
      </c>
      <c r="H10" s="5" t="s">
        <v>78</v>
      </c>
      <c r="I10" s="15">
        <f t="shared" ref="I10:AI10" si="14">SUMIFS(October2020,Subcategory,I$2,SECTOR,$I$1)</f>
        <v>147.5</v>
      </c>
      <c r="J10" s="15">
        <f t="shared" si="14"/>
        <v>188.9</v>
      </c>
      <c r="K10" s="15">
        <f t="shared" si="14"/>
        <v>161.4</v>
      </c>
      <c r="L10" s="15">
        <f t="shared" si="14"/>
        <v>153.6</v>
      </c>
      <c r="M10" s="15">
        <f t="shared" si="14"/>
        <v>140.1</v>
      </c>
      <c r="N10" s="15">
        <f t="shared" si="14"/>
        <v>151.19999999999999</v>
      </c>
      <c r="O10" s="15">
        <f t="shared" si="14"/>
        <v>209.2</v>
      </c>
      <c r="P10" s="15">
        <f t="shared" si="14"/>
        <v>150.9</v>
      </c>
      <c r="Q10" s="15">
        <f t="shared" si="14"/>
        <v>116.2</v>
      </c>
      <c r="R10" s="15">
        <f t="shared" si="14"/>
        <v>161</v>
      </c>
      <c r="S10" s="15">
        <f t="shared" si="14"/>
        <v>144</v>
      </c>
      <c r="T10" s="15">
        <f t="shared" si="14"/>
        <v>163.19999999999999</v>
      </c>
      <c r="U10" s="15">
        <f t="shared" si="14"/>
        <v>161.4</v>
      </c>
      <c r="V10" s="15">
        <f t="shared" si="14"/>
        <v>184.3</v>
      </c>
      <c r="W10" s="15">
        <f t="shared" si="14"/>
        <v>153.69999999999999</v>
      </c>
      <c r="X10" s="15">
        <f t="shared" si="14"/>
        <v>144.6</v>
      </c>
      <c r="Y10" s="15">
        <f t="shared" si="14"/>
        <v>152.30000000000001</v>
      </c>
      <c r="Z10" s="15">
        <f t="shared" si="14"/>
        <v>156.5</v>
      </c>
      <c r="AA10" s="15">
        <f t="shared" si="14"/>
        <v>143.1</v>
      </c>
      <c r="AB10" s="15">
        <f t="shared" si="14"/>
        <v>148.69999999999999</v>
      </c>
      <c r="AC10" s="15">
        <f t="shared" si="14"/>
        <v>156.30000000000001</v>
      </c>
      <c r="AD10" s="15">
        <f t="shared" si="14"/>
        <v>140.6</v>
      </c>
      <c r="AE10" s="15">
        <f t="shared" si="14"/>
        <v>146.5</v>
      </c>
      <c r="AF10" s="15">
        <f t="shared" si="14"/>
        <v>158.5</v>
      </c>
      <c r="AG10" s="15">
        <f t="shared" si="14"/>
        <v>157</v>
      </c>
      <c r="AH10" s="15">
        <f t="shared" si="14"/>
        <v>150.4</v>
      </c>
      <c r="AI10" s="15">
        <f t="shared" si="14"/>
        <v>0</v>
      </c>
      <c r="AL10" s="5" t="s">
        <v>79</v>
      </c>
      <c r="AM10" s="14">
        <f t="shared" si="7"/>
        <v>-4.7457627118643294E-3</v>
      </c>
      <c r="AN10" s="14">
        <f t="shared" si="8"/>
        <v>1.1116993118051848E-2</v>
      </c>
      <c r="AO10" s="14">
        <f t="shared" si="4"/>
        <v>7.5588599752168459E-2</v>
      </c>
      <c r="AP10" s="14">
        <f t="shared" si="4"/>
        <v>1.3020833333334445E-3</v>
      </c>
      <c r="AQ10" s="14">
        <f t="shared" si="4"/>
        <v>1.855817273376156E-2</v>
      </c>
      <c r="AR10" s="14">
        <f t="shared" si="4"/>
        <v>-1.8518518518518406E-2</v>
      </c>
      <c r="AS10" s="14">
        <f t="shared" si="4"/>
        <v>9.9426386233269659E-2</v>
      </c>
      <c r="AT10" s="14">
        <f t="shared" si="4"/>
        <v>3.9098740888005336E-2</v>
      </c>
      <c r="AU10" s="14">
        <f t="shared" si="4"/>
        <v>-4.3029259896729772E-3</v>
      </c>
      <c r="AV10" s="14">
        <f t="shared" si="4"/>
        <v>4.9689440993789524E-3</v>
      </c>
      <c r="AW10" s="14">
        <f t="shared" si="4"/>
        <v>1.7361111111111112E-2</v>
      </c>
      <c r="AX10" s="14">
        <f t="shared" si="4"/>
        <v>3.6764705882354337E-3</v>
      </c>
      <c r="AY10" s="14">
        <f t="shared" si="4"/>
        <v>2.0446096654274985E-2</v>
      </c>
      <c r="AZ10" s="14">
        <f t="shared" si="4"/>
        <v>2.7129679869777536E-3</v>
      </c>
      <c r="BA10" s="14">
        <f t="shared" si="4"/>
        <v>3.9037085230970905E-3</v>
      </c>
      <c r="BB10" s="14">
        <f t="shared" si="4"/>
        <v>2.0746887966805764E-3</v>
      </c>
      <c r="BC10" s="14">
        <f t="shared" si="4"/>
        <v>3.2829940906106366E-3</v>
      </c>
      <c r="BD10" s="14">
        <f t="shared" si="4"/>
        <v>9.5846645367412137E-3</v>
      </c>
      <c r="BE10" s="14">
        <f t="shared" si="9"/>
        <v>3.4940600978336828E-3</v>
      </c>
      <c r="BF10" s="14">
        <f t="shared" si="9"/>
        <v>3.3624747814391394E-3</v>
      </c>
      <c r="BG10" s="14">
        <f t="shared" si="9"/>
        <v>5.7581573896351712E-3</v>
      </c>
      <c r="BH10" s="14">
        <f t="shared" si="9"/>
        <v>-1.4224751066855522E-3</v>
      </c>
      <c r="BI10" s="14">
        <f t="shared" si="9"/>
        <v>1.2969283276450552E-2</v>
      </c>
      <c r="BJ10" s="14">
        <f t="shared" si="9"/>
        <v>6.3091482649838687E-4</v>
      </c>
      <c r="BK10" s="14">
        <f t="shared" si="9"/>
        <v>-6.3694267515919942E-4</v>
      </c>
      <c r="BL10" s="14">
        <f t="shared" si="9"/>
        <v>1.9946808510637164E-3</v>
      </c>
    </row>
    <row r="11" spans="1:64" x14ac:dyDescent="0.35">
      <c r="B11" s="5" t="s">
        <v>79</v>
      </c>
      <c r="C11" s="61">
        <v>40926.853933740225</v>
      </c>
      <c r="D11" s="61">
        <v>18290.446275114999</v>
      </c>
      <c r="E11" s="65">
        <f t="shared" si="2"/>
        <v>0.30526715889933143</v>
      </c>
      <c r="F11" s="6">
        <f t="shared" si="5"/>
        <v>4.0610973824826015E-2</v>
      </c>
      <c r="H11" s="5" t="s">
        <v>79</v>
      </c>
      <c r="I11" s="15">
        <f t="shared" ref="I11:AI11" si="15">SUMIFS(November2020,Subcategory,I$2,SECTOR,$I$1)</f>
        <v>146.80000000000001</v>
      </c>
      <c r="J11" s="15">
        <f t="shared" si="15"/>
        <v>191</v>
      </c>
      <c r="K11" s="15">
        <f t="shared" si="15"/>
        <v>173.6</v>
      </c>
      <c r="L11" s="15">
        <f t="shared" si="15"/>
        <v>153.80000000000001</v>
      </c>
      <c r="M11" s="15">
        <f t="shared" si="15"/>
        <v>142.69999999999999</v>
      </c>
      <c r="N11" s="15">
        <f t="shared" si="15"/>
        <v>148.4</v>
      </c>
      <c r="O11" s="15">
        <f t="shared" si="15"/>
        <v>230</v>
      </c>
      <c r="P11" s="15">
        <f t="shared" si="15"/>
        <v>156.80000000000001</v>
      </c>
      <c r="Q11" s="15">
        <f t="shared" si="15"/>
        <v>115.7</v>
      </c>
      <c r="R11" s="15">
        <f t="shared" si="15"/>
        <v>161.80000000000001</v>
      </c>
      <c r="S11" s="15">
        <f t="shared" si="15"/>
        <v>146.5</v>
      </c>
      <c r="T11" s="15">
        <f t="shared" si="15"/>
        <v>163.80000000000001</v>
      </c>
      <c r="U11" s="15">
        <f t="shared" si="15"/>
        <v>164.7</v>
      </c>
      <c r="V11" s="15">
        <f t="shared" si="15"/>
        <v>184.8</v>
      </c>
      <c r="W11" s="15">
        <f t="shared" si="15"/>
        <v>154.30000000000001</v>
      </c>
      <c r="X11" s="15">
        <f t="shared" si="15"/>
        <v>144.9</v>
      </c>
      <c r="Y11" s="15">
        <f t="shared" si="15"/>
        <v>152.80000000000001</v>
      </c>
      <c r="Z11" s="15">
        <f t="shared" si="15"/>
        <v>158</v>
      </c>
      <c r="AA11" s="15">
        <f t="shared" si="15"/>
        <v>143.6</v>
      </c>
      <c r="AB11" s="15">
        <f t="shared" si="15"/>
        <v>149.19999999999999</v>
      </c>
      <c r="AC11" s="15">
        <f t="shared" si="15"/>
        <v>157.19999999999999</v>
      </c>
      <c r="AD11" s="15">
        <f t="shared" si="15"/>
        <v>140.4</v>
      </c>
      <c r="AE11" s="15">
        <f t="shared" si="15"/>
        <v>148.4</v>
      </c>
      <c r="AF11" s="15">
        <f t="shared" si="15"/>
        <v>158.6</v>
      </c>
      <c r="AG11" s="15">
        <f t="shared" si="15"/>
        <v>156.9</v>
      </c>
      <c r="AH11" s="15">
        <f t="shared" si="15"/>
        <v>150.69999999999999</v>
      </c>
      <c r="AI11" s="15">
        <f t="shared" si="15"/>
        <v>0</v>
      </c>
      <c r="AL11" s="5" t="s">
        <v>80</v>
      </c>
      <c r="AM11" s="14">
        <f t="shared" si="7"/>
        <v>-5.449591280654028E-3</v>
      </c>
      <c r="AN11" s="14">
        <f t="shared" si="8"/>
        <v>0</v>
      </c>
      <c r="AO11" s="14">
        <f t="shared" si="4"/>
        <v>9.7926267281106972E-3</v>
      </c>
      <c r="AP11" s="14">
        <f t="shared" si="4"/>
        <v>1.9505851755525548E-3</v>
      </c>
      <c r="AQ11" s="14">
        <f t="shared" si="4"/>
        <v>2.7330063069376357E-2</v>
      </c>
      <c r="AR11" s="14">
        <f t="shared" si="4"/>
        <v>-4.716981132075586E-3</v>
      </c>
      <c r="AS11" s="14">
        <f t="shared" si="4"/>
        <v>2.1739130434782609E-3</v>
      </c>
      <c r="AT11" s="14">
        <f t="shared" si="4"/>
        <v>2.1683673469387609E-2</v>
      </c>
      <c r="AU11" s="14">
        <f t="shared" si="4"/>
        <v>-3.4572169403630569E-3</v>
      </c>
      <c r="AV11" s="14">
        <f t="shared" si="4"/>
        <v>7.4165636588380008E-3</v>
      </c>
      <c r="AW11" s="14">
        <f t="shared" si="4"/>
        <v>1.8430034129692754E-2</v>
      </c>
      <c r="AX11" s="14">
        <f t="shared" si="4"/>
        <v>6.105006105006105E-3</v>
      </c>
      <c r="AY11" s="14">
        <f t="shared" si="4"/>
        <v>4.2501517911355015E-3</v>
      </c>
      <c r="AZ11" s="14">
        <f t="shared" si="4"/>
        <v>3.2467532467532157E-3</v>
      </c>
      <c r="BA11" s="14">
        <f t="shared" si="4"/>
        <v>4.536616979909194E-3</v>
      </c>
      <c r="BB11" s="14">
        <f t="shared" si="4"/>
        <v>3.450655624568668E-3</v>
      </c>
      <c r="BC11" s="14">
        <f t="shared" si="4"/>
        <v>5.2356020942407261E-3</v>
      </c>
      <c r="BD11" s="14">
        <f t="shared" ref="BD11:BD38" si="16">(Z12-Z11)/Z11</f>
        <v>2.5316455696202892E-3</v>
      </c>
      <c r="BE11" s="14">
        <f t="shared" si="9"/>
        <v>6.9637883008356553E-3</v>
      </c>
      <c r="BF11" s="14">
        <f t="shared" si="9"/>
        <v>3.351206434316354E-3</v>
      </c>
      <c r="BG11" s="14">
        <f t="shared" si="9"/>
        <v>6.9974554707380584E-3</v>
      </c>
      <c r="BH11" s="14">
        <f t="shared" si="9"/>
        <v>2.1367521367520151E-3</v>
      </c>
      <c r="BI11" s="14">
        <f t="shared" si="9"/>
        <v>6.7385444743931476E-4</v>
      </c>
      <c r="BJ11" s="14">
        <f t="shared" si="9"/>
        <v>5.0441361916772473E-3</v>
      </c>
      <c r="BK11" s="14">
        <f t="shared" si="9"/>
        <v>1.2746972594008198E-3</v>
      </c>
      <c r="BL11" s="14">
        <f t="shared" si="9"/>
        <v>3.3178500331785005E-3</v>
      </c>
    </row>
    <row r="12" spans="1:64" x14ac:dyDescent="0.35">
      <c r="B12" s="5" t="s">
        <v>80</v>
      </c>
      <c r="C12" s="61">
        <v>52165.863453700425</v>
      </c>
      <c r="D12" s="61">
        <v>20489.408846244998</v>
      </c>
      <c r="E12" s="65">
        <f t="shared" si="2"/>
        <v>0.34733855816408959</v>
      </c>
      <c r="F12" s="6">
        <f t="shared" si="5"/>
        <v>0.13781829469128101</v>
      </c>
      <c r="H12" s="5" t="s">
        <v>80</v>
      </c>
      <c r="I12" s="15">
        <f t="shared" ref="I12:AI12" si="17">SUMIFS(December2020,Subcategory,I$2,SECTOR,$I$1)</f>
        <v>146</v>
      </c>
      <c r="J12" s="15">
        <f t="shared" si="17"/>
        <v>191</v>
      </c>
      <c r="K12" s="15">
        <f t="shared" si="17"/>
        <v>175.3</v>
      </c>
      <c r="L12" s="15">
        <f t="shared" si="17"/>
        <v>154.1</v>
      </c>
      <c r="M12" s="15">
        <f t="shared" si="17"/>
        <v>146.6</v>
      </c>
      <c r="N12" s="15">
        <f t="shared" si="17"/>
        <v>147.69999999999999</v>
      </c>
      <c r="O12" s="15">
        <f t="shared" si="17"/>
        <v>230.5</v>
      </c>
      <c r="P12" s="15">
        <f t="shared" si="17"/>
        <v>160.19999999999999</v>
      </c>
      <c r="Q12" s="15">
        <f t="shared" si="17"/>
        <v>115.3</v>
      </c>
      <c r="R12" s="15">
        <f t="shared" si="17"/>
        <v>163</v>
      </c>
      <c r="S12" s="15">
        <f t="shared" si="17"/>
        <v>149.19999999999999</v>
      </c>
      <c r="T12" s="15">
        <f t="shared" si="17"/>
        <v>164.8</v>
      </c>
      <c r="U12" s="15">
        <f t="shared" si="17"/>
        <v>165.4</v>
      </c>
      <c r="V12" s="15">
        <f t="shared" si="17"/>
        <v>185.4</v>
      </c>
      <c r="W12" s="15">
        <f t="shared" si="17"/>
        <v>155</v>
      </c>
      <c r="X12" s="15">
        <f t="shared" si="17"/>
        <v>145.4</v>
      </c>
      <c r="Y12" s="15">
        <f t="shared" si="17"/>
        <v>153.6</v>
      </c>
      <c r="Z12" s="15">
        <f t="shared" si="17"/>
        <v>158.4</v>
      </c>
      <c r="AA12" s="15">
        <f t="shared" si="17"/>
        <v>144.6</v>
      </c>
      <c r="AB12" s="15">
        <f t="shared" si="17"/>
        <v>149.69999999999999</v>
      </c>
      <c r="AC12" s="15">
        <f t="shared" si="17"/>
        <v>158.30000000000001</v>
      </c>
      <c r="AD12" s="15">
        <f t="shared" si="17"/>
        <v>140.69999999999999</v>
      </c>
      <c r="AE12" s="15">
        <f t="shared" si="17"/>
        <v>148.5</v>
      </c>
      <c r="AF12" s="15">
        <f t="shared" si="17"/>
        <v>159.4</v>
      </c>
      <c r="AG12" s="15">
        <f t="shared" si="17"/>
        <v>157.1</v>
      </c>
      <c r="AH12" s="15">
        <f t="shared" si="17"/>
        <v>151.19999999999999</v>
      </c>
      <c r="AI12" s="15">
        <f t="shared" si="17"/>
        <v>0</v>
      </c>
      <c r="AL12" s="5" t="s">
        <v>81</v>
      </c>
      <c r="AM12" s="14">
        <f t="shared" si="7"/>
        <v>-7.534246575342427E-3</v>
      </c>
      <c r="AN12" s="14">
        <f t="shared" si="8"/>
        <v>-4.7120418848167834E-3</v>
      </c>
      <c r="AO12" s="14">
        <f t="shared" si="4"/>
        <v>0</v>
      </c>
      <c r="AP12" s="14">
        <f t="shared" si="4"/>
        <v>0</v>
      </c>
      <c r="AQ12" s="14">
        <f t="shared" si="4"/>
        <v>2.9331514324693123E-2</v>
      </c>
      <c r="AR12" s="14">
        <f t="shared" si="4"/>
        <v>1.2863913337847026E-2</v>
      </c>
      <c r="AS12" s="14">
        <f t="shared" si="4"/>
        <v>-0.15748373101952282</v>
      </c>
      <c r="AT12" s="14">
        <f t="shared" si="4"/>
        <v>1.2484394506867482E-3</v>
      </c>
      <c r="AU12" s="14">
        <f t="shared" si="4"/>
        <v>-6.0711188204683681E-3</v>
      </c>
      <c r="AV12" s="14">
        <f t="shared" si="4"/>
        <v>6.1349693251533744E-3</v>
      </c>
      <c r="AW12" s="14">
        <f t="shared" si="4"/>
        <v>1.7426273458445194E-2</v>
      </c>
      <c r="AX12" s="14">
        <f t="shared" si="4"/>
        <v>4.8543689320387313E-3</v>
      </c>
      <c r="AY12" s="14">
        <f t="shared" si="4"/>
        <v>-2.6602176541717083E-2</v>
      </c>
      <c r="AZ12" s="14">
        <f t="shared" si="4"/>
        <v>5.9331175836029896E-3</v>
      </c>
      <c r="BA12" s="14">
        <f t="shared" si="4"/>
        <v>3.2258064516129032E-3</v>
      </c>
      <c r="BB12" s="14">
        <f t="shared" si="4"/>
        <v>4.8143053645116132E-3</v>
      </c>
      <c r="BC12" s="14">
        <f t="shared" si="4"/>
        <v>3.9062499999999631E-3</v>
      </c>
      <c r="BD12" s="14">
        <f t="shared" si="16"/>
        <v>-4.4191919191920266E-3</v>
      </c>
      <c r="BE12" s="14">
        <f t="shared" si="9"/>
        <v>2.2821576763485556E-2</v>
      </c>
      <c r="BF12" s="14">
        <f t="shared" si="9"/>
        <v>2.0040080160321403E-3</v>
      </c>
      <c r="BG12" s="14">
        <f t="shared" si="9"/>
        <v>6.3171193935565376E-3</v>
      </c>
      <c r="BH12" s="14">
        <f t="shared" si="9"/>
        <v>8.5287846481877545E-3</v>
      </c>
      <c r="BI12" s="14">
        <f t="shared" si="9"/>
        <v>7.4074074074073695E-3</v>
      </c>
      <c r="BJ12" s="14">
        <f t="shared" si="9"/>
        <v>-1.2547051442911986E-3</v>
      </c>
      <c r="BK12" s="14">
        <f t="shared" si="9"/>
        <v>-1.9096117122850602E-3</v>
      </c>
      <c r="BL12" s="14">
        <f t="shared" si="9"/>
        <v>4.629629629629743E-3</v>
      </c>
    </row>
    <row r="13" spans="1:64" x14ac:dyDescent="0.35">
      <c r="B13" s="5" t="s">
        <v>81</v>
      </c>
      <c r="C13" s="61">
        <v>55990.924602459359</v>
      </c>
      <c r="D13" s="61">
        <v>19593.587939287001</v>
      </c>
      <c r="E13" s="65">
        <f t="shared" si="2"/>
        <v>0.38985193502593379</v>
      </c>
      <c r="F13" s="6">
        <f t="shared" si="5"/>
        <v>0.12239751637870287</v>
      </c>
      <c r="H13" s="5" t="s">
        <v>81</v>
      </c>
      <c r="I13" s="15">
        <f t="shared" ref="I13:AI13" si="18">SUMIFS(January2021,Subcategory,I$2,SECTOR,$I$1)</f>
        <v>144.9</v>
      </c>
      <c r="J13" s="15">
        <f t="shared" si="18"/>
        <v>190.1</v>
      </c>
      <c r="K13" s="15">
        <f t="shared" si="18"/>
        <v>175.3</v>
      </c>
      <c r="L13" s="15">
        <f t="shared" si="18"/>
        <v>154.1</v>
      </c>
      <c r="M13" s="15">
        <f t="shared" si="18"/>
        <v>150.9</v>
      </c>
      <c r="N13" s="15">
        <f t="shared" si="18"/>
        <v>149.6</v>
      </c>
      <c r="O13" s="15">
        <f t="shared" si="18"/>
        <v>194.2</v>
      </c>
      <c r="P13" s="15">
        <f t="shared" si="18"/>
        <v>160.4</v>
      </c>
      <c r="Q13" s="15">
        <f t="shared" si="18"/>
        <v>114.6</v>
      </c>
      <c r="R13" s="15">
        <f t="shared" si="18"/>
        <v>164</v>
      </c>
      <c r="S13" s="15">
        <f t="shared" si="18"/>
        <v>151.80000000000001</v>
      </c>
      <c r="T13" s="15">
        <f t="shared" si="18"/>
        <v>165.6</v>
      </c>
      <c r="U13" s="15">
        <f t="shared" si="18"/>
        <v>161</v>
      </c>
      <c r="V13" s="15">
        <f t="shared" si="18"/>
        <v>186.5</v>
      </c>
      <c r="W13" s="15">
        <f t="shared" si="18"/>
        <v>155.5</v>
      </c>
      <c r="X13" s="15">
        <f t="shared" si="18"/>
        <v>146.1</v>
      </c>
      <c r="Y13" s="15">
        <f t="shared" si="18"/>
        <v>154.19999999999999</v>
      </c>
      <c r="Z13" s="15">
        <f t="shared" si="18"/>
        <v>157.69999999999999</v>
      </c>
      <c r="AA13" s="15">
        <f t="shared" si="18"/>
        <v>147.9</v>
      </c>
      <c r="AB13" s="15">
        <f t="shared" si="18"/>
        <v>150</v>
      </c>
      <c r="AC13" s="15">
        <f t="shared" si="18"/>
        <v>159.30000000000001</v>
      </c>
      <c r="AD13" s="15">
        <f t="shared" si="18"/>
        <v>141.9</v>
      </c>
      <c r="AE13" s="15">
        <f t="shared" si="18"/>
        <v>149.6</v>
      </c>
      <c r="AF13" s="15">
        <f t="shared" si="18"/>
        <v>159.19999999999999</v>
      </c>
      <c r="AG13" s="15">
        <f t="shared" si="18"/>
        <v>156.80000000000001</v>
      </c>
      <c r="AH13" s="15">
        <f t="shared" si="18"/>
        <v>151.9</v>
      </c>
      <c r="AI13" s="15">
        <f t="shared" si="18"/>
        <v>0</v>
      </c>
      <c r="AL13" s="5" t="s">
        <v>82</v>
      </c>
      <c r="AM13" s="14">
        <f t="shared" si="7"/>
        <v>-4.1407867494823621E-3</v>
      </c>
      <c r="AN13" s="14">
        <f t="shared" si="8"/>
        <v>-1.8937401367701182E-2</v>
      </c>
      <c r="AO13" s="14">
        <f t="shared" si="4"/>
        <v>-3.764974329720492E-2</v>
      </c>
      <c r="AP13" s="14">
        <f t="shared" si="4"/>
        <v>3.893575600259535E-3</v>
      </c>
      <c r="AQ13" s="14">
        <f t="shared" si="4"/>
        <v>5.1689860834989942E-2</v>
      </c>
      <c r="AR13" s="14">
        <f t="shared" si="4"/>
        <v>7.3529411764705508E-3</v>
      </c>
      <c r="AS13" s="14">
        <f t="shared" si="4"/>
        <v>-0.17610710607621005</v>
      </c>
      <c r="AT13" s="14">
        <f t="shared" si="4"/>
        <v>-9.9750623441396159E-3</v>
      </c>
      <c r="AU13" s="14">
        <f t="shared" si="4"/>
        <v>-1.5706806282722488E-2</v>
      </c>
      <c r="AV13" s="14">
        <f t="shared" si="4"/>
        <v>1.2195121951218818E-3</v>
      </c>
      <c r="AW13" s="14">
        <f t="shared" si="4"/>
        <v>2.4374176548089516E-2</v>
      </c>
      <c r="AX13" s="14">
        <f t="shared" si="4"/>
        <v>1.1473429951690857E-2</v>
      </c>
      <c r="AY13" s="14">
        <f t="shared" si="4"/>
        <v>-2.5465838509316736E-2</v>
      </c>
      <c r="AZ13" s="14">
        <f t="shared" si="4"/>
        <v>9.6514745308311604E-3</v>
      </c>
      <c r="BA13" s="14">
        <f t="shared" si="4"/>
        <v>1.09324758842443E-2</v>
      </c>
      <c r="BB13" s="14">
        <f t="shared" si="4"/>
        <v>8.8980150581794079E-3</v>
      </c>
      <c r="BC13" s="14">
        <f t="shared" si="4"/>
        <v>1.0376134889753716E-2</v>
      </c>
      <c r="BD13" s="14">
        <f t="shared" si="16"/>
        <v>1.331642358909336E-2</v>
      </c>
      <c r="BE13" s="14">
        <f t="shared" si="9"/>
        <v>3.0425963488843813E-2</v>
      </c>
      <c r="BF13" s="14">
        <f t="shared" si="9"/>
        <v>6.0000000000000383E-3</v>
      </c>
      <c r="BG13" s="14">
        <f t="shared" si="9"/>
        <v>1.2554927809165096E-2</v>
      </c>
      <c r="BH13" s="14">
        <f t="shared" si="9"/>
        <v>2.2551092318534097E-2</v>
      </c>
      <c r="BI13" s="14">
        <f t="shared" si="9"/>
        <v>1.2700534759358327E-2</v>
      </c>
      <c r="BJ13" s="14">
        <f t="shared" si="9"/>
        <v>1.8844221105528353E-3</v>
      </c>
      <c r="BK13" s="14">
        <f t="shared" si="9"/>
        <v>-6.3775510204081625E-3</v>
      </c>
      <c r="BL13" s="14">
        <f t="shared" si="9"/>
        <v>9.8749177090190904E-3</v>
      </c>
    </row>
    <row r="14" spans="1:64" x14ac:dyDescent="0.35">
      <c r="B14" s="5" t="s">
        <v>82</v>
      </c>
      <c r="C14" s="61">
        <v>48033.558892131798</v>
      </c>
      <c r="D14" s="61">
        <v>15235.023744967</v>
      </c>
      <c r="E14" s="65">
        <f t="shared" si="2"/>
        <v>0.43012794127206777</v>
      </c>
      <c r="F14" s="6">
        <f t="shared" si="5"/>
        <v>0.10331103331180011</v>
      </c>
      <c r="H14" s="5" t="s">
        <v>82</v>
      </c>
      <c r="I14" s="15">
        <f t="shared" ref="I14:AI14" si="19">SUMIFS(February2021,Subcategory,I$2,SECTOR,$I$1)</f>
        <v>144.30000000000001</v>
      </c>
      <c r="J14" s="15">
        <f t="shared" si="19"/>
        <v>186.5</v>
      </c>
      <c r="K14" s="15">
        <f t="shared" si="19"/>
        <v>168.7</v>
      </c>
      <c r="L14" s="15">
        <f t="shared" si="19"/>
        <v>154.69999999999999</v>
      </c>
      <c r="M14" s="15">
        <f t="shared" si="19"/>
        <v>158.69999999999999</v>
      </c>
      <c r="N14" s="15">
        <f t="shared" si="19"/>
        <v>150.69999999999999</v>
      </c>
      <c r="O14" s="15">
        <f t="shared" si="19"/>
        <v>160</v>
      </c>
      <c r="P14" s="15">
        <f t="shared" si="19"/>
        <v>158.80000000000001</v>
      </c>
      <c r="Q14" s="15">
        <f t="shared" si="19"/>
        <v>112.8</v>
      </c>
      <c r="R14" s="15">
        <f t="shared" si="19"/>
        <v>164.2</v>
      </c>
      <c r="S14" s="15">
        <f t="shared" si="19"/>
        <v>155.5</v>
      </c>
      <c r="T14" s="15">
        <f t="shared" si="19"/>
        <v>167.5</v>
      </c>
      <c r="U14" s="15">
        <f t="shared" si="19"/>
        <v>156.9</v>
      </c>
      <c r="V14" s="15">
        <f t="shared" si="19"/>
        <v>188.3</v>
      </c>
      <c r="W14" s="15">
        <f t="shared" si="19"/>
        <v>157.19999999999999</v>
      </c>
      <c r="X14" s="15">
        <f t="shared" si="19"/>
        <v>147.4</v>
      </c>
      <c r="Y14" s="15">
        <f t="shared" si="19"/>
        <v>155.80000000000001</v>
      </c>
      <c r="Z14" s="15">
        <f t="shared" si="19"/>
        <v>159.80000000000001</v>
      </c>
      <c r="AA14" s="15">
        <f t="shared" si="19"/>
        <v>152.4</v>
      </c>
      <c r="AB14" s="15">
        <f t="shared" si="19"/>
        <v>150.9</v>
      </c>
      <c r="AC14" s="15">
        <f t="shared" si="19"/>
        <v>161.30000000000001</v>
      </c>
      <c r="AD14" s="15">
        <f t="shared" si="19"/>
        <v>145.1</v>
      </c>
      <c r="AE14" s="15">
        <f t="shared" si="19"/>
        <v>151.5</v>
      </c>
      <c r="AF14" s="15">
        <f t="shared" si="19"/>
        <v>159.5</v>
      </c>
      <c r="AG14" s="15">
        <f t="shared" si="19"/>
        <v>155.80000000000001</v>
      </c>
      <c r="AH14" s="15">
        <f t="shared" si="19"/>
        <v>153.4</v>
      </c>
      <c r="AI14" s="15">
        <f t="shared" si="19"/>
        <v>0</v>
      </c>
      <c r="AL14" s="5" t="s">
        <v>83</v>
      </c>
      <c r="AM14" s="14">
        <f t="shared" si="7"/>
        <v>-1.386001386001504E-3</v>
      </c>
      <c r="AN14" s="14">
        <f t="shared" si="8"/>
        <v>3.0563002680965085E-2</v>
      </c>
      <c r="AO14" s="14">
        <f t="shared" si="4"/>
        <v>-2.9045643153526837E-2</v>
      </c>
      <c r="AP14" s="14">
        <f t="shared" si="4"/>
        <v>1.2928248222366973E-3</v>
      </c>
      <c r="AQ14" s="14">
        <f t="shared" si="4"/>
        <v>3.2766225582860853E-2</v>
      </c>
      <c r="AR14" s="14">
        <f t="shared" si="4"/>
        <v>1.9907100199071003E-2</v>
      </c>
      <c r="AS14" s="14">
        <f t="shared" si="4"/>
        <v>-6.5625000000000003E-2</v>
      </c>
      <c r="AT14" s="14">
        <f t="shared" si="4"/>
        <v>6.2972292191435762E-3</v>
      </c>
      <c r="AU14" s="14">
        <f t="shared" si="4"/>
        <v>-1.7730496453900962E-3</v>
      </c>
      <c r="AV14" s="14">
        <f t="shared" si="4"/>
        <v>-4.2630937880632682E-3</v>
      </c>
      <c r="AW14" s="14">
        <f t="shared" si="4"/>
        <v>6.4308681672025723E-3</v>
      </c>
      <c r="AX14" s="14">
        <f t="shared" si="4"/>
        <v>4.1791044776118723E-3</v>
      </c>
      <c r="AY14" s="14">
        <f t="shared" si="4"/>
        <v>-1.2746972594010009E-3</v>
      </c>
      <c r="AZ14" s="14">
        <f t="shared" si="4"/>
        <v>-1.0621348911312642E-3</v>
      </c>
      <c r="BA14" s="14">
        <f t="shared" si="4"/>
        <v>3.8167938931299157E-3</v>
      </c>
      <c r="BB14" s="14">
        <f t="shared" si="4"/>
        <v>3.3921302578018993E-3</v>
      </c>
      <c r="BC14" s="14">
        <f t="shared" si="4"/>
        <v>3.8510911424903356E-3</v>
      </c>
      <c r="BD14" s="14">
        <f t="shared" si="16"/>
        <v>6.2578222778469526E-4</v>
      </c>
      <c r="BE14" s="14">
        <f t="shared" si="9"/>
        <v>2.0341207349081326E-2</v>
      </c>
      <c r="BF14" s="14">
        <f t="shared" si="9"/>
        <v>1.9880715705764278E-3</v>
      </c>
      <c r="BG14" s="14">
        <f t="shared" si="9"/>
        <v>2.4798512089273233E-3</v>
      </c>
      <c r="BH14" s="14">
        <f t="shared" si="9"/>
        <v>7.5809786354238068E-3</v>
      </c>
      <c r="BI14" s="14">
        <f t="shared" si="9"/>
        <v>7.2607260726072235E-3</v>
      </c>
      <c r="BJ14" s="14">
        <f t="shared" si="9"/>
        <v>4.3887147335422488E-3</v>
      </c>
      <c r="BK14" s="14">
        <f t="shared" si="9"/>
        <v>-1.2836970474967907E-2</v>
      </c>
      <c r="BL14" s="14">
        <f t="shared" si="9"/>
        <v>2.6075619295958647E-3</v>
      </c>
    </row>
    <row r="15" spans="1:64" x14ac:dyDescent="0.35">
      <c r="B15" s="5" t="s">
        <v>83</v>
      </c>
      <c r="C15" s="61">
        <v>61518.692284107237</v>
      </c>
      <c r="D15" s="61">
        <v>18260.601873827873</v>
      </c>
      <c r="E15" s="65">
        <f t="shared" si="2"/>
        <v>0.45960847940854005</v>
      </c>
      <c r="F15" s="6">
        <f t="shared" si="5"/>
        <v>6.853899806947214E-2</v>
      </c>
      <c r="H15" s="5" t="s">
        <v>83</v>
      </c>
      <c r="I15" s="15">
        <f t="shared" ref="I15:AI15" si="20">SUMIFS(March21,Subcategory,I$2,SECTOR,$I$1)</f>
        <v>144.1</v>
      </c>
      <c r="J15" s="15">
        <f t="shared" si="20"/>
        <v>192.2</v>
      </c>
      <c r="K15" s="15">
        <f t="shared" si="20"/>
        <v>163.80000000000001</v>
      </c>
      <c r="L15" s="15">
        <f t="shared" si="20"/>
        <v>154.9</v>
      </c>
      <c r="M15" s="15">
        <f t="shared" si="20"/>
        <v>163.9</v>
      </c>
      <c r="N15" s="15">
        <f t="shared" si="20"/>
        <v>153.69999999999999</v>
      </c>
      <c r="O15" s="15">
        <f t="shared" si="20"/>
        <v>149.5</v>
      </c>
      <c r="P15" s="15">
        <f t="shared" si="20"/>
        <v>159.80000000000001</v>
      </c>
      <c r="Q15" s="15">
        <f t="shared" si="20"/>
        <v>112.6</v>
      </c>
      <c r="R15" s="15">
        <f t="shared" si="20"/>
        <v>163.5</v>
      </c>
      <c r="S15" s="15">
        <f t="shared" si="20"/>
        <v>156.5</v>
      </c>
      <c r="T15" s="15">
        <f t="shared" si="20"/>
        <v>168.2</v>
      </c>
      <c r="U15" s="15">
        <f t="shared" si="20"/>
        <v>156.69999999999999</v>
      </c>
      <c r="V15" s="15">
        <f t="shared" si="20"/>
        <v>188.1</v>
      </c>
      <c r="W15" s="15">
        <f t="shared" si="20"/>
        <v>157.80000000000001</v>
      </c>
      <c r="X15" s="15">
        <f t="shared" si="20"/>
        <v>147.9</v>
      </c>
      <c r="Y15" s="15">
        <f t="shared" si="20"/>
        <v>156.4</v>
      </c>
      <c r="Z15" s="15">
        <f t="shared" si="20"/>
        <v>159.9</v>
      </c>
      <c r="AA15" s="15">
        <f t="shared" si="20"/>
        <v>155.5</v>
      </c>
      <c r="AB15" s="15">
        <f t="shared" si="20"/>
        <v>151.19999999999999</v>
      </c>
      <c r="AC15" s="15">
        <f t="shared" si="20"/>
        <v>161.69999999999999</v>
      </c>
      <c r="AD15" s="15">
        <f t="shared" si="20"/>
        <v>146.19999999999999</v>
      </c>
      <c r="AE15" s="15">
        <f t="shared" si="20"/>
        <v>152.6</v>
      </c>
      <c r="AF15" s="15">
        <f t="shared" si="20"/>
        <v>160.19999999999999</v>
      </c>
      <c r="AG15" s="15">
        <f t="shared" si="20"/>
        <v>153.80000000000001</v>
      </c>
      <c r="AH15" s="15">
        <f t="shared" si="20"/>
        <v>153.80000000000001</v>
      </c>
      <c r="AI15" s="15">
        <f t="shared" si="20"/>
        <v>0</v>
      </c>
      <c r="AL15" s="5" t="s">
        <v>84</v>
      </c>
      <c r="AM15" s="14">
        <f t="shared" si="7"/>
        <v>1.3879250520473078E-3</v>
      </c>
      <c r="AN15" s="14">
        <f t="shared" si="8"/>
        <v>3.0176899063475607E-2</v>
      </c>
      <c r="AO15" s="14">
        <f t="shared" si="4"/>
        <v>4.8840048840047799E-3</v>
      </c>
      <c r="AP15" s="14">
        <f t="shared" si="4"/>
        <v>3.2278889606197547E-3</v>
      </c>
      <c r="AQ15" s="14">
        <f t="shared" si="4"/>
        <v>3.7827943868212255E-2</v>
      </c>
      <c r="AR15" s="14">
        <f t="shared" si="4"/>
        <v>6.9616135328562256E-2</v>
      </c>
      <c r="AS15" s="14">
        <f t="shared" si="4"/>
        <v>-3.6120401337792679E-2</v>
      </c>
      <c r="AT15" s="14">
        <f t="shared" si="4"/>
        <v>1.1889862327909744E-2</v>
      </c>
      <c r="AU15" s="14">
        <f t="shared" si="4"/>
        <v>4.4404973357015992E-3</v>
      </c>
      <c r="AV15" s="14">
        <f t="shared" si="4"/>
        <v>2.4464831804281695E-3</v>
      </c>
      <c r="AW15" s="14">
        <f t="shared" si="4"/>
        <v>7.0287539936101876E-3</v>
      </c>
      <c r="AX15" s="14">
        <f t="shared" si="4"/>
        <v>4.1617122473247151E-3</v>
      </c>
      <c r="AY15" s="14">
        <f t="shared" si="4"/>
        <v>8.2961072112317253E-3</v>
      </c>
      <c r="AZ15" s="14">
        <f t="shared" si="4"/>
        <v>3.7214247740564436E-3</v>
      </c>
      <c r="BA15" s="14">
        <f t="shared" si="4"/>
        <v>6.3371356147021544E-3</v>
      </c>
      <c r="BB15" s="14">
        <f t="shared" si="4"/>
        <v>4.0567951318458036E-3</v>
      </c>
      <c r="BC15" s="14">
        <f t="shared" si="4"/>
        <v>5.7544757033248439E-3</v>
      </c>
      <c r="BD15" s="14">
        <f t="shared" si="16"/>
        <v>9.3808630393996239E-3</v>
      </c>
      <c r="BE15" s="14">
        <f t="shared" si="9"/>
        <v>6.4308681672022071E-4</v>
      </c>
      <c r="BF15" s="14">
        <f t="shared" si="9"/>
        <v>3.968253968254119E-3</v>
      </c>
      <c r="BG15" s="14">
        <f t="shared" si="9"/>
        <v>3.7105751391467087E-3</v>
      </c>
      <c r="BH15" s="14">
        <f t="shared" si="9"/>
        <v>2.7359781121751416E-3</v>
      </c>
      <c r="BI15" s="14">
        <f t="shared" si="9"/>
        <v>3.9318479685451794E-3</v>
      </c>
      <c r="BJ15" s="14">
        <f t="shared" si="9"/>
        <v>6.2421972534346278E-4</v>
      </c>
      <c r="BK15" s="14">
        <f t="shared" si="9"/>
        <v>1.0403120936280846E-2</v>
      </c>
      <c r="BL15" s="14">
        <f t="shared" si="9"/>
        <v>3.9011703511052944E-3</v>
      </c>
    </row>
    <row r="16" spans="1:64" x14ac:dyDescent="0.35">
      <c r="B16" s="5" t="s">
        <v>84</v>
      </c>
      <c r="C16" s="61">
        <v>63309.498622749867</v>
      </c>
      <c r="D16" s="61">
        <v>18256.492266788002</v>
      </c>
      <c r="E16" s="65">
        <f t="shared" si="2"/>
        <v>0.47309413272439449</v>
      </c>
      <c r="F16" s="6">
        <f t="shared" si="5"/>
        <v>2.9341611219202979E-2</v>
      </c>
      <c r="H16" s="5" t="s">
        <v>84</v>
      </c>
      <c r="I16" s="15">
        <f t="shared" ref="I16:AI16" si="21">SUMIFS(April2021,Subcategory,I$2,SECTOR,$I$1)</f>
        <v>144.30000000000001</v>
      </c>
      <c r="J16" s="15">
        <f t="shared" si="21"/>
        <v>198</v>
      </c>
      <c r="K16" s="15">
        <f t="shared" si="21"/>
        <v>164.6</v>
      </c>
      <c r="L16" s="15">
        <f t="shared" si="21"/>
        <v>155.4</v>
      </c>
      <c r="M16" s="15">
        <f t="shared" si="21"/>
        <v>170.1</v>
      </c>
      <c r="N16" s="15">
        <f t="shared" si="21"/>
        <v>164.4</v>
      </c>
      <c r="O16" s="15">
        <f t="shared" si="21"/>
        <v>144.1</v>
      </c>
      <c r="P16" s="15">
        <f t="shared" si="21"/>
        <v>161.69999999999999</v>
      </c>
      <c r="Q16" s="15">
        <f t="shared" si="21"/>
        <v>113.1</v>
      </c>
      <c r="R16" s="15">
        <f t="shared" si="21"/>
        <v>163.9</v>
      </c>
      <c r="S16" s="15">
        <f t="shared" si="21"/>
        <v>157.6</v>
      </c>
      <c r="T16" s="15">
        <f t="shared" si="21"/>
        <v>168.9</v>
      </c>
      <c r="U16" s="15">
        <f t="shared" si="21"/>
        <v>158</v>
      </c>
      <c r="V16" s="15">
        <f t="shared" si="21"/>
        <v>188.8</v>
      </c>
      <c r="W16" s="15">
        <f t="shared" si="21"/>
        <v>158.80000000000001</v>
      </c>
      <c r="X16" s="15">
        <f t="shared" si="21"/>
        <v>148.5</v>
      </c>
      <c r="Y16" s="15">
        <f t="shared" si="21"/>
        <v>157.30000000000001</v>
      </c>
      <c r="Z16" s="15">
        <f t="shared" si="21"/>
        <v>161.4</v>
      </c>
      <c r="AA16" s="15">
        <f t="shared" si="21"/>
        <v>155.6</v>
      </c>
      <c r="AB16" s="15">
        <f t="shared" si="21"/>
        <v>151.80000000000001</v>
      </c>
      <c r="AC16" s="15">
        <f t="shared" si="21"/>
        <v>162.30000000000001</v>
      </c>
      <c r="AD16" s="15">
        <f t="shared" si="21"/>
        <v>146.6</v>
      </c>
      <c r="AE16" s="15">
        <f t="shared" si="21"/>
        <v>153.19999999999999</v>
      </c>
      <c r="AF16" s="15">
        <f t="shared" si="21"/>
        <v>160.30000000000001</v>
      </c>
      <c r="AG16" s="15">
        <f t="shared" si="21"/>
        <v>155.4</v>
      </c>
      <c r="AH16" s="15">
        <f t="shared" si="21"/>
        <v>154.4</v>
      </c>
      <c r="AI16" s="15">
        <f t="shared" si="21"/>
        <v>0</v>
      </c>
      <c r="AL16" s="5" t="s">
        <v>85</v>
      </c>
      <c r="AM16" s="14">
        <f t="shared" si="7"/>
        <v>1.386001386001386E-2</v>
      </c>
      <c r="AN16" s="14">
        <f t="shared" si="8"/>
        <v>1.2626262626262626E-2</v>
      </c>
      <c r="AO16" s="14">
        <f t="shared" si="4"/>
        <v>3.4629404617254056E-2</v>
      </c>
      <c r="AP16" s="14">
        <f t="shared" si="4"/>
        <v>4.5045045045044316E-3</v>
      </c>
      <c r="AQ16" s="14">
        <f t="shared" si="4"/>
        <v>5.0558495002939415E-2</v>
      </c>
      <c r="AR16" s="14">
        <f t="shared" si="4"/>
        <v>1.6423357664233508E-2</v>
      </c>
      <c r="AS16" s="14">
        <f t="shared" si="4"/>
        <v>2.637057598889668E-2</v>
      </c>
      <c r="AT16" s="14">
        <f t="shared" si="4"/>
        <v>2.2881880024737275E-2</v>
      </c>
      <c r="AU16" s="14">
        <f t="shared" si="4"/>
        <v>1.503094606542885E-2</v>
      </c>
      <c r="AV16" s="14">
        <f t="shared" si="4"/>
        <v>2.6235509456985863E-2</v>
      </c>
      <c r="AW16" s="14">
        <f t="shared" si="4"/>
        <v>1.0786802030456961E-2</v>
      </c>
      <c r="AX16" s="14">
        <f t="shared" si="4"/>
        <v>8.8809946714031966E-3</v>
      </c>
      <c r="AY16" s="14">
        <f t="shared" si="4"/>
        <v>1.7088607594936637E-2</v>
      </c>
      <c r="AZ16" s="14">
        <f t="shared" si="4"/>
        <v>1.6419491525423699E-2</v>
      </c>
      <c r="BA16" s="14">
        <f t="shared" si="4"/>
        <v>1.8891687657430729E-2</v>
      </c>
      <c r="BB16" s="14">
        <f t="shared" si="4"/>
        <v>2.4242424242424204E-2</v>
      </c>
      <c r="BC16" s="14">
        <f t="shared" si="4"/>
        <v>1.9707565162110578E-2</v>
      </c>
      <c r="BD16" s="14">
        <f t="shared" si="16"/>
        <v>1.2391573729862988E-3</v>
      </c>
      <c r="BE16" s="14">
        <f t="shared" si="9"/>
        <v>2.4421593830334265E-2</v>
      </c>
      <c r="BF16" s="14">
        <f t="shared" si="9"/>
        <v>1.9104084321475475E-2</v>
      </c>
      <c r="BG16" s="14">
        <f t="shared" si="9"/>
        <v>2.1565003080714726E-2</v>
      </c>
      <c r="BH16" s="14">
        <f t="shared" si="9"/>
        <v>1.568894952251031E-2</v>
      </c>
      <c r="BI16" s="14">
        <f t="shared" si="9"/>
        <v>1.6971279373368297E-2</v>
      </c>
      <c r="BJ16" s="14">
        <f t="shared" si="9"/>
        <v>5.6144728633810183E-3</v>
      </c>
      <c r="BK16" s="14">
        <f t="shared" si="9"/>
        <v>2.0592020592020518E-2</v>
      </c>
      <c r="BL16" s="14">
        <f t="shared" si="9"/>
        <v>1.5544041450777238E-2</v>
      </c>
    </row>
    <row r="17" spans="2:64" x14ac:dyDescent="0.35">
      <c r="B17" s="5" t="s">
        <v>85</v>
      </c>
      <c r="C17" s="61">
        <v>60800.383481587211</v>
      </c>
      <c r="D17" s="61">
        <v>17259.238289191999</v>
      </c>
      <c r="E17" s="65">
        <f t="shared" si="2"/>
        <v>0.48059662758381855</v>
      </c>
      <c r="F17" s="6">
        <f t="shared" si="5"/>
        <v>1.5858355326073572E-2</v>
      </c>
      <c r="H17" s="5" t="s">
        <v>85</v>
      </c>
      <c r="I17" s="15">
        <f t="shared" ref="I17:AI17" si="22">SUMIFS(Maymonth21,Subcategory,I$2,SECTOR,$I$1)</f>
        <v>146.30000000000001</v>
      </c>
      <c r="J17" s="15">
        <f t="shared" si="22"/>
        <v>200.5</v>
      </c>
      <c r="K17" s="15">
        <f t="shared" si="22"/>
        <v>170.3</v>
      </c>
      <c r="L17" s="15">
        <f t="shared" si="22"/>
        <v>156.1</v>
      </c>
      <c r="M17" s="15">
        <f t="shared" si="22"/>
        <v>178.7</v>
      </c>
      <c r="N17" s="15">
        <f t="shared" si="22"/>
        <v>167.1</v>
      </c>
      <c r="O17" s="15">
        <f t="shared" si="22"/>
        <v>147.9</v>
      </c>
      <c r="P17" s="15">
        <f t="shared" si="22"/>
        <v>165.4</v>
      </c>
      <c r="Q17" s="15">
        <f t="shared" si="22"/>
        <v>114.8</v>
      </c>
      <c r="R17" s="15">
        <f t="shared" si="22"/>
        <v>168.2</v>
      </c>
      <c r="S17" s="15">
        <f t="shared" si="22"/>
        <v>159.30000000000001</v>
      </c>
      <c r="T17" s="15">
        <f t="shared" si="22"/>
        <v>170.4</v>
      </c>
      <c r="U17" s="15">
        <f t="shared" si="22"/>
        <v>160.69999999999999</v>
      </c>
      <c r="V17" s="15">
        <f t="shared" si="22"/>
        <v>191.9</v>
      </c>
      <c r="W17" s="15">
        <f t="shared" si="22"/>
        <v>161.80000000000001</v>
      </c>
      <c r="X17" s="15">
        <f t="shared" si="22"/>
        <v>152.1</v>
      </c>
      <c r="Y17" s="15">
        <f t="shared" si="22"/>
        <v>160.4</v>
      </c>
      <c r="Z17" s="15">
        <f t="shared" si="22"/>
        <v>161.6</v>
      </c>
      <c r="AA17" s="15">
        <f t="shared" si="22"/>
        <v>159.4</v>
      </c>
      <c r="AB17" s="15">
        <f t="shared" si="22"/>
        <v>154.69999999999999</v>
      </c>
      <c r="AC17" s="15">
        <f t="shared" si="22"/>
        <v>165.8</v>
      </c>
      <c r="AD17" s="15">
        <f t="shared" si="22"/>
        <v>148.9</v>
      </c>
      <c r="AE17" s="15">
        <f t="shared" si="22"/>
        <v>155.80000000000001</v>
      </c>
      <c r="AF17" s="15">
        <f t="shared" si="22"/>
        <v>161.19999999999999</v>
      </c>
      <c r="AG17" s="15">
        <f t="shared" si="22"/>
        <v>158.6</v>
      </c>
      <c r="AH17" s="15">
        <f t="shared" si="22"/>
        <v>156.80000000000001</v>
      </c>
      <c r="AI17" s="15">
        <f t="shared" si="22"/>
        <v>0</v>
      </c>
      <c r="AL17" s="5" t="s">
        <v>86</v>
      </c>
      <c r="AM17" s="14">
        <f t="shared" si="7"/>
        <v>2.7341079972657365E-3</v>
      </c>
      <c r="AN17" s="14">
        <f t="shared" si="8"/>
        <v>7.481296758104738E-3</v>
      </c>
      <c r="AO17" s="14">
        <f t="shared" si="4"/>
        <v>6.1068702290076202E-2</v>
      </c>
      <c r="AP17" s="14">
        <f t="shared" si="4"/>
        <v>6.4061499039073878E-4</v>
      </c>
      <c r="AQ17" s="14">
        <f t="shared" si="4"/>
        <v>2.7979854504756579E-2</v>
      </c>
      <c r="AR17" s="14">
        <f t="shared" si="4"/>
        <v>-1.4961101137043686E-2</v>
      </c>
      <c r="AS17" s="14">
        <f t="shared" si="4"/>
        <v>5.0709939148073022E-2</v>
      </c>
      <c r="AT17" s="14">
        <f t="shared" si="4"/>
        <v>3.6275695284159267E-3</v>
      </c>
      <c r="AU17" s="14">
        <f t="shared" si="4"/>
        <v>2.6132404181184424E-3</v>
      </c>
      <c r="AV17" s="14">
        <f t="shared" si="4"/>
        <v>1.7835909631391878E-3</v>
      </c>
      <c r="AW17" s="14">
        <f t="shared" si="4"/>
        <v>4.394224733207712E-3</v>
      </c>
      <c r="AX17" s="14">
        <f t="shared" si="4"/>
        <v>1.1737089201877934E-2</v>
      </c>
      <c r="AY17" s="14">
        <f t="shared" si="4"/>
        <v>1.1823273179838244E-2</v>
      </c>
      <c r="AZ17" s="14">
        <f t="shared" si="4"/>
        <v>-5.7321521625846496E-3</v>
      </c>
      <c r="BA17" s="14">
        <f t="shared" si="4"/>
        <v>2.4721878862792165E-3</v>
      </c>
      <c r="BB17" s="14">
        <f t="shared" si="4"/>
        <v>-1.9723865877710909E-3</v>
      </c>
      <c r="BC17" s="14">
        <f t="shared" si="4"/>
        <v>1.8703241895260782E-3</v>
      </c>
      <c r="BD17" s="14">
        <f t="shared" si="16"/>
        <v>-6.8069306930692722E-3</v>
      </c>
      <c r="BE17" s="14">
        <f t="shared" si="9"/>
        <v>2.5094102885822186E-3</v>
      </c>
      <c r="BF17" s="14">
        <f t="shared" si="9"/>
        <v>6.4641241111844047E-4</v>
      </c>
      <c r="BG17" s="14">
        <f t="shared" si="9"/>
        <v>3.0156815440289505E-3</v>
      </c>
      <c r="BH17" s="14">
        <f t="shared" si="9"/>
        <v>1.2088650100738636E-2</v>
      </c>
      <c r="BI17" s="14">
        <f t="shared" si="9"/>
        <v>-5.7766367137355949E-3</v>
      </c>
      <c r="BJ17" s="14">
        <f t="shared" si="9"/>
        <v>3.1017369727047149E-3</v>
      </c>
      <c r="BK17" s="14">
        <f t="shared" si="9"/>
        <v>1.2610340479194014E-3</v>
      </c>
      <c r="BL17" s="14">
        <f t="shared" si="9"/>
        <v>5.1020408163264218E-3</v>
      </c>
    </row>
    <row r="18" spans="2:64" x14ac:dyDescent="0.35">
      <c r="B18" s="5" t="s">
        <v>86</v>
      </c>
      <c r="C18" s="61">
        <v>61073.298999169296</v>
      </c>
      <c r="D18" s="61">
        <v>15904.74071692</v>
      </c>
      <c r="E18" s="65">
        <f t="shared" si="2"/>
        <v>0.52386672257591171</v>
      </c>
      <c r="F18" s="6">
        <f t="shared" si="5"/>
        <v>9.003412114985479E-2</v>
      </c>
      <c r="H18" s="5" t="s">
        <v>86</v>
      </c>
      <c r="I18" s="15">
        <f t="shared" ref="I18:AI18" si="23">SUMIFS(June2021,Subcategory,I$2,SECTOR,$I$1)</f>
        <v>146.69999999999999</v>
      </c>
      <c r="J18" s="15">
        <f t="shared" si="23"/>
        <v>202</v>
      </c>
      <c r="K18" s="15">
        <f t="shared" si="23"/>
        <v>180.7</v>
      </c>
      <c r="L18" s="15">
        <f t="shared" si="23"/>
        <v>156.19999999999999</v>
      </c>
      <c r="M18" s="15">
        <f t="shared" si="23"/>
        <v>183.7</v>
      </c>
      <c r="N18" s="15">
        <f t="shared" si="23"/>
        <v>164.6</v>
      </c>
      <c r="O18" s="15">
        <f t="shared" si="23"/>
        <v>155.4</v>
      </c>
      <c r="P18" s="15">
        <f t="shared" si="23"/>
        <v>166</v>
      </c>
      <c r="Q18" s="15">
        <f t="shared" si="23"/>
        <v>115.1</v>
      </c>
      <c r="R18" s="15">
        <f t="shared" si="23"/>
        <v>168.5</v>
      </c>
      <c r="S18" s="15">
        <f t="shared" si="23"/>
        <v>160</v>
      </c>
      <c r="T18" s="15">
        <f t="shared" si="23"/>
        <v>172.4</v>
      </c>
      <c r="U18" s="15">
        <f t="shared" si="23"/>
        <v>162.6</v>
      </c>
      <c r="V18" s="15">
        <f t="shared" si="23"/>
        <v>190.8</v>
      </c>
      <c r="W18" s="15">
        <f t="shared" si="23"/>
        <v>162.19999999999999</v>
      </c>
      <c r="X18" s="15">
        <f t="shared" si="23"/>
        <v>151.80000000000001</v>
      </c>
      <c r="Y18" s="15">
        <f t="shared" si="23"/>
        <v>160.69999999999999</v>
      </c>
      <c r="Z18" s="15">
        <f t="shared" si="23"/>
        <v>160.5</v>
      </c>
      <c r="AA18" s="15">
        <f t="shared" si="23"/>
        <v>159.80000000000001</v>
      </c>
      <c r="AB18" s="15">
        <f t="shared" si="23"/>
        <v>154.80000000000001</v>
      </c>
      <c r="AC18" s="15">
        <f t="shared" si="23"/>
        <v>166.3</v>
      </c>
      <c r="AD18" s="15">
        <f t="shared" si="23"/>
        <v>150.69999999999999</v>
      </c>
      <c r="AE18" s="15">
        <f t="shared" si="23"/>
        <v>154.9</v>
      </c>
      <c r="AF18" s="15">
        <f t="shared" si="23"/>
        <v>161.69999999999999</v>
      </c>
      <c r="AG18" s="15">
        <f t="shared" si="23"/>
        <v>158.80000000000001</v>
      </c>
      <c r="AH18" s="15">
        <f t="shared" si="23"/>
        <v>157.6</v>
      </c>
      <c r="AI18" s="15">
        <f t="shared" si="23"/>
        <v>0</v>
      </c>
      <c r="AL18" s="5" t="s">
        <v>87</v>
      </c>
      <c r="AM18" s="14">
        <f t="shared" si="7"/>
        <v>-2.0449897750510087E-3</v>
      </c>
      <c r="AN18" s="14">
        <f t="shared" si="8"/>
        <v>2.3762376237623818E-2</v>
      </c>
      <c r="AO18" s="14">
        <f t="shared" si="4"/>
        <v>8.3010514665190927E-3</v>
      </c>
      <c r="AP18" s="14">
        <f t="shared" si="4"/>
        <v>8.32266325224079E-3</v>
      </c>
      <c r="AQ18" s="14">
        <f t="shared" si="4"/>
        <v>-8.7098530212302364E-3</v>
      </c>
      <c r="AR18" s="14">
        <f t="shared" si="4"/>
        <v>-4.2527339003644513E-3</v>
      </c>
      <c r="AS18" s="14">
        <f t="shared" si="4"/>
        <v>5.662805662805652E-2</v>
      </c>
      <c r="AT18" s="14">
        <f t="shared" si="4"/>
        <v>-1.2048192771084338E-2</v>
      </c>
      <c r="AU18" s="14">
        <f t="shared" si="4"/>
        <v>-5.2128583840138519E-3</v>
      </c>
      <c r="AV18" s="14">
        <f t="shared" si="4"/>
        <v>-1.1869436201779741E-3</v>
      </c>
      <c r="AW18" s="14">
        <f t="shared" si="4"/>
        <v>5.6250000000000354E-3</v>
      </c>
      <c r="AX18" s="14">
        <f t="shared" si="4"/>
        <v>-1.1600928074246928E-3</v>
      </c>
      <c r="AY18" s="14">
        <f t="shared" si="4"/>
        <v>8.6100861008610446E-3</v>
      </c>
      <c r="AZ18" s="14">
        <f t="shared" si="4"/>
        <v>2.0964360587000905E-3</v>
      </c>
      <c r="BA18" s="14">
        <f t="shared" si="4"/>
        <v>3.6991368680642589E-3</v>
      </c>
      <c r="BB18" s="14">
        <f t="shared" si="4"/>
        <v>8.5638998682475813E-3</v>
      </c>
      <c r="BC18" s="14">
        <f t="shared" si="4"/>
        <v>4.3559427504668144E-3</v>
      </c>
      <c r="BD18" s="14">
        <f t="shared" si="16"/>
        <v>6.2305295950155761E-3</v>
      </c>
      <c r="BE18" s="14">
        <f t="shared" si="9"/>
        <v>5.6320400500624356E-3</v>
      </c>
      <c r="BF18" s="14">
        <f t="shared" si="9"/>
        <v>6.4599483204134363E-3</v>
      </c>
      <c r="BG18" s="14">
        <f t="shared" si="9"/>
        <v>4.2092603728201361E-3</v>
      </c>
      <c r="BH18" s="14">
        <f t="shared" si="9"/>
        <v>1.5925680159256841E-2</v>
      </c>
      <c r="BI18" s="14">
        <f t="shared" si="9"/>
        <v>2.5823111684958404E-3</v>
      </c>
      <c r="BJ18" s="14">
        <f t="shared" si="9"/>
        <v>9.2764378478664197E-3</v>
      </c>
      <c r="BK18" s="14">
        <f t="shared" si="9"/>
        <v>8.1863979848865419E-3</v>
      </c>
      <c r="BL18" s="14">
        <f t="shared" si="9"/>
        <v>8.883248730964504E-3</v>
      </c>
    </row>
    <row r="19" spans="2:64" x14ac:dyDescent="0.35">
      <c r="B19" s="5" t="s">
        <v>87</v>
      </c>
      <c r="C19" s="61">
        <v>59460.950438057756</v>
      </c>
      <c r="D19" s="61">
        <v>15021.215412387</v>
      </c>
      <c r="E19" s="65">
        <f t="shared" si="2"/>
        <v>0.54003610711929517</v>
      </c>
      <c r="F19" s="6">
        <f t="shared" si="5"/>
        <v>3.0865454602416378E-2</v>
      </c>
      <c r="H19" s="5" t="s">
        <v>87</v>
      </c>
      <c r="I19" s="15">
        <f t="shared" ref="I19:AI19" si="24">SUMIFS(July2021,Subcategory,I$2,SECTOR,$I$1)</f>
        <v>146.4</v>
      </c>
      <c r="J19" s="15">
        <f t="shared" si="24"/>
        <v>206.8</v>
      </c>
      <c r="K19" s="15">
        <f t="shared" si="24"/>
        <v>182.2</v>
      </c>
      <c r="L19" s="15">
        <f t="shared" si="24"/>
        <v>157.5</v>
      </c>
      <c r="M19" s="15">
        <f t="shared" si="24"/>
        <v>182.1</v>
      </c>
      <c r="N19" s="15">
        <f t="shared" si="24"/>
        <v>163.9</v>
      </c>
      <c r="O19" s="15">
        <f t="shared" si="24"/>
        <v>164.2</v>
      </c>
      <c r="P19" s="15">
        <f t="shared" si="24"/>
        <v>164</v>
      </c>
      <c r="Q19" s="15">
        <f t="shared" si="24"/>
        <v>114.5</v>
      </c>
      <c r="R19" s="15">
        <f t="shared" si="24"/>
        <v>168.3</v>
      </c>
      <c r="S19" s="15">
        <f t="shared" si="24"/>
        <v>160.9</v>
      </c>
      <c r="T19" s="15">
        <f t="shared" si="24"/>
        <v>172.2</v>
      </c>
      <c r="U19" s="15">
        <f t="shared" si="24"/>
        <v>164</v>
      </c>
      <c r="V19" s="15">
        <f t="shared" si="24"/>
        <v>191.2</v>
      </c>
      <c r="W19" s="15">
        <f t="shared" si="24"/>
        <v>162.80000000000001</v>
      </c>
      <c r="X19" s="15">
        <f t="shared" si="24"/>
        <v>153.1</v>
      </c>
      <c r="Y19" s="15">
        <f t="shared" si="24"/>
        <v>161.4</v>
      </c>
      <c r="Z19" s="15">
        <f t="shared" si="24"/>
        <v>161.5</v>
      </c>
      <c r="AA19" s="15">
        <f t="shared" si="24"/>
        <v>160.69999999999999</v>
      </c>
      <c r="AB19" s="15">
        <f t="shared" si="24"/>
        <v>155.80000000000001</v>
      </c>
      <c r="AC19" s="15">
        <f t="shared" si="24"/>
        <v>167</v>
      </c>
      <c r="AD19" s="15">
        <f t="shared" si="24"/>
        <v>153.1</v>
      </c>
      <c r="AE19" s="15">
        <f t="shared" si="24"/>
        <v>155.30000000000001</v>
      </c>
      <c r="AF19" s="15">
        <f t="shared" si="24"/>
        <v>163.19999999999999</v>
      </c>
      <c r="AG19" s="15">
        <f t="shared" si="24"/>
        <v>160.1</v>
      </c>
      <c r="AH19" s="15">
        <f t="shared" si="24"/>
        <v>159</v>
      </c>
      <c r="AI19" s="15">
        <f t="shared" si="24"/>
        <v>0</v>
      </c>
      <c r="AL19" s="5" t="s">
        <v>88</v>
      </c>
      <c r="AM19" s="14">
        <f t="shared" si="7"/>
        <v>1.3661202185791573E-3</v>
      </c>
      <c r="AN19" s="14">
        <f t="shared" si="8"/>
        <v>-1.3539651837524232E-2</v>
      </c>
      <c r="AO19" s="14">
        <f t="shared" si="4"/>
        <v>-5.1591657519209536E-2</v>
      </c>
      <c r="AP19" s="14">
        <f t="shared" si="4"/>
        <v>5.7142857142857507E-3</v>
      </c>
      <c r="AQ19" s="14">
        <f t="shared" si="4"/>
        <v>3.2399780340472299E-2</v>
      </c>
      <c r="AR19" s="14">
        <f t="shared" si="4"/>
        <v>-4.3319097010372141E-2</v>
      </c>
      <c r="AS19" s="14">
        <f t="shared" si="4"/>
        <v>-1.2180267965895251E-2</v>
      </c>
      <c r="AT19" s="14">
        <f t="shared" si="4"/>
        <v>6.0975609756094091E-4</v>
      </c>
      <c r="AU19" s="14">
        <f t="shared" si="4"/>
        <v>4.5414847161572076E-2</v>
      </c>
      <c r="AV19" s="14">
        <f t="shared" si="4"/>
        <v>2.9708853238265003E-3</v>
      </c>
      <c r="AW19" s="14">
        <f t="shared" si="4"/>
        <v>1.1187072715972548E-2</v>
      </c>
      <c r="AX19" s="14">
        <f t="shared" si="4"/>
        <v>9.872241579558752E-3</v>
      </c>
      <c r="AY19" s="14">
        <f t="shared" si="4"/>
        <v>0</v>
      </c>
      <c r="AZ19" s="14">
        <f t="shared" si="4"/>
        <v>4.7071129707113267E-3</v>
      </c>
      <c r="BA19" s="14">
        <f t="shared" si="4"/>
        <v>1.0442260442260373E-2</v>
      </c>
      <c r="BB19" s="14">
        <f t="shared" si="4"/>
        <v>1.4369693011103966E-2</v>
      </c>
      <c r="BC19" s="14">
        <f t="shared" si="4"/>
        <v>1.1152416356877217E-2</v>
      </c>
      <c r="BD19" s="14">
        <f t="shared" si="16"/>
        <v>3.7151702786377356E-3</v>
      </c>
      <c r="BE19" s="14">
        <f t="shared" si="9"/>
        <v>1.1823273179838244E-2</v>
      </c>
      <c r="BF19" s="14">
        <f t="shared" si="9"/>
        <v>1.0911424903722648E-2</v>
      </c>
      <c r="BG19" s="14">
        <f t="shared" si="9"/>
        <v>8.3832335329341659E-3</v>
      </c>
      <c r="BH19" s="14">
        <f t="shared" si="9"/>
        <v>5.8785107772697954E-3</v>
      </c>
      <c r="BI19" s="14">
        <f t="shared" si="9"/>
        <v>1.4810045074050114E-2</v>
      </c>
      <c r="BJ19" s="14">
        <f t="shared" si="9"/>
        <v>3.6764705882354337E-3</v>
      </c>
      <c r="BK19" s="14">
        <f t="shared" si="9"/>
        <v>-6.2460961898809693E-4</v>
      </c>
      <c r="BL19" s="14">
        <f t="shared" si="9"/>
        <v>6.2893081761006293E-3</v>
      </c>
    </row>
    <row r="20" spans="2:64" x14ac:dyDescent="0.35">
      <c r="B20" s="5" t="s">
        <v>88</v>
      </c>
      <c r="C20" s="61">
        <v>67310.659830633638</v>
      </c>
      <c r="D20" s="61">
        <v>17386.686679644998</v>
      </c>
      <c r="E20" s="65">
        <f t="shared" si="2"/>
        <v>0.52815700629848383</v>
      </c>
      <c r="F20" s="6">
        <f t="shared" si="5"/>
        <v>-2.1996864032254829E-2</v>
      </c>
      <c r="H20" s="5" t="s">
        <v>88</v>
      </c>
      <c r="I20" s="15">
        <f t="shared" ref="I20:AI20" si="25">SUMIFS(August2021,Subcategory,I$2,SECTOR,$I$1)</f>
        <v>146.6</v>
      </c>
      <c r="J20" s="15">
        <f t="shared" si="25"/>
        <v>204</v>
      </c>
      <c r="K20" s="15">
        <f t="shared" si="25"/>
        <v>172.8</v>
      </c>
      <c r="L20" s="15">
        <f t="shared" si="25"/>
        <v>158.4</v>
      </c>
      <c r="M20" s="15">
        <f t="shared" si="25"/>
        <v>188</v>
      </c>
      <c r="N20" s="15">
        <f t="shared" si="25"/>
        <v>156.80000000000001</v>
      </c>
      <c r="O20" s="15">
        <f t="shared" si="25"/>
        <v>162.19999999999999</v>
      </c>
      <c r="P20" s="15">
        <f t="shared" si="25"/>
        <v>164.1</v>
      </c>
      <c r="Q20" s="15">
        <f t="shared" si="25"/>
        <v>119.7</v>
      </c>
      <c r="R20" s="15">
        <f t="shared" si="25"/>
        <v>168.8</v>
      </c>
      <c r="S20" s="15">
        <f t="shared" si="25"/>
        <v>162.69999999999999</v>
      </c>
      <c r="T20" s="15">
        <f t="shared" si="25"/>
        <v>173.9</v>
      </c>
      <c r="U20" s="15">
        <f t="shared" si="25"/>
        <v>164</v>
      </c>
      <c r="V20" s="15">
        <f t="shared" si="25"/>
        <v>192.1</v>
      </c>
      <c r="W20" s="15">
        <f t="shared" si="25"/>
        <v>164.5</v>
      </c>
      <c r="X20" s="15">
        <f t="shared" si="25"/>
        <v>155.30000000000001</v>
      </c>
      <c r="Y20" s="15">
        <f t="shared" si="25"/>
        <v>163.19999999999999</v>
      </c>
      <c r="Z20" s="15">
        <f t="shared" si="25"/>
        <v>162.1</v>
      </c>
      <c r="AA20" s="15">
        <f t="shared" si="25"/>
        <v>162.6</v>
      </c>
      <c r="AB20" s="15">
        <f t="shared" si="25"/>
        <v>157.5</v>
      </c>
      <c r="AC20" s="15">
        <f t="shared" si="25"/>
        <v>168.4</v>
      </c>
      <c r="AD20" s="15">
        <f t="shared" si="25"/>
        <v>154</v>
      </c>
      <c r="AE20" s="15">
        <f t="shared" si="25"/>
        <v>157.6</v>
      </c>
      <c r="AF20" s="15">
        <f t="shared" si="25"/>
        <v>163.80000000000001</v>
      </c>
      <c r="AG20" s="15">
        <f t="shared" si="25"/>
        <v>160</v>
      </c>
      <c r="AH20" s="15">
        <f t="shared" si="25"/>
        <v>160</v>
      </c>
      <c r="AI20" s="15">
        <f t="shared" si="25"/>
        <v>0</v>
      </c>
      <c r="AL20" s="5" t="s">
        <v>89</v>
      </c>
      <c r="AM20" s="14">
        <f t="shared" si="7"/>
        <v>0</v>
      </c>
      <c r="AN20" s="14">
        <f t="shared" si="8"/>
        <v>0</v>
      </c>
      <c r="AO20" s="14">
        <f t="shared" si="8"/>
        <v>0</v>
      </c>
      <c r="AP20" s="14">
        <f t="shared" si="8"/>
        <v>0</v>
      </c>
      <c r="AQ20" s="14">
        <f t="shared" si="8"/>
        <v>0</v>
      </c>
      <c r="AR20" s="14">
        <f t="shared" si="8"/>
        <v>-6.3775510204096134E-4</v>
      </c>
      <c r="AS20" s="14">
        <f t="shared" si="8"/>
        <v>6.1652281134415992E-4</v>
      </c>
      <c r="AT20" s="14">
        <f t="shared" si="8"/>
        <v>0</v>
      </c>
      <c r="AU20" s="14">
        <f t="shared" si="8"/>
        <v>0</v>
      </c>
      <c r="AV20" s="14">
        <f t="shared" si="8"/>
        <v>0</v>
      </c>
      <c r="AW20" s="14">
        <f t="shared" si="8"/>
        <v>0</v>
      </c>
      <c r="AX20" s="14">
        <f t="shared" si="8"/>
        <v>0</v>
      </c>
      <c r="AY20" s="14">
        <f t="shared" si="8"/>
        <v>0</v>
      </c>
      <c r="AZ20" s="14">
        <f t="shared" si="8"/>
        <v>0</v>
      </c>
      <c r="BA20" s="14">
        <f t="shared" ref="BA20:BC38" si="26">(W21-W20)/W20</f>
        <v>6.0790273556227549E-4</v>
      </c>
      <c r="BB20" s="14">
        <f t="shared" si="26"/>
        <v>0</v>
      </c>
      <c r="BC20" s="14">
        <f t="shared" si="26"/>
        <v>6.12745098039355E-4</v>
      </c>
      <c r="BD20" s="14">
        <f t="shared" si="16"/>
        <v>0</v>
      </c>
      <c r="BE20" s="14">
        <f t="shared" si="9"/>
        <v>0</v>
      </c>
      <c r="BF20" s="14">
        <f t="shared" si="9"/>
        <v>0</v>
      </c>
      <c r="BG20" s="14">
        <f t="shared" si="9"/>
        <v>0</v>
      </c>
      <c r="BH20" s="14">
        <f t="shared" si="9"/>
        <v>0</v>
      </c>
      <c r="BI20" s="14">
        <f t="shared" si="9"/>
        <v>6.3451776649742588E-4</v>
      </c>
      <c r="BJ20" s="14">
        <f t="shared" si="9"/>
        <v>-6.1050061050074928E-4</v>
      </c>
      <c r="BK20" s="14">
        <f t="shared" si="9"/>
        <v>0</v>
      </c>
      <c r="BL20" s="14">
        <f t="shared" si="9"/>
        <v>0</v>
      </c>
    </row>
    <row r="21" spans="2:64" x14ac:dyDescent="0.35">
      <c r="B21" s="5" t="s">
        <v>89</v>
      </c>
      <c r="C21" s="61">
        <v>69109.876194440018</v>
      </c>
      <c r="D21" s="61">
        <v>17607.534813625</v>
      </c>
      <c r="E21" s="65">
        <f t="shared" si="2"/>
        <v>0.53547300881887061</v>
      </c>
      <c r="F21" s="6">
        <f t="shared" si="5"/>
        <v>1.3851946359019226E-2</v>
      </c>
      <c r="H21" s="5" t="s">
        <v>89</v>
      </c>
      <c r="I21" s="15">
        <f t="shared" ref="I21:AI21" si="27">SUMIFS(Sept2021,Subcategory,I$2,SECTOR,$I$1)</f>
        <v>146.6</v>
      </c>
      <c r="J21" s="15">
        <f t="shared" si="27"/>
        <v>204</v>
      </c>
      <c r="K21" s="15">
        <f t="shared" si="27"/>
        <v>172.8</v>
      </c>
      <c r="L21" s="15">
        <f t="shared" si="27"/>
        <v>158.4</v>
      </c>
      <c r="M21" s="15">
        <f t="shared" si="27"/>
        <v>188</v>
      </c>
      <c r="N21" s="15">
        <f t="shared" si="27"/>
        <v>156.69999999999999</v>
      </c>
      <c r="O21" s="15">
        <f t="shared" si="27"/>
        <v>162.30000000000001</v>
      </c>
      <c r="P21" s="15">
        <f t="shared" si="27"/>
        <v>164.1</v>
      </c>
      <c r="Q21" s="15">
        <f t="shared" si="27"/>
        <v>119.7</v>
      </c>
      <c r="R21" s="15">
        <f t="shared" si="27"/>
        <v>168.8</v>
      </c>
      <c r="S21" s="15">
        <f t="shared" si="27"/>
        <v>162.69999999999999</v>
      </c>
      <c r="T21" s="15">
        <f t="shared" si="27"/>
        <v>173.9</v>
      </c>
      <c r="U21" s="15">
        <f t="shared" si="27"/>
        <v>164</v>
      </c>
      <c r="V21" s="15">
        <f t="shared" si="27"/>
        <v>192.1</v>
      </c>
      <c r="W21" s="15">
        <f t="shared" si="27"/>
        <v>164.6</v>
      </c>
      <c r="X21" s="15">
        <f t="shared" si="27"/>
        <v>155.30000000000001</v>
      </c>
      <c r="Y21" s="15">
        <f t="shared" si="27"/>
        <v>163.30000000000001</v>
      </c>
      <c r="Z21" s="15">
        <f t="shared" si="27"/>
        <v>162.1</v>
      </c>
      <c r="AA21" s="15">
        <f t="shared" si="27"/>
        <v>162.6</v>
      </c>
      <c r="AB21" s="15">
        <f t="shared" si="27"/>
        <v>157.5</v>
      </c>
      <c r="AC21" s="15">
        <f t="shared" si="27"/>
        <v>168.4</v>
      </c>
      <c r="AD21" s="15">
        <f t="shared" si="27"/>
        <v>154</v>
      </c>
      <c r="AE21" s="15">
        <f t="shared" si="27"/>
        <v>157.69999999999999</v>
      </c>
      <c r="AF21" s="15">
        <f t="shared" si="27"/>
        <v>163.69999999999999</v>
      </c>
      <c r="AG21" s="15">
        <f t="shared" si="27"/>
        <v>160</v>
      </c>
      <c r="AH21" s="15">
        <f t="shared" si="27"/>
        <v>160</v>
      </c>
      <c r="AI21" s="15">
        <f t="shared" si="27"/>
        <v>0</v>
      </c>
      <c r="AL21" s="5" t="s">
        <v>90</v>
      </c>
      <c r="AM21" s="14">
        <f t="shared" si="7"/>
        <v>5.4570259208732022E-3</v>
      </c>
      <c r="AN21" s="14">
        <f t="shared" si="8"/>
        <v>2.9411764705882075E-3</v>
      </c>
      <c r="AO21" s="14">
        <f t="shared" si="8"/>
        <v>-9.2592592592593906E-3</v>
      </c>
      <c r="AP21" s="14">
        <f t="shared" si="8"/>
        <v>1.8939393939392862E-3</v>
      </c>
      <c r="AQ21" s="14">
        <f t="shared" si="8"/>
        <v>1.3829787234042523E-2</v>
      </c>
      <c r="AR21" s="14">
        <f t="shared" si="8"/>
        <v>-6.3816209317166563E-3</v>
      </c>
      <c r="AS21" s="14">
        <f t="shared" si="8"/>
        <v>0.14171287738755389</v>
      </c>
      <c r="AT21" s="14">
        <f t="shared" si="8"/>
        <v>6.7032297379646215E-3</v>
      </c>
      <c r="AU21" s="14">
        <f t="shared" si="8"/>
        <v>1.8379281537176297E-2</v>
      </c>
      <c r="AV21" s="14">
        <f t="shared" si="8"/>
        <v>2.9620853080568718E-3</v>
      </c>
      <c r="AW21" s="14">
        <f t="shared" si="8"/>
        <v>3.0731407498463433E-3</v>
      </c>
      <c r="AX21" s="14">
        <f t="shared" si="8"/>
        <v>4.6003450258768428E-3</v>
      </c>
      <c r="AY21" s="14">
        <f t="shared" si="8"/>
        <v>2.2560975609756027E-2</v>
      </c>
      <c r="AZ21" s="14">
        <f t="shared" si="8"/>
        <v>3.1233732431025212E-3</v>
      </c>
      <c r="BA21" s="14">
        <f t="shared" si="26"/>
        <v>6.6828675577156405E-3</v>
      </c>
      <c r="BB21" s="14">
        <f t="shared" si="26"/>
        <v>6.4391500321957498E-3</v>
      </c>
      <c r="BC21" s="14">
        <f t="shared" si="26"/>
        <v>6.1236987140232697E-3</v>
      </c>
      <c r="BD21" s="14">
        <f t="shared" si="16"/>
        <v>9.2535471930906849E-3</v>
      </c>
      <c r="BE21" s="14">
        <f t="shared" si="9"/>
        <v>9.8400984009839754E-3</v>
      </c>
      <c r="BF21" s="14">
        <f t="shared" si="9"/>
        <v>5.7142857142857507E-3</v>
      </c>
      <c r="BG21" s="14">
        <f t="shared" si="9"/>
        <v>4.1567695961994573E-3</v>
      </c>
      <c r="BH21" s="14">
        <f t="shared" si="9"/>
        <v>1.1038961038960965E-2</v>
      </c>
      <c r="BI21" s="14">
        <f t="shared" si="9"/>
        <v>5.7070386810399859E-3</v>
      </c>
      <c r="BJ21" s="14">
        <f t="shared" si="9"/>
        <v>1.2217470983507458E-3</v>
      </c>
      <c r="BK21" s="14">
        <f t="shared" si="9"/>
        <v>5.0000000000000712E-3</v>
      </c>
      <c r="BL21" s="14">
        <f t="shared" si="9"/>
        <v>6.2500000000000003E-3</v>
      </c>
    </row>
    <row r="22" spans="2:64" x14ac:dyDescent="0.35">
      <c r="B22" s="5" t="s">
        <v>90</v>
      </c>
      <c r="C22" s="61">
        <v>72054.19693085934</v>
      </c>
      <c r="D22" s="61">
        <v>17084.174631723999</v>
      </c>
      <c r="E22" s="65">
        <f t="shared" si="2"/>
        <v>0.57538866939063438</v>
      </c>
      <c r="F22" s="6">
        <f t="shared" si="5"/>
        <v>7.4542805919963109E-2</v>
      </c>
      <c r="H22" s="5" t="s">
        <v>90</v>
      </c>
      <c r="I22" s="15">
        <f t="shared" ref="I22:AI22" si="28">SUMIFS(October2021,Subcategory,I$2,SECTOR,$I$1)</f>
        <v>147.4</v>
      </c>
      <c r="J22" s="15">
        <f t="shared" si="28"/>
        <v>204.6</v>
      </c>
      <c r="K22" s="15">
        <f t="shared" si="28"/>
        <v>171.2</v>
      </c>
      <c r="L22" s="15">
        <f t="shared" si="28"/>
        <v>158.69999999999999</v>
      </c>
      <c r="M22" s="15">
        <f t="shared" si="28"/>
        <v>190.6</v>
      </c>
      <c r="N22" s="15">
        <f t="shared" si="28"/>
        <v>155.69999999999999</v>
      </c>
      <c r="O22" s="15">
        <f t="shared" si="28"/>
        <v>185.3</v>
      </c>
      <c r="P22" s="15">
        <f t="shared" si="28"/>
        <v>165.2</v>
      </c>
      <c r="Q22" s="15">
        <f t="shared" si="28"/>
        <v>121.9</v>
      </c>
      <c r="R22" s="15">
        <f t="shared" si="28"/>
        <v>169.3</v>
      </c>
      <c r="S22" s="15">
        <f t="shared" si="28"/>
        <v>163.19999999999999</v>
      </c>
      <c r="T22" s="15">
        <f t="shared" si="28"/>
        <v>174.7</v>
      </c>
      <c r="U22" s="15">
        <f t="shared" si="28"/>
        <v>167.7</v>
      </c>
      <c r="V22" s="15">
        <f t="shared" si="28"/>
        <v>192.7</v>
      </c>
      <c r="W22" s="15">
        <f t="shared" si="28"/>
        <v>165.7</v>
      </c>
      <c r="X22" s="15">
        <f t="shared" si="28"/>
        <v>156.30000000000001</v>
      </c>
      <c r="Y22" s="15">
        <f t="shared" si="28"/>
        <v>164.3</v>
      </c>
      <c r="Z22" s="15">
        <f t="shared" si="28"/>
        <v>163.6</v>
      </c>
      <c r="AA22" s="15">
        <f t="shared" si="28"/>
        <v>164.2</v>
      </c>
      <c r="AB22" s="15">
        <f t="shared" si="28"/>
        <v>158.4</v>
      </c>
      <c r="AC22" s="15">
        <f t="shared" si="28"/>
        <v>169.1</v>
      </c>
      <c r="AD22" s="15">
        <f t="shared" si="28"/>
        <v>155.69999999999999</v>
      </c>
      <c r="AE22" s="15">
        <f t="shared" si="28"/>
        <v>158.6</v>
      </c>
      <c r="AF22" s="15">
        <f t="shared" si="28"/>
        <v>163.9</v>
      </c>
      <c r="AG22" s="15">
        <f t="shared" si="28"/>
        <v>160.80000000000001</v>
      </c>
      <c r="AH22" s="15">
        <f t="shared" si="28"/>
        <v>161</v>
      </c>
      <c r="AI22" s="15">
        <f t="shared" si="28"/>
        <v>0</v>
      </c>
      <c r="AL22" s="5" t="s">
        <v>91</v>
      </c>
      <c r="AM22" s="14">
        <f t="shared" si="7"/>
        <v>5.4274084124829236E-3</v>
      </c>
      <c r="AN22" s="14">
        <f t="shared" si="8"/>
        <v>-1.466275659824047E-2</v>
      </c>
      <c r="AO22" s="14">
        <f t="shared" si="8"/>
        <v>1.0514018691588852E-2</v>
      </c>
      <c r="AP22" s="14">
        <f t="shared" si="8"/>
        <v>3.7807183364840756E-3</v>
      </c>
      <c r="AQ22" s="14">
        <f t="shared" si="8"/>
        <v>-2.6232948583420779E-3</v>
      </c>
      <c r="AR22" s="14">
        <f t="shared" si="8"/>
        <v>5.1380860629416276E-3</v>
      </c>
      <c r="AS22" s="14">
        <f t="shared" si="8"/>
        <v>7.5013491635186058E-2</v>
      </c>
      <c r="AT22" s="14">
        <f t="shared" si="8"/>
        <v>6.0532687651345491E-4</v>
      </c>
      <c r="AU22" s="14">
        <f t="shared" si="8"/>
        <v>4.1017227235438884E-3</v>
      </c>
      <c r="AV22" s="14">
        <f t="shared" si="8"/>
        <v>1.772002362669716E-3</v>
      </c>
      <c r="AW22" s="14">
        <f t="shared" si="8"/>
        <v>3.0637254901960788E-3</v>
      </c>
      <c r="AX22" s="14">
        <f t="shared" si="8"/>
        <v>4.5792787635947994E-3</v>
      </c>
      <c r="AY22" s="14">
        <f t="shared" si="8"/>
        <v>1.1926058437686345E-2</v>
      </c>
      <c r="AZ22" s="14">
        <f t="shared" si="8"/>
        <v>1.0378827192528131E-3</v>
      </c>
      <c r="BA22" s="14">
        <f t="shared" si="26"/>
        <v>9.0525045262522634E-3</v>
      </c>
      <c r="BB22" s="14">
        <f t="shared" si="26"/>
        <v>7.03774792066535E-3</v>
      </c>
      <c r="BC22" s="14">
        <f t="shared" si="26"/>
        <v>9.1296409007912346E-3</v>
      </c>
      <c r="BD22" s="14">
        <f t="shared" si="16"/>
        <v>3.6674816625916523E-3</v>
      </c>
      <c r="BE22" s="14">
        <f t="shared" si="9"/>
        <v>-1.8270401948841837E-3</v>
      </c>
      <c r="BF22" s="14">
        <f t="shared" si="9"/>
        <v>5.6818181818182175E-3</v>
      </c>
      <c r="BG22" s="14">
        <f t="shared" si="9"/>
        <v>4.730928444707341E-3</v>
      </c>
      <c r="BH22" s="14">
        <f t="shared" si="9"/>
        <v>-5.7803468208091026E-3</v>
      </c>
      <c r="BI22" s="14">
        <f t="shared" si="9"/>
        <v>7.5662042875158705E-3</v>
      </c>
      <c r="BJ22" s="14">
        <f t="shared" si="9"/>
        <v>2.4405125076266362E-3</v>
      </c>
      <c r="BK22" s="14">
        <f t="shared" si="9"/>
        <v>8.7064676616914003E-3</v>
      </c>
      <c r="BL22" s="14">
        <f t="shared" ref="BL22:BL38" si="29">(AH23-AH22)/AH22</f>
        <v>2.4844720496894762E-3</v>
      </c>
    </row>
    <row r="23" spans="2:64" x14ac:dyDescent="0.35">
      <c r="B23" s="5" t="s">
        <v>91</v>
      </c>
      <c r="C23" s="61">
        <v>79009.388695268004</v>
      </c>
      <c r="D23" s="61">
        <v>18340.381595481929</v>
      </c>
      <c r="E23" s="65">
        <f t="shared" si="2"/>
        <v>0.58771443748017616</v>
      </c>
      <c r="F23" s="6">
        <f t="shared" si="5"/>
        <v>2.1421638529301224E-2</v>
      </c>
      <c r="H23" s="5" t="s">
        <v>91</v>
      </c>
      <c r="I23" s="15">
        <f t="shared" ref="I23:AI23" si="30">SUMIFS(November2021,Subcategory,I$2,SECTOR,$I$1)</f>
        <v>148.19999999999999</v>
      </c>
      <c r="J23" s="15">
        <f t="shared" si="30"/>
        <v>201.6</v>
      </c>
      <c r="K23" s="15">
        <f t="shared" si="30"/>
        <v>173</v>
      </c>
      <c r="L23" s="15">
        <f t="shared" si="30"/>
        <v>159.30000000000001</v>
      </c>
      <c r="M23" s="15">
        <f t="shared" si="30"/>
        <v>190.1</v>
      </c>
      <c r="N23" s="15">
        <f t="shared" si="30"/>
        <v>156.5</v>
      </c>
      <c r="O23" s="15">
        <f t="shared" si="30"/>
        <v>199.2</v>
      </c>
      <c r="P23" s="15">
        <f t="shared" si="30"/>
        <v>165.3</v>
      </c>
      <c r="Q23" s="15">
        <f t="shared" si="30"/>
        <v>122.4</v>
      </c>
      <c r="R23" s="15">
        <f t="shared" si="30"/>
        <v>169.6</v>
      </c>
      <c r="S23" s="15">
        <f t="shared" si="30"/>
        <v>163.69999999999999</v>
      </c>
      <c r="T23" s="15">
        <f t="shared" si="30"/>
        <v>175.5</v>
      </c>
      <c r="U23" s="15">
        <f t="shared" si="30"/>
        <v>169.7</v>
      </c>
      <c r="V23" s="15">
        <f t="shared" si="30"/>
        <v>192.9</v>
      </c>
      <c r="W23" s="15">
        <f t="shared" si="30"/>
        <v>167.2</v>
      </c>
      <c r="X23" s="15">
        <f t="shared" si="30"/>
        <v>157.4</v>
      </c>
      <c r="Y23" s="15">
        <f t="shared" si="30"/>
        <v>165.8</v>
      </c>
      <c r="Z23" s="15">
        <f t="shared" si="30"/>
        <v>164.2</v>
      </c>
      <c r="AA23" s="15">
        <f t="shared" si="30"/>
        <v>163.9</v>
      </c>
      <c r="AB23" s="15">
        <f t="shared" si="30"/>
        <v>159.30000000000001</v>
      </c>
      <c r="AC23" s="15">
        <f t="shared" si="30"/>
        <v>169.9</v>
      </c>
      <c r="AD23" s="15">
        <f t="shared" si="30"/>
        <v>154.80000000000001</v>
      </c>
      <c r="AE23" s="15">
        <f t="shared" si="30"/>
        <v>159.80000000000001</v>
      </c>
      <c r="AF23" s="15">
        <f t="shared" si="30"/>
        <v>164.3</v>
      </c>
      <c r="AG23" s="15">
        <f t="shared" si="30"/>
        <v>162.19999999999999</v>
      </c>
      <c r="AH23" s="15">
        <f t="shared" si="30"/>
        <v>161.4</v>
      </c>
      <c r="AI23" s="15">
        <f t="shared" si="30"/>
        <v>0</v>
      </c>
      <c r="AL23" s="5" t="s">
        <v>92</v>
      </c>
      <c r="AM23" s="14">
        <f t="shared" si="7"/>
        <v>3.3738191632928477E-3</v>
      </c>
      <c r="AN23" s="14">
        <f t="shared" si="8"/>
        <v>-1.3888888888888805E-2</v>
      </c>
      <c r="AO23" s="14">
        <f t="shared" si="8"/>
        <v>2.8323699421965352E-2</v>
      </c>
      <c r="AP23" s="14">
        <f t="shared" si="8"/>
        <v>3.766478342749493E-3</v>
      </c>
      <c r="AQ23" s="14">
        <f t="shared" si="8"/>
        <v>-1.3150973172014729E-2</v>
      </c>
      <c r="AR23" s="14">
        <f t="shared" si="8"/>
        <v>-1.0223642172523926E-2</v>
      </c>
      <c r="AS23" s="14">
        <f t="shared" si="8"/>
        <v>-5.4718875502007921E-2</v>
      </c>
      <c r="AT23" s="14">
        <f t="shared" si="8"/>
        <v>-5.4446460980036634E-3</v>
      </c>
      <c r="AU23" s="14">
        <f t="shared" si="8"/>
        <v>-1.1437908496732072E-2</v>
      </c>
      <c r="AV23" s="14">
        <f t="shared" si="8"/>
        <v>5.3066037735849392E-3</v>
      </c>
      <c r="AW23" s="14">
        <f t="shared" si="8"/>
        <v>3.0543677458766036E-3</v>
      </c>
      <c r="AX23" s="14">
        <f t="shared" si="8"/>
        <v>5.6980056980056983E-3</v>
      </c>
      <c r="AY23" s="14">
        <f t="shared" si="8"/>
        <v>-8.8391278727165592E-3</v>
      </c>
      <c r="AZ23" s="14">
        <f t="shared" si="8"/>
        <v>-2.592016588906169E-3</v>
      </c>
      <c r="BA23" s="14">
        <f t="shared" si="26"/>
        <v>7.7751196172249487E-3</v>
      </c>
      <c r="BB23" s="14">
        <f t="shared" si="26"/>
        <v>8.2592121982209849E-3</v>
      </c>
      <c r="BC23" s="14">
        <f t="shared" si="26"/>
        <v>7.2376357056694119E-3</v>
      </c>
      <c r="BD23" s="14">
        <f t="shared" si="16"/>
        <v>-4.8721071863579964E-3</v>
      </c>
      <c r="BE23" s="14">
        <f t="shared" si="9"/>
        <v>1.2202562538132314E-3</v>
      </c>
      <c r="BF23" s="14">
        <f t="shared" si="9"/>
        <v>5.6497175141241507E-3</v>
      </c>
      <c r="BG23" s="14">
        <f t="shared" si="9"/>
        <v>4.1200706297821578E-3</v>
      </c>
      <c r="BH23" s="14">
        <f t="shared" si="9"/>
        <v>5.8139534883719455E-3</v>
      </c>
      <c r="BI23" s="14">
        <f t="shared" si="9"/>
        <v>5.0062578222777399E-3</v>
      </c>
      <c r="BJ23" s="14">
        <f t="shared" si="9"/>
        <v>6.0864272671938102E-4</v>
      </c>
      <c r="BK23" s="14">
        <f t="shared" si="9"/>
        <v>2.4660912453761141E-3</v>
      </c>
      <c r="BL23" s="14">
        <f t="shared" si="29"/>
        <v>3.7174721189590725E-3</v>
      </c>
    </row>
    <row r="24" spans="2:64" x14ac:dyDescent="0.35">
      <c r="B24" s="5" t="s">
        <v>92</v>
      </c>
      <c r="C24" s="61">
        <v>81771.141778992853</v>
      </c>
      <c r="D24" s="61">
        <v>19648.115803371995</v>
      </c>
      <c r="E24" s="65">
        <f t="shared" si="2"/>
        <v>0.56777357779870952</v>
      </c>
      <c r="F24" s="6">
        <f t="shared" si="5"/>
        <v>-3.3929504551501261E-2</v>
      </c>
      <c r="H24" s="5" t="s">
        <v>92</v>
      </c>
      <c r="I24" s="15">
        <f t="shared" ref="I24:AI24" si="31">SUMIFS(December2021,Subcategory,I$2,SECTOR,$I$1)</f>
        <v>148.69999999999999</v>
      </c>
      <c r="J24" s="15">
        <f t="shared" si="31"/>
        <v>198.8</v>
      </c>
      <c r="K24" s="15">
        <f t="shared" si="31"/>
        <v>177.9</v>
      </c>
      <c r="L24" s="15">
        <f t="shared" si="31"/>
        <v>159.9</v>
      </c>
      <c r="M24" s="15">
        <f t="shared" si="31"/>
        <v>187.6</v>
      </c>
      <c r="N24" s="15">
        <f t="shared" si="31"/>
        <v>154.9</v>
      </c>
      <c r="O24" s="15">
        <f t="shared" si="31"/>
        <v>188.3</v>
      </c>
      <c r="P24" s="15">
        <f t="shared" si="31"/>
        <v>164.4</v>
      </c>
      <c r="Q24" s="15">
        <f t="shared" si="31"/>
        <v>121</v>
      </c>
      <c r="R24" s="15">
        <f t="shared" si="31"/>
        <v>170.5</v>
      </c>
      <c r="S24" s="15">
        <f t="shared" si="31"/>
        <v>164.2</v>
      </c>
      <c r="T24" s="15">
        <f t="shared" si="31"/>
        <v>176.5</v>
      </c>
      <c r="U24" s="15">
        <f t="shared" si="31"/>
        <v>168.2</v>
      </c>
      <c r="V24" s="15">
        <f t="shared" si="31"/>
        <v>192.4</v>
      </c>
      <c r="W24" s="15">
        <f t="shared" si="31"/>
        <v>168.5</v>
      </c>
      <c r="X24" s="15">
        <f t="shared" si="31"/>
        <v>158.69999999999999</v>
      </c>
      <c r="Y24" s="15">
        <f t="shared" si="31"/>
        <v>167</v>
      </c>
      <c r="Z24" s="15">
        <f t="shared" si="31"/>
        <v>163.4</v>
      </c>
      <c r="AA24" s="15">
        <f t="shared" si="31"/>
        <v>164.1</v>
      </c>
      <c r="AB24" s="15">
        <f t="shared" si="31"/>
        <v>160.19999999999999</v>
      </c>
      <c r="AC24" s="15">
        <f t="shared" si="31"/>
        <v>170.6</v>
      </c>
      <c r="AD24" s="15">
        <f t="shared" si="31"/>
        <v>155.69999999999999</v>
      </c>
      <c r="AE24" s="15">
        <f t="shared" si="31"/>
        <v>160.6</v>
      </c>
      <c r="AF24" s="15">
        <f t="shared" si="31"/>
        <v>164.4</v>
      </c>
      <c r="AG24" s="15">
        <f t="shared" si="31"/>
        <v>162.6</v>
      </c>
      <c r="AH24" s="15">
        <f t="shared" si="31"/>
        <v>162</v>
      </c>
      <c r="AI24" s="15">
        <f t="shared" si="31"/>
        <v>0</v>
      </c>
      <c r="AL24" s="5" t="s">
        <v>93</v>
      </c>
      <c r="AM24" s="14">
        <f t="shared" si="7"/>
        <v>5.3799596503026998E-3</v>
      </c>
      <c r="AN24" s="14">
        <f t="shared" si="8"/>
        <v>-5.0301810865202579E-4</v>
      </c>
      <c r="AO24" s="14">
        <f t="shared" si="8"/>
        <v>5.0590219224283623E-3</v>
      </c>
      <c r="AP24" s="14">
        <f t="shared" si="8"/>
        <v>3.7523452157598143E-3</v>
      </c>
      <c r="AQ24" s="14">
        <f t="shared" si="8"/>
        <v>-1.5458422174840116E-2</v>
      </c>
      <c r="AR24" s="14">
        <f t="shared" si="8"/>
        <v>-7.7469335054875209E-3</v>
      </c>
      <c r="AS24" s="14">
        <f t="shared" si="8"/>
        <v>-7.4349442379182146E-2</v>
      </c>
      <c r="AT24" s="14">
        <f t="shared" si="8"/>
        <v>-3.0413625304136251E-3</v>
      </c>
      <c r="AU24" s="14">
        <f t="shared" si="8"/>
        <v>-8.2644628099173556E-3</v>
      </c>
      <c r="AV24" s="14">
        <f t="shared" si="8"/>
        <v>9.3841642228738673E-3</v>
      </c>
      <c r="AW24" s="14">
        <f t="shared" si="8"/>
        <v>6.0901339829490101E-4</v>
      </c>
      <c r="AX24" s="14">
        <f t="shared" si="8"/>
        <v>4.5325779036827843E-3</v>
      </c>
      <c r="AY24" s="14">
        <f t="shared" si="8"/>
        <v>-1.070154577883462E-2</v>
      </c>
      <c r="AZ24" s="14">
        <f t="shared" si="8"/>
        <v>-1.039501039501128E-3</v>
      </c>
      <c r="BA24" s="14">
        <f t="shared" si="26"/>
        <v>8.3086053412463248E-3</v>
      </c>
      <c r="BB24" s="14">
        <f t="shared" si="26"/>
        <v>1.2602394454946441E-2</v>
      </c>
      <c r="BC24" s="14">
        <f t="shared" si="26"/>
        <v>8.9820359281437123E-3</v>
      </c>
      <c r="BD24" s="14">
        <f t="shared" si="16"/>
        <v>6.7319461444308093E-3</v>
      </c>
      <c r="BE24" s="14">
        <f t="shared" si="9"/>
        <v>6.0938452163311586E-4</v>
      </c>
      <c r="BF24" s="14">
        <f t="shared" si="9"/>
        <v>5.6179775280899239E-3</v>
      </c>
      <c r="BG24" s="14">
        <f t="shared" si="9"/>
        <v>4.6893317702228097E-3</v>
      </c>
      <c r="BH24" s="14">
        <f t="shared" si="9"/>
        <v>5.1380860629416276E-3</v>
      </c>
      <c r="BI24" s="14">
        <f t="shared" si="9"/>
        <v>3.735990037359865E-3</v>
      </c>
      <c r="BJ24" s="14">
        <f t="shared" si="9"/>
        <v>1.8248175182480715E-3</v>
      </c>
      <c r="BK24" s="14">
        <f t="shared" si="9"/>
        <v>2.4600246002460377E-3</v>
      </c>
      <c r="BL24" s="14">
        <f t="shared" si="29"/>
        <v>4.3209876543209179E-3</v>
      </c>
    </row>
    <row r="25" spans="2:64" x14ac:dyDescent="0.35">
      <c r="B25" s="5" t="s">
        <v>93</v>
      </c>
      <c r="C25" s="61">
        <v>86692.515382787504</v>
      </c>
      <c r="D25" s="61">
        <v>19253.803364503616</v>
      </c>
      <c r="E25" s="65">
        <f t="shared" si="2"/>
        <v>0.614272534409671</v>
      </c>
      <c r="F25" s="6">
        <f t="shared" si="5"/>
        <v>8.1897006886513787E-2</v>
      </c>
      <c r="H25" s="5" t="s">
        <v>93</v>
      </c>
      <c r="I25" s="15">
        <f t="shared" ref="I25:AI25" si="32">SUMIFS(January2022,Subcategory,I$2,SECTOR,$I$1)</f>
        <v>149.5</v>
      </c>
      <c r="J25" s="15">
        <f t="shared" si="32"/>
        <v>198.7</v>
      </c>
      <c r="K25" s="15">
        <f t="shared" si="32"/>
        <v>178.8</v>
      </c>
      <c r="L25" s="15">
        <f t="shared" si="32"/>
        <v>160.5</v>
      </c>
      <c r="M25" s="15">
        <f t="shared" si="32"/>
        <v>184.7</v>
      </c>
      <c r="N25" s="15">
        <f t="shared" si="32"/>
        <v>153.69999999999999</v>
      </c>
      <c r="O25" s="15">
        <f t="shared" si="32"/>
        <v>174.3</v>
      </c>
      <c r="P25" s="15">
        <f t="shared" si="32"/>
        <v>163.9</v>
      </c>
      <c r="Q25" s="15">
        <f t="shared" si="32"/>
        <v>120</v>
      </c>
      <c r="R25" s="15">
        <f t="shared" si="32"/>
        <v>172.1</v>
      </c>
      <c r="S25" s="15">
        <f t="shared" si="32"/>
        <v>164.3</v>
      </c>
      <c r="T25" s="15">
        <f t="shared" si="32"/>
        <v>177.3</v>
      </c>
      <c r="U25" s="15">
        <f t="shared" si="32"/>
        <v>166.4</v>
      </c>
      <c r="V25" s="15">
        <f t="shared" si="32"/>
        <v>192.2</v>
      </c>
      <c r="W25" s="15">
        <f t="shared" si="32"/>
        <v>169.9</v>
      </c>
      <c r="X25" s="15">
        <f t="shared" si="32"/>
        <v>160.69999999999999</v>
      </c>
      <c r="Y25" s="15">
        <f t="shared" si="32"/>
        <v>168.5</v>
      </c>
      <c r="Z25" s="15">
        <f t="shared" si="32"/>
        <v>164.5</v>
      </c>
      <c r="AA25" s="15">
        <f t="shared" si="32"/>
        <v>164.2</v>
      </c>
      <c r="AB25" s="15">
        <f t="shared" si="32"/>
        <v>161.1</v>
      </c>
      <c r="AC25" s="15">
        <f t="shared" si="32"/>
        <v>171.4</v>
      </c>
      <c r="AD25" s="15">
        <f t="shared" si="32"/>
        <v>156.5</v>
      </c>
      <c r="AE25" s="15">
        <f t="shared" si="32"/>
        <v>161.19999999999999</v>
      </c>
      <c r="AF25" s="15">
        <f t="shared" si="32"/>
        <v>164.7</v>
      </c>
      <c r="AG25" s="15">
        <f t="shared" si="32"/>
        <v>163</v>
      </c>
      <c r="AH25" s="15">
        <f t="shared" si="32"/>
        <v>162.69999999999999</v>
      </c>
      <c r="AI25" s="15">
        <f t="shared" si="32"/>
        <v>0</v>
      </c>
      <c r="AL25" s="5" t="s">
        <v>94</v>
      </c>
      <c r="AM25" s="14">
        <f t="shared" si="7"/>
        <v>3.3444816053511705E-3</v>
      </c>
      <c r="AN25" s="14">
        <f t="shared" si="8"/>
        <v>9.5621540010065714E-3</v>
      </c>
      <c r="AO25" s="14">
        <f t="shared" si="8"/>
        <v>-1.6778523489932886E-2</v>
      </c>
      <c r="AP25" s="14">
        <f t="shared" si="8"/>
        <v>1.2461059190030444E-3</v>
      </c>
      <c r="AQ25" s="14">
        <f t="shared" si="8"/>
        <v>1.0828370330266219E-3</v>
      </c>
      <c r="AR25" s="14">
        <f t="shared" si="8"/>
        <v>0</v>
      </c>
      <c r="AS25" s="14">
        <f t="shared" si="8"/>
        <v>-2.6391279403327726E-2</v>
      </c>
      <c r="AT25" s="14">
        <f t="shared" si="8"/>
        <v>-1.2202562538134048E-3</v>
      </c>
      <c r="AU25" s="14">
        <f t="shared" si="8"/>
        <v>-9.1666666666666199E-3</v>
      </c>
      <c r="AV25" s="14">
        <f t="shared" si="8"/>
        <v>1.2783265543288885E-2</v>
      </c>
      <c r="AW25" s="14">
        <f t="shared" si="8"/>
        <v>2.4345709068775241E-3</v>
      </c>
      <c r="AX25" s="14">
        <f t="shared" si="8"/>
        <v>3.948110547095254E-3</v>
      </c>
      <c r="AY25" s="14">
        <f t="shared" si="8"/>
        <v>-1.2019230769231793E-3</v>
      </c>
      <c r="AZ25" s="14">
        <f t="shared" si="8"/>
        <v>3.1217481789803476E-3</v>
      </c>
      <c r="BA25" s="14">
        <f t="shared" si="26"/>
        <v>5.297233666862894E-3</v>
      </c>
      <c r="BB25" s="14">
        <f t="shared" si="26"/>
        <v>1.0578718108276397E-2</v>
      </c>
      <c r="BC25" s="14">
        <f t="shared" si="26"/>
        <v>6.5281899109791951E-3</v>
      </c>
      <c r="BD25" s="14">
        <f t="shared" si="16"/>
        <v>6.0790273556231003E-3</v>
      </c>
      <c r="BE25" s="14">
        <f t="shared" si="9"/>
        <v>9.1352009744214372E-3</v>
      </c>
      <c r="BF25" s="14">
        <f t="shared" si="9"/>
        <v>4.3451272501552896E-3</v>
      </c>
      <c r="BG25" s="14">
        <f t="shared" si="9"/>
        <v>4.6674445740955833E-3</v>
      </c>
      <c r="BH25" s="14">
        <f t="shared" si="9"/>
        <v>2.5559105431310269E-3</v>
      </c>
      <c r="BI25" s="14">
        <f t="shared" si="9"/>
        <v>5.5831265508685217E-3</v>
      </c>
      <c r="BJ25" s="14">
        <f t="shared" si="9"/>
        <v>4.2501517911355015E-3</v>
      </c>
      <c r="BK25" s="14">
        <f t="shared" si="9"/>
        <v>8.5889570552147593E-3</v>
      </c>
      <c r="BL25" s="14">
        <f t="shared" si="29"/>
        <v>4.9170251997542186E-3</v>
      </c>
    </row>
    <row r="26" spans="2:64" x14ac:dyDescent="0.35">
      <c r="B26" s="5" t="s">
        <v>94</v>
      </c>
      <c r="C26" s="61">
        <v>87441.416368947481</v>
      </c>
      <c r="D26" s="61">
        <v>17588.537024211</v>
      </c>
      <c r="E26" s="65">
        <f t="shared" si="2"/>
        <v>0.67824014445654435</v>
      </c>
      <c r="F26" s="6">
        <f t="shared" si="5"/>
        <v>0.10413555297299364</v>
      </c>
      <c r="H26" s="5" t="s">
        <v>94</v>
      </c>
      <c r="I26" s="15">
        <f t="shared" ref="I26:AI26" si="33">SUMIFS(February2022,Subcategory,I$2,SECTOR,$I$1)</f>
        <v>150</v>
      </c>
      <c r="J26" s="15">
        <f t="shared" si="33"/>
        <v>200.6</v>
      </c>
      <c r="K26" s="15">
        <f t="shared" si="33"/>
        <v>175.8</v>
      </c>
      <c r="L26" s="15">
        <f t="shared" si="33"/>
        <v>160.69999999999999</v>
      </c>
      <c r="M26" s="15">
        <f t="shared" si="33"/>
        <v>184.9</v>
      </c>
      <c r="N26" s="15">
        <f t="shared" si="33"/>
        <v>153.69999999999999</v>
      </c>
      <c r="O26" s="15">
        <f t="shared" si="33"/>
        <v>169.7</v>
      </c>
      <c r="P26" s="15">
        <f t="shared" si="33"/>
        <v>163.69999999999999</v>
      </c>
      <c r="Q26" s="15">
        <f t="shared" si="33"/>
        <v>118.9</v>
      </c>
      <c r="R26" s="15">
        <f t="shared" si="33"/>
        <v>174.3</v>
      </c>
      <c r="S26" s="15">
        <f t="shared" si="33"/>
        <v>164.7</v>
      </c>
      <c r="T26" s="15">
        <f t="shared" si="33"/>
        <v>178</v>
      </c>
      <c r="U26" s="15">
        <f t="shared" si="33"/>
        <v>166.2</v>
      </c>
      <c r="V26" s="15">
        <f t="shared" si="33"/>
        <v>192.8</v>
      </c>
      <c r="W26" s="15">
        <f t="shared" si="33"/>
        <v>170.8</v>
      </c>
      <c r="X26" s="15">
        <f t="shared" si="33"/>
        <v>162.4</v>
      </c>
      <c r="Y26" s="15">
        <f t="shared" si="33"/>
        <v>169.6</v>
      </c>
      <c r="Z26" s="15">
        <f t="shared" si="33"/>
        <v>165.5</v>
      </c>
      <c r="AA26" s="15">
        <f t="shared" si="33"/>
        <v>165.7</v>
      </c>
      <c r="AB26" s="15">
        <f t="shared" si="33"/>
        <v>161.80000000000001</v>
      </c>
      <c r="AC26" s="15">
        <f t="shared" si="33"/>
        <v>172.2</v>
      </c>
      <c r="AD26" s="15">
        <f t="shared" si="33"/>
        <v>156.9</v>
      </c>
      <c r="AE26" s="15">
        <f t="shared" si="33"/>
        <v>162.1</v>
      </c>
      <c r="AF26" s="15">
        <f t="shared" si="33"/>
        <v>165.4</v>
      </c>
      <c r="AG26" s="15">
        <f t="shared" si="33"/>
        <v>164.4</v>
      </c>
      <c r="AH26" s="15">
        <f t="shared" si="33"/>
        <v>163.5</v>
      </c>
      <c r="AI26" s="15">
        <f t="shared" si="33"/>
        <v>0</v>
      </c>
      <c r="AL26" s="5" t="s">
        <v>95</v>
      </c>
      <c r="AM26" s="14">
        <f t="shared" si="7"/>
        <v>8.6666666666667426E-3</v>
      </c>
      <c r="AN26" s="14">
        <f t="shared" si="8"/>
        <v>5.0348953140578238E-2</v>
      </c>
      <c r="AO26" s="14">
        <f t="shared" si="8"/>
        <v>-4.5506257110352673E-2</v>
      </c>
      <c r="AP26" s="14">
        <f t="shared" si="8"/>
        <v>9.3341630367143758E-3</v>
      </c>
      <c r="AQ26" s="14">
        <f t="shared" si="8"/>
        <v>5.2460789616008592E-2</v>
      </c>
      <c r="AR26" s="14">
        <f t="shared" si="8"/>
        <v>2.5374105400130163E-2</v>
      </c>
      <c r="AS26" s="14">
        <f t="shared" si="8"/>
        <v>-1.6499705362404145E-2</v>
      </c>
      <c r="AT26" s="14">
        <f t="shared" si="8"/>
        <v>1.2217470983507458E-3</v>
      </c>
      <c r="AU26" s="14">
        <f t="shared" si="8"/>
        <v>-8.4104289318762419E-4</v>
      </c>
      <c r="AV26" s="14">
        <f t="shared" si="8"/>
        <v>1.7785427423981606E-2</v>
      </c>
      <c r="AW26" s="14">
        <f t="shared" si="8"/>
        <v>3.6429872495447649E-3</v>
      </c>
      <c r="AX26" s="14">
        <f t="shared" si="8"/>
        <v>7.3033707865169176E-3</v>
      </c>
      <c r="AY26" s="14">
        <f t="shared" si="8"/>
        <v>1.3237063778580128E-2</v>
      </c>
      <c r="AZ26" s="14">
        <f t="shared" si="8"/>
        <v>4.6680497925310023E-3</v>
      </c>
      <c r="BA26" s="14">
        <f t="shared" si="26"/>
        <v>7.6112412177984949E-3</v>
      </c>
      <c r="BB26" s="14">
        <f t="shared" si="26"/>
        <v>1.354679802955658E-2</v>
      </c>
      <c r="BC26" s="14">
        <f t="shared" si="26"/>
        <v>8.8443396226415092E-3</v>
      </c>
      <c r="BD26" s="14">
        <f t="shared" si="16"/>
        <v>-1.2084592145014418E-3</v>
      </c>
      <c r="BE26" s="14">
        <f t="shared" si="9"/>
        <v>9.0525045262522634E-3</v>
      </c>
      <c r="BF26" s="14">
        <f t="shared" si="9"/>
        <v>6.180469715698393E-3</v>
      </c>
      <c r="BG26" s="14">
        <f t="shared" si="9"/>
        <v>4.6457607433217848E-3</v>
      </c>
      <c r="BH26" s="14">
        <f t="shared" si="9"/>
        <v>6.3734862970044612E-3</v>
      </c>
      <c r="BI26" s="14">
        <f t="shared" si="9"/>
        <v>7.4028377544726534E-3</v>
      </c>
      <c r="BJ26" s="14">
        <f t="shared" si="9"/>
        <v>3.6275695284159267E-3</v>
      </c>
      <c r="BK26" s="14">
        <f t="shared" si="9"/>
        <v>1.7031630170316198E-2</v>
      </c>
      <c r="BL26" s="14">
        <f t="shared" si="29"/>
        <v>6.7278287461773351E-3</v>
      </c>
    </row>
    <row r="27" spans="2:64" x14ac:dyDescent="0.35">
      <c r="B27" s="5" t="s">
        <v>95</v>
      </c>
      <c r="C27" s="61">
        <v>113228.86524779514</v>
      </c>
      <c r="D27" s="61">
        <v>19030.701838389999</v>
      </c>
      <c r="E27" s="65">
        <f t="shared" si="2"/>
        <v>0.81170528798077946</v>
      </c>
      <c r="F27" s="6">
        <f t="shared" si="5"/>
        <v>0.1967815450251432</v>
      </c>
      <c r="H27" s="5" t="s">
        <v>95</v>
      </c>
      <c r="I27" s="15">
        <f t="shared" ref="I27:AI27" si="34">SUMIFS(March22,Subcategory,I$2,SECTOR,$I$1)</f>
        <v>151.30000000000001</v>
      </c>
      <c r="J27" s="15">
        <f t="shared" si="34"/>
        <v>210.7</v>
      </c>
      <c r="K27" s="15">
        <f t="shared" si="34"/>
        <v>167.8</v>
      </c>
      <c r="L27" s="15">
        <f t="shared" si="34"/>
        <v>162.19999999999999</v>
      </c>
      <c r="M27" s="15">
        <f t="shared" si="34"/>
        <v>194.6</v>
      </c>
      <c r="N27" s="15">
        <f t="shared" si="34"/>
        <v>157.6</v>
      </c>
      <c r="O27" s="15">
        <f t="shared" si="34"/>
        <v>166.9</v>
      </c>
      <c r="P27" s="15">
        <f t="shared" si="34"/>
        <v>163.9</v>
      </c>
      <c r="Q27" s="15">
        <f t="shared" si="34"/>
        <v>118.8</v>
      </c>
      <c r="R27" s="15">
        <f t="shared" si="34"/>
        <v>177.4</v>
      </c>
      <c r="S27" s="15">
        <f t="shared" si="34"/>
        <v>165.3</v>
      </c>
      <c r="T27" s="15">
        <f t="shared" si="34"/>
        <v>179.3</v>
      </c>
      <c r="U27" s="15">
        <f t="shared" si="34"/>
        <v>168.4</v>
      </c>
      <c r="V27" s="15">
        <f t="shared" si="34"/>
        <v>193.7</v>
      </c>
      <c r="W27" s="15">
        <f t="shared" si="34"/>
        <v>172.1</v>
      </c>
      <c r="X27" s="15">
        <f t="shared" si="34"/>
        <v>164.6</v>
      </c>
      <c r="Y27" s="15">
        <f t="shared" si="34"/>
        <v>171.1</v>
      </c>
      <c r="Z27" s="15">
        <f t="shared" si="34"/>
        <v>165.3</v>
      </c>
      <c r="AA27" s="15">
        <f t="shared" si="34"/>
        <v>167.2</v>
      </c>
      <c r="AB27" s="15">
        <f t="shared" si="34"/>
        <v>162.80000000000001</v>
      </c>
      <c r="AC27" s="15">
        <f t="shared" si="34"/>
        <v>173</v>
      </c>
      <c r="AD27" s="15">
        <f t="shared" si="34"/>
        <v>157.9</v>
      </c>
      <c r="AE27" s="15">
        <f t="shared" si="34"/>
        <v>163.30000000000001</v>
      </c>
      <c r="AF27" s="15">
        <f t="shared" si="34"/>
        <v>166</v>
      </c>
      <c r="AG27" s="15">
        <f t="shared" si="34"/>
        <v>167.2</v>
      </c>
      <c r="AH27" s="15">
        <f t="shared" si="34"/>
        <v>164.6</v>
      </c>
      <c r="AI27" s="15">
        <f t="shared" si="34"/>
        <v>0</v>
      </c>
      <c r="AL27" s="5" t="s">
        <v>96</v>
      </c>
      <c r="AM27" s="14">
        <f t="shared" si="7"/>
        <v>1.0575016523463279E-2</v>
      </c>
      <c r="AN27" s="14">
        <f t="shared" si="8"/>
        <v>5.2206929283342323E-3</v>
      </c>
      <c r="AO27" s="14">
        <f t="shared" si="8"/>
        <v>-1.9666269368295658E-2</v>
      </c>
      <c r="AP27" s="14">
        <f t="shared" si="8"/>
        <v>1.0480887792848441E-2</v>
      </c>
      <c r="AQ27" s="14">
        <f t="shared" si="8"/>
        <v>2.5179856115107944E-2</v>
      </c>
      <c r="AR27" s="14">
        <f t="shared" si="8"/>
        <v>9.5177664974619297E-2</v>
      </c>
      <c r="AS27" s="14">
        <f t="shared" si="8"/>
        <v>-4.1941282204914143E-3</v>
      </c>
      <c r="AT27" s="14">
        <f t="shared" si="8"/>
        <v>4.8810250152530989E-3</v>
      </c>
      <c r="AU27" s="14">
        <f t="shared" si="8"/>
        <v>1.6835016835017075E-3</v>
      </c>
      <c r="AV27" s="14">
        <f t="shared" si="8"/>
        <v>2.1984216459977484E-2</v>
      </c>
      <c r="AW27" s="14">
        <f t="shared" si="8"/>
        <v>5.4446460980034916E-3</v>
      </c>
      <c r="AX27" s="14">
        <f t="shared" si="8"/>
        <v>8.9235917456776028E-3</v>
      </c>
      <c r="AY27" s="14">
        <f t="shared" si="8"/>
        <v>1.4251781472684119E-2</v>
      </c>
      <c r="AZ27" s="14">
        <f t="shared" si="8"/>
        <v>1.0325245224574965E-3</v>
      </c>
      <c r="BA27" s="14">
        <f t="shared" si="26"/>
        <v>1.0459035444509072E-2</v>
      </c>
      <c r="BB27" s="14">
        <f t="shared" si="26"/>
        <v>1.1543134872418018E-2</v>
      </c>
      <c r="BC27" s="14">
        <f t="shared" si="26"/>
        <v>9.9357101110462715E-3</v>
      </c>
      <c r="BD27" s="14">
        <f t="shared" si="16"/>
        <v>1.0284331518451231E-2</v>
      </c>
      <c r="BE27" s="14">
        <f t="shared" si="9"/>
        <v>2.9904306220095697E-2</v>
      </c>
      <c r="BF27" s="14">
        <f t="shared" si="9"/>
        <v>7.371007371007301E-3</v>
      </c>
      <c r="BG27" s="14">
        <f t="shared" si="9"/>
        <v>5.7803468208092483E-3</v>
      </c>
      <c r="BH27" s="14">
        <f t="shared" si="9"/>
        <v>2.9765674477517344E-2</v>
      </c>
      <c r="BI27" s="14">
        <f t="shared" si="9"/>
        <v>6.7360685854255618E-3</v>
      </c>
      <c r="BJ27" s="14">
        <f t="shared" si="9"/>
        <v>5.4216867469879864E-3</v>
      </c>
      <c r="BK27" s="14">
        <f t="shared" si="9"/>
        <v>9.5693779904307587E-3</v>
      </c>
      <c r="BL27" s="14">
        <f t="shared" si="29"/>
        <v>1.3365735115431453E-2</v>
      </c>
    </row>
    <row r="28" spans="2:64" x14ac:dyDescent="0.35">
      <c r="B28" s="5" t="s">
        <v>96</v>
      </c>
      <c r="C28" s="61">
        <v>128800.06584155018</v>
      </c>
      <c r="D28" s="61">
        <v>21626.169696185003</v>
      </c>
      <c r="E28" s="65">
        <f t="shared" si="2"/>
        <v>0.81251708899645603</v>
      </c>
      <c r="F28" s="6">
        <f t="shared" si="5"/>
        <v>1.0001179340546503E-3</v>
      </c>
      <c r="H28" s="5" t="s">
        <v>96</v>
      </c>
      <c r="I28" s="15">
        <f t="shared" ref="I28:AI28" si="35">SUMIFS(April22,Subcategory,I$2,SECTOR,$I$1)</f>
        <v>152.9</v>
      </c>
      <c r="J28" s="15">
        <f t="shared" si="35"/>
        <v>211.8</v>
      </c>
      <c r="K28" s="15">
        <f t="shared" si="35"/>
        <v>164.5</v>
      </c>
      <c r="L28" s="15">
        <f t="shared" si="35"/>
        <v>163.9</v>
      </c>
      <c r="M28" s="15">
        <f t="shared" si="35"/>
        <v>199.5</v>
      </c>
      <c r="N28" s="15">
        <f t="shared" si="35"/>
        <v>172.6</v>
      </c>
      <c r="O28" s="15">
        <f t="shared" si="35"/>
        <v>166.2</v>
      </c>
      <c r="P28" s="15">
        <f t="shared" si="35"/>
        <v>164.7</v>
      </c>
      <c r="Q28" s="15">
        <f t="shared" si="35"/>
        <v>119</v>
      </c>
      <c r="R28" s="15">
        <f t="shared" si="35"/>
        <v>181.3</v>
      </c>
      <c r="S28" s="15">
        <f t="shared" si="35"/>
        <v>166.2</v>
      </c>
      <c r="T28" s="15">
        <f t="shared" si="35"/>
        <v>180.9</v>
      </c>
      <c r="U28" s="15">
        <f t="shared" si="35"/>
        <v>170.8</v>
      </c>
      <c r="V28" s="15">
        <f t="shared" si="35"/>
        <v>193.9</v>
      </c>
      <c r="W28" s="15">
        <f t="shared" si="35"/>
        <v>173.9</v>
      </c>
      <c r="X28" s="15">
        <f t="shared" si="35"/>
        <v>166.5</v>
      </c>
      <c r="Y28" s="15">
        <f t="shared" si="35"/>
        <v>172.8</v>
      </c>
      <c r="Z28" s="15">
        <f t="shared" si="35"/>
        <v>167</v>
      </c>
      <c r="AA28" s="15">
        <f t="shared" si="35"/>
        <v>172.2</v>
      </c>
      <c r="AB28" s="15">
        <f t="shared" si="35"/>
        <v>164</v>
      </c>
      <c r="AC28" s="15">
        <f t="shared" si="35"/>
        <v>174</v>
      </c>
      <c r="AD28" s="15">
        <f t="shared" si="35"/>
        <v>162.6</v>
      </c>
      <c r="AE28" s="15">
        <f t="shared" si="35"/>
        <v>164.4</v>
      </c>
      <c r="AF28" s="15">
        <f t="shared" si="35"/>
        <v>166.9</v>
      </c>
      <c r="AG28" s="15">
        <f t="shared" si="35"/>
        <v>168.8</v>
      </c>
      <c r="AH28" s="15">
        <f t="shared" si="35"/>
        <v>166.8</v>
      </c>
      <c r="AI28" s="15">
        <f t="shared" si="35"/>
        <v>0</v>
      </c>
      <c r="AL28" s="5" t="s">
        <v>97</v>
      </c>
      <c r="AM28" s="14">
        <f t="shared" si="7"/>
        <v>7.848266841072522E-3</v>
      </c>
      <c r="AN28" s="14">
        <f t="shared" si="8"/>
        <v>2.4551463644948011E-2</v>
      </c>
      <c r="AO28" s="14">
        <f t="shared" si="8"/>
        <v>-1.2765957446808475E-2</v>
      </c>
      <c r="AP28" s="14">
        <f t="shared" si="8"/>
        <v>6.1012812690665035E-3</v>
      </c>
      <c r="AQ28" s="14">
        <f t="shared" si="8"/>
        <v>1.4536340852130354E-2</v>
      </c>
      <c r="AR28" s="14">
        <f t="shared" si="8"/>
        <v>-9.2699884125144513E-3</v>
      </c>
      <c r="AS28" s="14">
        <f t="shared" si="8"/>
        <v>5.2346570397112019E-2</v>
      </c>
      <c r="AT28" s="14">
        <f t="shared" si="8"/>
        <v>0</v>
      </c>
      <c r="AU28" s="14">
        <f t="shared" si="8"/>
        <v>5.8823529411764948E-3</v>
      </c>
      <c r="AV28" s="14">
        <f t="shared" si="8"/>
        <v>1.9856591285162681E-2</v>
      </c>
      <c r="AW28" s="14">
        <f t="shared" si="8"/>
        <v>5.4151624548736807E-3</v>
      </c>
      <c r="AX28" s="14">
        <f t="shared" si="8"/>
        <v>8.8446655610834399E-3</v>
      </c>
      <c r="AY28" s="14">
        <f t="shared" si="8"/>
        <v>1.4637002341920374E-2</v>
      </c>
      <c r="AZ28" s="14">
        <f t="shared" si="8"/>
        <v>1.0314595152139691E-3</v>
      </c>
      <c r="BA28" s="14">
        <f t="shared" si="26"/>
        <v>9.7757331799884339E-3</v>
      </c>
      <c r="BB28" s="14">
        <f t="shared" si="26"/>
        <v>1.1411411411411446E-2</v>
      </c>
      <c r="BC28" s="14">
        <f t="shared" si="26"/>
        <v>1.0416666666666567E-2</v>
      </c>
      <c r="BD28" s="14">
        <f t="shared" si="16"/>
        <v>2.9940119760479044E-3</v>
      </c>
      <c r="BE28" s="14">
        <f t="shared" si="9"/>
        <v>1.3937282229965191E-2</v>
      </c>
      <c r="BF28" s="14">
        <f t="shared" si="9"/>
        <v>7.3170731707316384E-3</v>
      </c>
      <c r="BG28" s="14">
        <f t="shared" si="9"/>
        <v>4.5977011494253523E-3</v>
      </c>
      <c r="BH28" s="14">
        <f t="shared" si="9"/>
        <v>2.4600246002460377E-3</v>
      </c>
      <c r="BI28" s="14">
        <f t="shared" si="9"/>
        <v>4.257907542579006E-3</v>
      </c>
      <c r="BJ28" s="14">
        <f t="shared" si="9"/>
        <v>5.9916117435590173E-3</v>
      </c>
      <c r="BK28" s="14">
        <f t="shared" si="9"/>
        <v>-2.3696682464455312E-3</v>
      </c>
      <c r="BL28" s="14">
        <f t="shared" si="29"/>
        <v>4.1966426858512504E-3</v>
      </c>
    </row>
    <row r="29" spans="2:64" x14ac:dyDescent="0.35">
      <c r="B29" s="5" t="s">
        <v>97</v>
      </c>
      <c r="C29" s="61">
        <v>119633.62181054099</v>
      </c>
      <c r="D29" s="61">
        <v>19644.253621534997</v>
      </c>
      <c r="E29" s="65">
        <f t="shared" si="2"/>
        <v>0.83083301076959104</v>
      </c>
      <c r="F29" s="6">
        <f t="shared" si="5"/>
        <v>2.254219883025119E-2</v>
      </c>
      <c r="H29" s="5" t="s">
        <v>97</v>
      </c>
      <c r="I29" s="15">
        <f t="shared" ref="I29:AI29" si="36">SUMIFS(Maymonth22,Subcategory,I$2,SECTOR,$I$1)</f>
        <v>154.1</v>
      </c>
      <c r="J29" s="15">
        <f t="shared" si="36"/>
        <v>217</v>
      </c>
      <c r="K29" s="15">
        <f t="shared" si="36"/>
        <v>162.4</v>
      </c>
      <c r="L29" s="15">
        <f t="shared" si="36"/>
        <v>164.9</v>
      </c>
      <c r="M29" s="15">
        <f t="shared" si="36"/>
        <v>202.4</v>
      </c>
      <c r="N29" s="15">
        <f t="shared" si="36"/>
        <v>171</v>
      </c>
      <c r="O29" s="15">
        <f t="shared" si="36"/>
        <v>174.9</v>
      </c>
      <c r="P29" s="15">
        <f t="shared" si="36"/>
        <v>164.7</v>
      </c>
      <c r="Q29" s="15">
        <f t="shared" si="36"/>
        <v>119.7</v>
      </c>
      <c r="R29" s="15">
        <f t="shared" si="36"/>
        <v>184.9</v>
      </c>
      <c r="S29" s="15">
        <f t="shared" si="36"/>
        <v>167.1</v>
      </c>
      <c r="T29" s="15">
        <f t="shared" si="36"/>
        <v>182.5</v>
      </c>
      <c r="U29" s="15">
        <f t="shared" si="36"/>
        <v>173.3</v>
      </c>
      <c r="V29" s="15">
        <f t="shared" si="36"/>
        <v>194.1</v>
      </c>
      <c r="W29" s="15">
        <f t="shared" si="36"/>
        <v>175.6</v>
      </c>
      <c r="X29" s="15">
        <f t="shared" si="36"/>
        <v>168.4</v>
      </c>
      <c r="Y29" s="15">
        <f t="shared" si="36"/>
        <v>174.6</v>
      </c>
      <c r="Z29" s="15">
        <f t="shared" si="36"/>
        <v>167.5</v>
      </c>
      <c r="AA29" s="15">
        <f t="shared" si="36"/>
        <v>174.6</v>
      </c>
      <c r="AB29" s="15">
        <f t="shared" si="36"/>
        <v>165.2</v>
      </c>
      <c r="AC29" s="15">
        <f t="shared" si="36"/>
        <v>174.8</v>
      </c>
      <c r="AD29" s="15">
        <f t="shared" si="36"/>
        <v>163</v>
      </c>
      <c r="AE29" s="15">
        <f t="shared" si="36"/>
        <v>165.1</v>
      </c>
      <c r="AF29" s="15">
        <f t="shared" si="36"/>
        <v>167.9</v>
      </c>
      <c r="AG29" s="15">
        <f t="shared" si="36"/>
        <v>168.4</v>
      </c>
      <c r="AH29" s="15">
        <f t="shared" si="36"/>
        <v>167.5</v>
      </c>
      <c r="AI29" s="15">
        <f t="shared" si="36"/>
        <v>0</v>
      </c>
      <c r="AL29" s="5" t="s">
        <v>55</v>
      </c>
      <c r="AM29" s="14">
        <f t="shared" si="7"/>
        <v>5.8403634003893947E-3</v>
      </c>
      <c r="AN29" s="14">
        <f t="shared" si="8"/>
        <v>1.1059907834101408E-2</v>
      </c>
      <c r="AO29" s="14">
        <f t="shared" si="8"/>
        <v>5.1724137931034517E-2</v>
      </c>
      <c r="AP29" s="14">
        <f t="shared" si="8"/>
        <v>5.4578532443905741E-3</v>
      </c>
      <c r="AQ29" s="14">
        <f t="shared" si="8"/>
        <v>-7.411067193675889E-3</v>
      </c>
      <c r="AR29" s="14">
        <f t="shared" si="8"/>
        <v>-7.6023391812866164E-3</v>
      </c>
      <c r="AS29" s="14">
        <f t="shared" si="8"/>
        <v>4.230989136649517E-2</v>
      </c>
      <c r="AT29" s="14">
        <f t="shared" si="8"/>
        <v>-2.4286581663629466E-3</v>
      </c>
      <c r="AU29" s="14">
        <f t="shared" si="8"/>
        <v>1.6708437761069578E-3</v>
      </c>
      <c r="AV29" s="14">
        <f t="shared" si="8"/>
        <v>1.1898323418063756E-2</v>
      </c>
      <c r="AW29" s="14">
        <f t="shared" si="8"/>
        <v>4.7875523638540481E-3</v>
      </c>
      <c r="AX29" s="14">
        <f t="shared" si="8"/>
        <v>7.6712328767123599E-3</v>
      </c>
      <c r="AY29" s="14">
        <f t="shared" si="8"/>
        <v>9.2325447201384546E-3</v>
      </c>
      <c r="AZ29" s="14">
        <f t="shared" si="8"/>
        <v>1.0303967027306391E-3</v>
      </c>
      <c r="BA29" s="14">
        <f t="shared" si="26"/>
        <v>8.5421412300683373E-3</v>
      </c>
      <c r="BB29" s="14">
        <f t="shared" si="26"/>
        <v>8.9073634204275536E-3</v>
      </c>
      <c r="BC29" s="14">
        <f t="shared" si="26"/>
        <v>8.0183276059565042E-3</v>
      </c>
      <c r="BD29" s="14">
        <f t="shared" si="16"/>
        <v>-4.1791044776118723E-3</v>
      </c>
      <c r="BE29" s="14">
        <f t="shared" si="9"/>
        <v>8.0183276059565042E-3</v>
      </c>
      <c r="BF29" s="14">
        <f t="shared" si="9"/>
        <v>7.2639225181599099E-3</v>
      </c>
      <c r="BG29" s="14">
        <f t="shared" si="9"/>
        <v>3.4324942791761686E-3</v>
      </c>
      <c r="BH29" s="14">
        <f t="shared" si="9"/>
        <v>-1.1656441717791446E-2</v>
      </c>
      <c r="BI29" s="14">
        <f t="shared" si="9"/>
        <v>4.2398546335555244E-3</v>
      </c>
      <c r="BJ29" s="14">
        <f t="shared" si="9"/>
        <v>6.5515187611673272E-3</v>
      </c>
      <c r="BK29" s="14">
        <f t="shared" si="9"/>
        <v>5.9382422802850355E-3</v>
      </c>
      <c r="BL29" s="14">
        <f t="shared" si="29"/>
        <v>0</v>
      </c>
    </row>
    <row r="30" spans="2:64" x14ac:dyDescent="0.35">
      <c r="B30" s="5" t="s">
        <v>55</v>
      </c>
      <c r="C30" s="61">
        <v>121897.63969956485</v>
      </c>
      <c r="D30" s="61">
        <v>19209.652005542004</v>
      </c>
      <c r="E30" s="65">
        <f t="shared" si="2"/>
        <v>0.86570878449784994</v>
      </c>
      <c r="F30" s="6">
        <f t="shared" si="5"/>
        <v>4.1976875348216931E-2</v>
      </c>
      <c r="H30" s="5" t="s">
        <v>55</v>
      </c>
      <c r="I30" s="15">
        <f t="shared" ref="I30:AI30" si="37">SUMIFS(June22,Subcategory,I$2,SECTOR,$I$1)</f>
        <v>155</v>
      </c>
      <c r="J30" s="15">
        <f t="shared" si="37"/>
        <v>219.4</v>
      </c>
      <c r="K30" s="15">
        <f t="shared" si="37"/>
        <v>170.8</v>
      </c>
      <c r="L30" s="15">
        <f t="shared" si="37"/>
        <v>165.8</v>
      </c>
      <c r="M30" s="15">
        <f t="shared" si="37"/>
        <v>200.9</v>
      </c>
      <c r="N30" s="15">
        <f t="shared" si="37"/>
        <v>169.7</v>
      </c>
      <c r="O30" s="15">
        <f t="shared" si="37"/>
        <v>182.3</v>
      </c>
      <c r="P30" s="15">
        <f t="shared" si="37"/>
        <v>164.3</v>
      </c>
      <c r="Q30" s="15">
        <f t="shared" si="37"/>
        <v>119.9</v>
      </c>
      <c r="R30" s="15">
        <f t="shared" si="37"/>
        <v>187.1</v>
      </c>
      <c r="S30" s="15">
        <f t="shared" si="37"/>
        <v>167.9</v>
      </c>
      <c r="T30" s="15">
        <f t="shared" si="37"/>
        <v>183.9</v>
      </c>
      <c r="U30" s="15">
        <f t="shared" si="37"/>
        <v>174.9</v>
      </c>
      <c r="V30" s="15">
        <f t="shared" si="37"/>
        <v>194.3</v>
      </c>
      <c r="W30" s="15">
        <f t="shared" si="37"/>
        <v>177.1</v>
      </c>
      <c r="X30" s="15">
        <f t="shared" si="37"/>
        <v>169.9</v>
      </c>
      <c r="Y30" s="15">
        <f t="shared" si="37"/>
        <v>176</v>
      </c>
      <c r="Z30" s="15">
        <f t="shared" si="37"/>
        <v>166.8</v>
      </c>
      <c r="AA30" s="15">
        <f t="shared" si="37"/>
        <v>176</v>
      </c>
      <c r="AB30" s="15">
        <f t="shared" si="37"/>
        <v>166.4</v>
      </c>
      <c r="AC30" s="15">
        <f t="shared" si="37"/>
        <v>175.4</v>
      </c>
      <c r="AD30" s="15">
        <f t="shared" si="37"/>
        <v>161.1</v>
      </c>
      <c r="AE30" s="15">
        <f t="shared" si="37"/>
        <v>165.8</v>
      </c>
      <c r="AF30" s="15">
        <f t="shared" si="37"/>
        <v>169</v>
      </c>
      <c r="AG30" s="15">
        <f t="shared" si="37"/>
        <v>169.4</v>
      </c>
      <c r="AH30" s="15">
        <f t="shared" si="37"/>
        <v>167.5</v>
      </c>
      <c r="AI30" s="15">
        <f t="shared" si="37"/>
        <v>0</v>
      </c>
      <c r="AL30" s="5" t="s">
        <v>56</v>
      </c>
      <c r="AM30" s="14">
        <f t="shared" si="7"/>
        <v>9.6774193548387101E-3</v>
      </c>
      <c r="AN30" s="14">
        <f t="shared" si="8"/>
        <v>-2.9170464904284436E-2</v>
      </c>
      <c r="AO30" s="14">
        <f t="shared" si="8"/>
        <v>2.5761124121779725E-2</v>
      </c>
      <c r="AP30" s="14">
        <f t="shared" si="8"/>
        <v>4.8250904704462173E-3</v>
      </c>
      <c r="AQ30" s="14">
        <f t="shared" si="8"/>
        <v>-2.5385764061722219E-2</v>
      </c>
      <c r="AR30" s="14">
        <f t="shared" si="8"/>
        <v>2.6517383618149679E-2</v>
      </c>
      <c r="AS30" s="14">
        <f t="shared" si="8"/>
        <v>-1.0970927043336097E-3</v>
      </c>
      <c r="AT30" s="14">
        <f t="shared" si="8"/>
        <v>0</v>
      </c>
      <c r="AU30" s="14">
        <f t="shared" si="8"/>
        <v>8.3402835696408937E-4</v>
      </c>
      <c r="AV30" s="14">
        <f t="shared" si="8"/>
        <v>1.5499732763228252E-2</v>
      </c>
      <c r="AW30" s="14">
        <f t="shared" si="8"/>
        <v>2.9779630732578916E-3</v>
      </c>
      <c r="AX30" s="14">
        <f t="shared" si="8"/>
        <v>7.0690592713430287E-3</v>
      </c>
      <c r="AY30" s="14">
        <f t="shared" si="8"/>
        <v>5.7175528873638828E-4</v>
      </c>
      <c r="AZ30" s="14">
        <f t="shared" si="8"/>
        <v>1.5440041173442251E-3</v>
      </c>
      <c r="BA30" s="14">
        <f t="shared" si="26"/>
        <v>6.7758328627894812E-3</v>
      </c>
      <c r="BB30" s="14">
        <f t="shared" si="26"/>
        <v>8.2401412595644822E-3</v>
      </c>
      <c r="BC30" s="14">
        <f t="shared" si="26"/>
        <v>7.3863636363637013E-3</v>
      </c>
      <c r="BD30" s="14">
        <f t="shared" si="16"/>
        <v>5.9952038369304557E-3</v>
      </c>
      <c r="BE30" s="14">
        <f t="shared" si="9"/>
        <v>2.0454545454545423E-2</v>
      </c>
      <c r="BF30" s="14">
        <f t="shared" si="9"/>
        <v>6.0096153846153841E-3</v>
      </c>
      <c r="BG30" s="14">
        <f t="shared" si="9"/>
        <v>3.9908779931584299E-3</v>
      </c>
      <c r="BH30" s="14">
        <f t="shared" si="9"/>
        <v>3.1036623215394167E-3</v>
      </c>
      <c r="BI30" s="14">
        <f t="shared" si="9"/>
        <v>3.0156815440289505E-3</v>
      </c>
      <c r="BJ30" s="14">
        <f t="shared" si="9"/>
        <v>1.4201183431952697E-2</v>
      </c>
      <c r="BK30" s="14">
        <f t="shared" si="9"/>
        <v>1.7709563164107611E-3</v>
      </c>
      <c r="BL30" s="14">
        <f t="shared" si="29"/>
        <v>5.3731343283582433E-3</v>
      </c>
    </row>
    <row r="31" spans="2:64" x14ac:dyDescent="0.35">
      <c r="B31" s="5" t="s">
        <v>56</v>
      </c>
      <c r="C31" s="61">
        <v>128755.46490262874</v>
      </c>
      <c r="D31" s="61">
        <v>20624.253959481997</v>
      </c>
      <c r="E31" s="65">
        <f t="shared" si="2"/>
        <v>0.85169372769564411</v>
      </c>
      <c r="F31" s="6">
        <f t="shared" si="5"/>
        <v>-1.6189112381867755E-2</v>
      </c>
      <c r="H31" s="5" t="s">
        <v>56</v>
      </c>
      <c r="I31" s="15">
        <f t="shared" ref="I31:AI31" si="38">SUMIFS(July2022,Subcategory,I$2,SECTOR,$I$1)</f>
        <v>156.5</v>
      </c>
      <c r="J31" s="15">
        <f t="shared" si="38"/>
        <v>213</v>
      </c>
      <c r="K31" s="15">
        <f t="shared" si="38"/>
        <v>175.2</v>
      </c>
      <c r="L31" s="15">
        <f t="shared" si="38"/>
        <v>166.6</v>
      </c>
      <c r="M31" s="15">
        <f t="shared" si="38"/>
        <v>195.8</v>
      </c>
      <c r="N31" s="15">
        <f t="shared" si="38"/>
        <v>174.2</v>
      </c>
      <c r="O31" s="15">
        <f t="shared" si="38"/>
        <v>182.1</v>
      </c>
      <c r="P31" s="15">
        <f t="shared" si="38"/>
        <v>164.3</v>
      </c>
      <c r="Q31" s="15">
        <f t="shared" si="38"/>
        <v>120</v>
      </c>
      <c r="R31" s="15">
        <f t="shared" si="38"/>
        <v>190</v>
      </c>
      <c r="S31" s="15">
        <f t="shared" si="38"/>
        <v>168.4</v>
      </c>
      <c r="T31" s="15">
        <f t="shared" si="38"/>
        <v>185.2</v>
      </c>
      <c r="U31" s="15">
        <f t="shared" si="38"/>
        <v>175</v>
      </c>
      <c r="V31" s="15">
        <f t="shared" si="38"/>
        <v>194.6</v>
      </c>
      <c r="W31" s="15">
        <f t="shared" si="38"/>
        <v>178.3</v>
      </c>
      <c r="X31" s="15">
        <f t="shared" si="38"/>
        <v>171.3</v>
      </c>
      <c r="Y31" s="15">
        <f t="shared" si="38"/>
        <v>177.3</v>
      </c>
      <c r="Z31" s="15">
        <f t="shared" si="38"/>
        <v>167.8</v>
      </c>
      <c r="AA31" s="15">
        <f t="shared" si="38"/>
        <v>179.6</v>
      </c>
      <c r="AB31" s="15">
        <f t="shared" si="38"/>
        <v>167.4</v>
      </c>
      <c r="AC31" s="15">
        <f t="shared" si="38"/>
        <v>176.1</v>
      </c>
      <c r="AD31" s="15">
        <f t="shared" si="38"/>
        <v>161.6</v>
      </c>
      <c r="AE31" s="15">
        <f t="shared" si="38"/>
        <v>166.3</v>
      </c>
      <c r="AF31" s="15">
        <f t="shared" si="38"/>
        <v>171.4</v>
      </c>
      <c r="AG31" s="15">
        <f t="shared" si="38"/>
        <v>169.7</v>
      </c>
      <c r="AH31" s="15">
        <f t="shared" si="38"/>
        <v>168.4</v>
      </c>
      <c r="AI31" s="15">
        <f t="shared" si="38"/>
        <v>0</v>
      </c>
      <c r="AL31" s="5" t="s">
        <v>57</v>
      </c>
      <c r="AM31" s="14">
        <f t="shared" si="7"/>
        <v>2.4281150159744483E-2</v>
      </c>
      <c r="AN31" s="14">
        <f t="shared" si="8"/>
        <v>-3.0516431924882629E-2</v>
      </c>
      <c r="AO31" s="14">
        <f t="shared" si="8"/>
        <v>-3.4246575342465758E-2</v>
      </c>
      <c r="AP31" s="14">
        <f t="shared" si="8"/>
        <v>9.00360144057623E-3</v>
      </c>
      <c r="AQ31" s="14">
        <f t="shared" si="8"/>
        <v>-1.7364657814096043E-2</v>
      </c>
      <c r="AR31" s="14">
        <f t="shared" si="8"/>
        <v>-7.4626865671640818E-3</v>
      </c>
      <c r="AS31" s="14">
        <f t="shared" si="8"/>
        <v>2.5260845689181737E-2</v>
      </c>
      <c r="AT31" s="14">
        <f t="shared" si="8"/>
        <v>1.7650639074862917E-2</v>
      </c>
      <c r="AU31" s="14">
        <f t="shared" si="8"/>
        <v>7.5000000000000474E-3</v>
      </c>
      <c r="AV31" s="14">
        <f t="shared" si="8"/>
        <v>1.8947368421052602E-2</v>
      </c>
      <c r="AW31" s="14">
        <f t="shared" si="8"/>
        <v>2.3752969121140478E-3</v>
      </c>
      <c r="AX31" s="14">
        <f t="shared" si="8"/>
        <v>5.9395248380130824E-3</v>
      </c>
      <c r="AY31" s="14">
        <f t="shared" si="8"/>
        <v>7.4285714285714935E-3</v>
      </c>
      <c r="AZ31" s="14">
        <f t="shared" si="8"/>
        <v>2.0554984583761853E-3</v>
      </c>
      <c r="BA31" s="14">
        <f t="shared" si="26"/>
        <v>6.7302299495232108E-3</v>
      </c>
      <c r="BB31" s="14">
        <f t="shared" si="26"/>
        <v>8.1727962638644316E-3</v>
      </c>
      <c r="BC31" s="14">
        <f t="shared" si="26"/>
        <v>6.7681895093061962E-3</v>
      </c>
      <c r="BD31" s="14">
        <f t="shared" si="16"/>
        <v>7.1513706793801465E-3</v>
      </c>
      <c r="BE31" s="14">
        <f t="shared" si="9"/>
        <v>-4.4543429844097048E-3</v>
      </c>
      <c r="BF31" s="14">
        <f t="shared" si="9"/>
        <v>6.571087216248472E-3</v>
      </c>
      <c r="BG31" s="14">
        <f t="shared" si="9"/>
        <v>3.9750141964793699E-3</v>
      </c>
      <c r="BH31" s="14">
        <f t="shared" si="9"/>
        <v>1.8564356435644268E-3</v>
      </c>
      <c r="BI31" s="14">
        <f t="shared" si="9"/>
        <v>3.6079374624172836E-3</v>
      </c>
      <c r="BJ31" s="14">
        <f t="shared" si="9"/>
        <v>5.2508751458576761E-3</v>
      </c>
      <c r="BK31" s="14">
        <f t="shared" si="9"/>
        <v>8.8391278727165592E-3</v>
      </c>
      <c r="BL31" s="14">
        <f t="shared" si="29"/>
        <v>4.1567695961994573E-3</v>
      </c>
    </row>
    <row r="32" spans="2:64" x14ac:dyDescent="0.35">
      <c r="B32" s="5" t="s">
        <v>57</v>
      </c>
      <c r="C32" s="61">
        <v>104567.31614182114</v>
      </c>
      <c r="D32" s="61">
        <v>17637.212315264998</v>
      </c>
      <c r="E32" s="65">
        <f t="shared" si="2"/>
        <v>0.80883892599083762</v>
      </c>
      <c r="F32" s="6">
        <f t="shared" si="5"/>
        <v>-5.0317150768217009E-2</v>
      </c>
      <c r="H32" s="5" t="s">
        <v>57</v>
      </c>
      <c r="I32" s="15">
        <f t="shared" ref="I32:AI32" si="39">SUMIFS(August22,Subcategory,I$2,SECTOR,$I$1)</f>
        <v>160.30000000000001</v>
      </c>
      <c r="J32" s="15">
        <f t="shared" si="39"/>
        <v>206.5</v>
      </c>
      <c r="K32" s="15">
        <f t="shared" si="39"/>
        <v>169.2</v>
      </c>
      <c r="L32" s="15">
        <f t="shared" si="39"/>
        <v>168.1</v>
      </c>
      <c r="M32" s="15">
        <f t="shared" si="39"/>
        <v>192.4</v>
      </c>
      <c r="N32" s="15">
        <f t="shared" si="39"/>
        <v>172.9</v>
      </c>
      <c r="O32" s="15">
        <f t="shared" si="39"/>
        <v>186.7</v>
      </c>
      <c r="P32" s="15">
        <f t="shared" si="39"/>
        <v>167.2</v>
      </c>
      <c r="Q32" s="15">
        <f t="shared" si="39"/>
        <v>120.9</v>
      </c>
      <c r="R32" s="15">
        <f t="shared" si="39"/>
        <v>193.6</v>
      </c>
      <c r="S32" s="15">
        <f t="shared" si="39"/>
        <v>168.8</v>
      </c>
      <c r="T32" s="15">
        <f t="shared" si="39"/>
        <v>186.3</v>
      </c>
      <c r="U32" s="15">
        <f t="shared" si="39"/>
        <v>176.3</v>
      </c>
      <c r="V32" s="15">
        <f t="shared" si="39"/>
        <v>195</v>
      </c>
      <c r="W32" s="15">
        <f t="shared" si="39"/>
        <v>179.5</v>
      </c>
      <c r="X32" s="15">
        <f t="shared" si="39"/>
        <v>172.7</v>
      </c>
      <c r="Y32" s="15">
        <f t="shared" si="39"/>
        <v>178.5</v>
      </c>
      <c r="Z32" s="15">
        <f t="shared" si="39"/>
        <v>169</v>
      </c>
      <c r="AA32" s="15">
        <f t="shared" si="39"/>
        <v>178.8</v>
      </c>
      <c r="AB32" s="15">
        <f t="shared" si="39"/>
        <v>168.5</v>
      </c>
      <c r="AC32" s="15">
        <f t="shared" si="39"/>
        <v>176.8</v>
      </c>
      <c r="AD32" s="15">
        <f t="shared" si="39"/>
        <v>161.9</v>
      </c>
      <c r="AE32" s="15">
        <f t="shared" si="39"/>
        <v>166.9</v>
      </c>
      <c r="AF32" s="15">
        <f t="shared" si="39"/>
        <v>172.3</v>
      </c>
      <c r="AG32" s="15">
        <f t="shared" si="39"/>
        <v>171.2</v>
      </c>
      <c r="AH32" s="15">
        <f t="shared" si="39"/>
        <v>169.1</v>
      </c>
      <c r="AI32" s="15">
        <f t="shared" si="39"/>
        <v>0</v>
      </c>
      <c r="AL32" s="5" t="s">
        <v>58</v>
      </c>
      <c r="AM32" s="14">
        <f t="shared" si="7"/>
        <v>1.9962570180910719E-2</v>
      </c>
      <c r="AN32" s="14">
        <f t="shared" si="8"/>
        <v>1.3075060532687597E-2</v>
      </c>
      <c r="AO32" s="14">
        <f t="shared" si="8"/>
        <v>2.9550827423167852E-3</v>
      </c>
      <c r="AP32" s="14">
        <f t="shared" si="8"/>
        <v>9.5181439619273899E-3</v>
      </c>
      <c r="AQ32" s="14">
        <f t="shared" si="8"/>
        <v>-1.9230769230769319E-2</v>
      </c>
      <c r="AR32" s="14">
        <f t="shared" si="8"/>
        <v>-4.1642567958357531E-2</v>
      </c>
      <c r="AS32" s="14">
        <f t="shared" si="8"/>
        <v>2.7316550615961558E-2</v>
      </c>
      <c r="AT32" s="14">
        <f t="shared" si="8"/>
        <v>1.1363636363636399E-2</v>
      </c>
      <c r="AU32" s="14">
        <f t="shared" si="8"/>
        <v>5.7899090157153728E-3</v>
      </c>
      <c r="AV32" s="14">
        <f t="shared" si="8"/>
        <v>1.9111570247933973E-2</v>
      </c>
      <c r="AW32" s="14">
        <f t="shared" si="8"/>
        <v>3.5545023696682125E-3</v>
      </c>
      <c r="AX32" s="14">
        <f t="shared" si="8"/>
        <v>5.9044551798174676E-3</v>
      </c>
      <c r="AY32" s="14">
        <f t="shared" si="8"/>
        <v>8.5082246171298923E-3</v>
      </c>
      <c r="AZ32" s="14">
        <f t="shared" ref="AZ32:AZ38" si="40">(V33-V32)/V32</f>
        <v>4.6153846153846444E-3</v>
      </c>
      <c r="BA32" s="14">
        <f t="shared" si="26"/>
        <v>7.7994428969359649E-3</v>
      </c>
      <c r="BB32" s="14">
        <f t="shared" si="26"/>
        <v>9.2646207295890154E-3</v>
      </c>
      <c r="BC32" s="14">
        <f t="shared" si="26"/>
        <v>7.8431372549019919E-3</v>
      </c>
      <c r="BD32" s="14">
        <f t="shared" si="16"/>
        <v>2.9585798816568047E-3</v>
      </c>
      <c r="BE32" s="14">
        <f t="shared" si="9"/>
        <v>3.9149888143176093E-3</v>
      </c>
      <c r="BF32" s="14">
        <f t="shared" si="9"/>
        <v>5.9347181008902079E-3</v>
      </c>
      <c r="BG32" s="14">
        <f t="shared" si="9"/>
        <v>5.6561085972850677E-3</v>
      </c>
      <c r="BH32" s="14">
        <f t="shared" si="9"/>
        <v>2.470660901791264E-3</v>
      </c>
      <c r="BI32" s="14">
        <f t="shared" si="9"/>
        <v>4.1941282204912443E-3</v>
      </c>
      <c r="BJ32" s="14">
        <f t="shared" si="9"/>
        <v>4.6430644225187636E-3</v>
      </c>
      <c r="BK32" s="14">
        <f t="shared" si="9"/>
        <v>-1.7523364485980313E-3</v>
      </c>
      <c r="BL32" s="14">
        <f t="shared" si="29"/>
        <v>3.548196333530422E-3</v>
      </c>
    </row>
    <row r="33" spans="2:64" x14ac:dyDescent="0.35">
      <c r="B33" s="5" t="s">
        <v>58</v>
      </c>
      <c r="C33" s="61">
        <v>95157.741525290738</v>
      </c>
      <c r="D33" s="61">
        <v>16772.209972765002</v>
      </c>
      <c r="E33" s="65">
        <f t="shared" si="2"/>
        <v>0.7740158615329602</v>
      </c>
      <c r="F33" s="6">
        <f t="shared" si="5"/>
        <v>-4.3053151052564312E-2</v>
      </c>
      <c r="H33" s="5" t="s">
        <v>58</v>
      </c>
      <c r="I33" s="15">
        <f t="shared" ref="I33:AI33" si="41">SUMIFS(Sept22,Subcategory,I$2,SECTOR,$I$1)</f>
        <v>163.5</v>
      </c>
      <c r="J33" s="15">
        <f t="shared" si="41"/>
        <v>209.2</v>
      </c>
      <c r="K33" s="15">
        <f t="shared" si="41"/>
        <v>169.7</v>
      </c>
      <c r="L33" s="15">
        <f t="shared" si="41"/>
        <v>169.7</v>
      </c>
      <c r="M33" s="15">
        <f t="shared" si="41"/>
        <v>188.7</v>
      </c>
      <c r="N33" s="15">
        <f t="shared" si="41"/>
        <v>165.7</v>
      </c>
      <c r="O33" s="15">
        <f t="shared" si="41"/>
        <v>191.8</v>
      </c>
      <c r="P33" s="15">
        <f t="shared" si="41"/>
        <v>169.1</v>
      </c>
      <c r="Q33" s="15">
        <f t="shared" si="41"/>
        <v>121.6</v>
      </c>
      <c r="R33" s="15">
        <f t="shared" si="41"/>
        <v>197.3</v>
      </c>
      <c r="S33" s="15">
        <f t="shared" si="41"/>
        <v>169.4</v>
      </c>
      <c r="T33" s="15">
        <f t="shared" si="41"/>
        <v>187.4</v>
      </c>
      <c r="U33" s="15">
        <f t="shared" si="41"/>
        <v>177.8</v>
      </c>
      <c r="V33" s="15">
        <f t="shared" si="41"/>
        <v>195.9</v>
      </c>
      <c r="W33" s="15">
        <f t="shared" si="41"/>
        <v>180.9</v>
      </c>
      <c r="X33" s="15">
        <f t="shared" si="41"/>
        <v>174.3</v>
      </c>
      <c r="Y33" s="15">
        <f t="shared" si="41"/>
        <v>179.9</v>
      </c>
      <c r="Z33" s="15">
        <f t="shared" si="41"/>
        <v>169.5</v>
      </c>
      <c r="AA33" s="15">
        <f t="shared" si="41"/>
        <v>179.5</v>
      </c>
      <c r="AB33" s="15">
        <f t="shared" si="41"/>
        <v>169.5</v>
      </c>
      <c r="AC33" s="15">
        <f t="shared" si="41"/>
        <v>177.8</v>
      </c>
      <c r="AD33" s="15">
        <f t="shared" si="41"/>
        <v>162.30000000000001</v>
      </c>
      <c r="AE33" s="15">
        <f t="shared" si="41"/>
        <v>167.6</v>
      </c>
      <c r="AF33" s="15">
        <f t="shared" si="41"/>
        <v>173.1</v>
      </c>
      <c r="AG33" s="15">
        <f t="shared" si="41"/>
        <v>170.9</v>
      </c>
      <c r="AH33" s="15">
        <f t="shared" si="41"/>
        <v>169.7</v>
      </c>
      <c r="AI33" s="15">
        <f t="shared" si="41"/>
        <v>0</v>
      </c>
      <c r="AL33" s="5" t="s">
        <v>59</v>
      </c>
      <c r="AM33" s="14">
        <f t="shared" si="7"/>
        <v>1.0397553516819502E-2</v>
      </c>
      <c r="AN33" s="14">
        <f t="shared" si="8"/>
        <v>8.1261950286807706E-3</v>
      </c>
      <c r="AO33" s="14">
        <f t="shared" si="8"/>
        <v>7.0713022981733478E-3</v>
      </c>
      <c r="AP33" s="14">
        <f t="shared" si="8"/>
        <v>7.0713022981733478E-3</v>
      </c>
      <c r="AQ33" s="14">
        <f t="shared" si="8"/>
        <v>-1.1658717541070422E-2</v>
      </c>
      <c r="AR33" s="14">
        <f t="shared" si="8"/>
        <v>-1.1466505733252729E-2</v>
      </c>
      <c r="AS33" s="14">
        <f t="shared" si="8"/>
        <v>4.118873826903012E-2</v>
      </c>
      <c r="AT33" s="14">
        <f t="shared" si="8"/>
        <v>4.1395623891189656E-3</v>
      </c>
      <c r="AU33" s="14">
        <f t="shared" si="8"/>
        <v>2.4671052631579883E-3</v>
      </c>
      <c r="AV33" s="14">
        <f t="shared" si="8"/>
        <v>1.3177901672579798E-2</v>
      </c>
      <c r="AW33" s="14">
        <f t="shared" si="8"/>
        <v>2.9515938606847697E-3</v>
      </c>
      <c r="AX33" s="14">
        <f t="shared" si="8"/>
        <v>4.8025613660619302E-3</v>
      </c>
      <c r="AY33" s="14">
        <f t="shared" si="8"/>
        <v>1.0123734533183255E-2</v>
      </c>
      <c r="AZ33" s="14">
        <f t="shared" si="40"/>
        <v>2.0418580908627142E-3</v>
      </c>
      <c r="BA33" s="14">
        <f t="shared" si="26"/>
        <v>5.5279159756771697E-3</v>
      </c>
      <c r="BB33" s="14">
        <f t="shared" si="26"/>
        <v>5.737234652897303E-3</v>
      </c>
      <c r="BC33" s="14">
        <f t="shared" si="26"/>
        <v>6.1145080600333197E-3</v>
      </c>
      <c r="BD33" s="14">
        <f t="shared" si="16"/>
        <v>1.0029498525073679E-2</v>
      </c>
      <c r="BE33" s="14">
        <f t="shared" si="9"/>
        <v>5.5710306406685237E-3</v>
      </c>
      <c r="BF33" s="14">
        <f t="shared" si="9"/>
        <v>5.30973451327437E-3</v>
      </c>
      <c r="BG33" s="14">
        <f t="shared" si="9"/>
        <v>5.0618672665915477E-3</v>
      </c>
      <c r="BH33" s="14">
        <f t="shared" si="9"/>
        <v>3.6968576709796321E-3</v>
      </c>
      <c r="BI33" s="14">
        <f t="shared" si="9"/>
        <v>3.579952267303069E-3</v>
      </c>
      <c r="BJ33" s="14">
        <f t="shared" si="9"/>
        <v>1.7331022530329948E-3</v>
      </c>
      <c r="BK33" s="14">
        <f t="shared" si="9"/>
        <v>7.021650087770559E-3</v>
      </c>
      <c r="BL33" s="14">
        <f t="shared" si="29"/>
        <v>4.7142015321155655E-3</v>
      </c>
    </row>
    <row r="34" spans="2:64" x14ac:dyDescent="0.35">
      <c r="B34" s="5" t="s">
        <v>59</v>
      </c>
      <c r="C34" s="61">
        <v>99194.385511237808</v>
      </c>
      <c r="D34" s="61">
        <v>18123.446675544998</v>
      </c>
      <c r="E34" s="65">
        <f t="shared" si="2"/>
        <v>0.74669341686303214</v>
      </c>
      <c r="F34" s="6">
        <f t="shared" si="5"/>
        <v>-3.5299592718701124E-2</v>
      </c>
      <c r="H34" s="5" t="s">
        <v>59</v>
      </c>
      <c r="I34" s="15">
        <f t="shared" ref="I34:AI34" si="42">SUMIFS(October22,Subcategory,I$2,SECTOR,$I$1)</f>
        <v>165.2</v>
      </c>
      <c r="J34" s="15">
        <f t="shared" si="42"/>
        <v>210.9</v>
      </c>
      <c r="K34" s="15">
        <f t="shared" si="42"/>
        <v>170.9</v>
      </c>
      <c r="L34" s="15">
        <f t="shared" si="42"/>
        <v>170.9</v>
      </c>
      <c r="M34" s="15">
        <f t="shared" si="42"/>
        <v>186.5</v>
      </c>
      <c r="N34" s="15">
        <f t="shared" si="42"/>
        <v>163.80000000000001</v>
      </c>
      <c r="O34" s="15">
        <f t="shared" si="42"/>
        <v>199.7</v>
      </c>
      <c r="P34" s="15">
        <f t="shared" si="42"/>
        <v>169.8</v>
      </c>
      <c r="Q34" s="15">
        <f t="shared" si="42"/>
        <v>121.9</v>
      </c>
      <c r="R34" s="15">
        <f t="shared" si="42"/>
        <v>199.9</v>
      </c>
      <c r="S34" s="15">
        <f t="shared" si="42"/>
        <v>169.9</v>
      </c>
      <c r="T34" s="15">
        <f t="shared" si="42"/>
        <v>188.3</v>
      </c>
      <c r="U34" s="15">
        <f t="shared" si="42"/>
        <v>179.6</v>
      </c>
      <c r="V34" s="15">
        <f t="shared" si="42"/>
        <v>196.3</v>
      </c>
      <c r="W34" s="15">
        <f t="shared" si="42"/>
        <v>181.9</v>
      </c>
      <c r="X34" s="15">
        <f t="shared" si="42"/>
        <v>175.3</v>
      </c>
      <c r="Y34" s="15">
        <f t="shared" si="42"/>
        <v>181</v>
      </c>
      <c r="Z34" s="15">
        <f t="shared" si="42"/>
        <v>171.2</v>
      </c>
      <c r="AA34" s="15">
        <f t="shared" si="42"/>
        <v>180.5</v>
      </c>
      <c r="AB34" s="15">
        <f t="shared" si="42"/>
        <v>170.4</v>
      </c>
      <c r="AC34" s="15">
        <f t="shared" si="42"/>
        <v>178.7</v>
      </c>
      <c r="AD34" s="15">
        <f t="shared" si="42"/>
        <v>162.9</v>
      </c>
      <c r="AE34" s="15">
        <f t="shared" si="42"/>
        <v>168.2</v>
      </c>
      <c r="AF34" s="15">
        <f t="shared" si="42"/>
        <v>173.4</v>
      </c>
      <c r="AG34" s="15">
        <f t="shared" si="42"/>
        <v>172.1</v>
      </c>
      <c r="AH34" s="15">
        <f t="shared" si="42"/>
        <v>170.5</v>
      </c>
      <c r="AI34" s="15">
        <f t="shared" si="42"/>
        <v>0</v>
      </c>
      <c r="AL34" s="5" t="s">
        <v>60</v>
      </c>
      <c r="AM34" s="14">
        <f t="shared" si="7"/>
        <v>1.3317191283293082E-2</v>
      </c>
      <c r="AN34" s="14">
        <f t="shared" si="8"/>
        <v>-7.1123755334281651E-3</v>
      </c>
      <c r="AO34" s="14">
        <f t="shared" si="8"/>
        <v>6.1439438267992974E-2</v>
      </c>
      <c r="AP34" s="14">
        <f t="shared" si="8"/>
        <v>8.1919251023990971E-3</v>
      </c>
      <c r="AQ34" s="14">
        <f t="shared" si="8"/>
        <v>1.286863270777483E-2</v>
      </c>
      <c r="AR34" s="14">
        <f t="shared" si="8"/>
        <v>-1.8925518925519063E-2</v>
      </c>
      <c r="AS34" s="14">
        <f t="shared" si="8"/>
        <v>-8.3124687030545791E-2</v>
      </c>
      <c r="AT34" s="14">
        <f t="shared" si="8"/>
        <v>4.1224970553591792E-3</v>
      </c>
      <c r="AU34" s="14">
        <f t="shared" si="8"/>
        <v>1.640689089417462E-3</v>
      </c>
      <c r="AV34" s="14">
        <f t="shared" si="8"/>
        <v>1.4507253626813434E-2</v>
      </c>
      <c r="AW34" s="14">
        <f t="shared" si="8"/>
        <v>2.942907592701589E-3</v>
      </c>
      <c r="AX34" s="14">
        <f t="shared" si="8"/>
        <v>6.3728093467869812E-3</v>
      </c>
      <c r="AY34" s="14">
        <f t="shared" si="8"/>
        <v>-7.2383073496658295E-3</v>
      </c>
      <c r="AZ34" s="14">
        <f t="shared" si="40"/>
        <v>3.0565461029036897E-3</v>
      </c>
      <c r="BA34" s="14">
        <f t="shared" si="26"/>
        <v>6.5970313358987825E-3</v>
      </c>
      <c r="BB34" s="14">
        <f t="shared" si="26"/>
        <v>5.1340559041641596E-3</v>
      </c>
      <c r="BC34" s="14">
        <f t="shared" si="26"/>
        <v>6.0773480662983112E-3</v>
      </c>
      <c r="BD34" s="14">
        <f t="shared" si="16"/>
        <v>3.5046728971963948E-3</v>
      </c>
      <c r="BE34" s="14">
        <f t="shared" si="9"/>
        <v>4.4321329639889825E-3</v>
      </c>
      <c r="BF34" s="14">
        <f t="shared" si="9"/>
        <v>5.8685446009389668E-3</v>
      </c>
      <c r="BG34" s="14">
        <f t="shared" si="9"/>
        <v>6.1555679910465745E-3</v>
      </c>
      <c r="BH34" s="14">
        <f t="shared" si="9"/>
        <v>6.1387354205030267E-4</v>
      </c>
      <c r="BI34" s="14">
        <f t="shared" si="9"/>
        <v>1.7835909631391878E-3</v>
      </c>
      <c r="BJ34" s="14">
        <f t="shared" si="9"/>
        <v>1.7301038062282753E-3</v>
      </c>
      <c r="BK34" s="14">
        <f t="shared" si="9"/>
        <v>8.7158628704241715E-3</v>
      </c>
      <c r="BL34" s="14">
        <f t="shared" si="29"/>
        <v>3.5190615835776792E-3</v>
      </c>
    </row>
    <row r="35" spans="2:64" x14ac:dyDescent="0.35">
      <c r="B35" s="5" t="s">
        <v>60</v>
      </c>
      <c r="C35" s="61">
        <v>100258.75918442282</v>
      </c>
      <c r="D35" s="61">
        <v>19003.280854934001</v>
      </c>
      <c r="E35" s="65">
        <f t="shared" si="2"/>
        <v>0.71976340801425243</v>
      </c>
      <c r="F35" s="6">
        <f t="shared" si="5"/>
        <v>-3.6065684041941347E-2</v>
      </c>
      <c r="H35" s="5" t="s">
        <v>60</v>
      </c>
      <c r="I35" s="15">
        <f t="shared" ref="I35:AI35" si="43">SUMIFS(November22,Subcategory,I$2,SECTOR,$I$1)</f>
        <v>167.4</v>
      </c>
      <c r="J35" s="15">
        <f t="shared" si="43"/>
        <v>209.4</v>
      </c>
      <c r="K35" s="15">
        <f t="shared" si="43"/>
        <v>181.4</v>
      </c>
      <c r="L35" s="15">
        <f t="shared" si="43"/>
        <v>172.3</v>
      </c>
      <c r="M35" s="15">
        <f t="shared" si="43"/>
        <v>188.9</v>
      </c>
      <c r="N35" s="15">
        <f t="shared" si="43"/>
        <v>160.69999999999999</v>
      </c>
      <c r="O35" s="15">
        <f t="shared" si="43"/>
        <v>183.1</v>
      </c>
      <c r="P35" s="15">
        <f t="shared" si="43"/>
        <v>170.5</v>
      </c>
      <c r="Q35" s="15">
        <f t="shared" si="43"/>
        <v>122.1</v>
      </c>
      <c r="R35" s="15">
        <f t="shared" si="43"/>
        <v>202.8</v>
      </c>
      <c r="S35" s="15">
        <f t="shared" si="43"/>
        <v>170.4</v>
      </c>
      <c r="T35" s="15">
        <f t="shared" si="43"/>
        <v>189.5</v>
      </c>
      <c r="U35" s="15">
        <f t="shared" si="43"/>
        <v>178.3</v>
      </c>
      <c r="V35" s="15">
        <f t="shared" si="43"/>
        <v>196.9</v>
      </c>
      <c r="W35" s="15">
        <f t="shared" si="43"/>
        <v>183.1</v>
      </c>
      <c r="X35" s="15">
        <f t="shared" si="43"/>
        <v>176.2</v>
      </c>
      <c r="Y35" s="15">
        <f t="shared" si="43"/>
        <v>182.1</v>
      </c>
      <c r="Z35" s="15">
        <f t="shared" si="43"/>
        <v>171.8</v>
      </c>
      <c r="AA35" s="15">
        <f t="shared" si="43"/>
        <v>181.3</v>
      </c>
      <c r="AB35" s="15">
        <f t="shared" si="43"/>
        <v>171.4</v>
      </c>
      <c r="AC35" s="15">
        <f t="shared" si="43"/>
        <v>179.8</v>
      </c>
      <c r="AD35" s="15">
        <f t="shared" si="43"/>
        <v>163</v>
      </c>
      <c r="AE35" s="15">
        <f t="shared" si="43"/>
        <v>168.5</v>
      </c>
      <c r="AF35" s="15">
        <f t="shared" si="43"/>
        <v>173.7</v>
      </c>
      <c r="AG35" s="15">
        <f t="shared" si="43"/>
        <v>173.6</v>
      </c>
      <c r="AH35" s="15">
        <f t="shared" si="43"/>
        <v>171.1</v>
      </c>
      <c r="AI35" s="15">
        <f t="shared" si="43"/>
        <v>0</v>
      </c>
      <c r="AL35" s="5" t="s">
        <v>61</v>
      </c>
      <c r="AM35" s="14">
        <f t="shared" si="7"/>
        <v>1.0752688172042909E-2</v>
      </c>
      <c r="AN35" s="14">
        <f t="shared" si="8"/>
        <v>-1.9102196752626823E-3</v>
      </c>
      <c r="AO35" s="14">
        <f t="shared" si="8"/>
        <v>4.8511576626240255E-2</v>
      </c>
      <c r="AP35" s="14">
        <f t="shared" si="8"/>
        <v>7.5449796865930518E-3</v>
      </c>
      <c r="AQ35" s="14">
        <f t="shared" si="8"/>
        <v>-2.1175224986765785E-3</v>
      </c>
      <c r="AR35" s="14">
        <f t="shared" si="8"/>
        <v>-1.6801493466085806E-2</v>
      </c>
      <c r="AS35" s="14">
        <f t="shared" si="8"/>
        <v>-0.12670671764063349</v>
      </c>
      <c r="AT35" s="14">
        <f t="shared" si="8"/>
        <v>1.7595307917889231E-3</v>
      </c>
      <c r="AU35" s="14">
        <f t="shared" si="8"/>
        <v>-2.457002457002434E-3</v>
      </c>
      <c r="AV35" s="14">
        <f t="shared" si="8"/>
        <v>1.1834319526627106E-2</v>
      </c>
      <c r="AW35" s="14">
        <f t="shared" si="8"/>
        <v>3.521126760563347E-3</v>
      </c>
      <c r="AX35" s="14">
        <f t="shared" si="8"/>
        <v>4.2216358839050729E-3</v>
      </c>
      <c r="AY35" s="14">
        <f t="shared" si="8"/>
        <v>-1.3460459899046581E-2</v>
      </c>
      <c r="AZ35" s="14">
        <f t="shared" si="40"/>
        <v>2.031488065007647E-3</v>
      </c>
      <c r="BA35" s="14">
        <f t="shared" si="26"/>
        <v>4.9153468050246079E-3</v>
      </c>
      <c r="BB35" s="14">
        <f t="shared" si="26"/>
        <v>4.5402951191828118E-3</v>
      </c>
      <c r="BC35" s="14">
        <f t="shared" si="26"/>
        <v>4.9423393739703777E-3</v>
      </c>
      <c r="BD35" s="14">
        <f t="shared" si="16"/>
        <v>-6.4027939464494921E-3</v>
      </c>
      <c r="BE35" s="14">
        <f t="shared" si="9"/>
        <v>3.8610038610037982E-3</v>
      </c>
      <c r="BF35" s="14">
        <f t="shared" si="9"/>
        <v>4.0840140023336562E-3</v>
      </c>
      <c r="BG35" s="14">
        <f t="shared" si="9"/>
        <v>7.2302558398219295E-3</v>
      </c>
      <c r="BH35" s="14">
        <f t="shared" si="9"/>
        <v>2.4539877300613845E-3</v>
      </c>
      <c r="BI35" s="14">
        <f t="shared" si="9"/>
        <v>2.3738872403561168E-3</v>
      </c>
      <c r="BJ35" s="14">
        <f t="shared" si="9"/>
        <v>2.3028209556707293E-3</v>
      </c>
      <c r="BK35" s="14">
        <f t="shared" si="9"/>
        <v>1.2672811059907932E-2</v>
      </c>
      <c r="BL35" s="14">
        <f t="shared" si="29"/>
        <v>5.2600818234950653E-3</v>
      </c>
    </row>
    <row r="36" spans="2:64" x14ac:dyDescent="0.35">
      <c r="B36" s="5" t="s">
        <v>61</v>
      </c>
      <c r="C36" s="61">
        <v>94253.237400611397</v>
      </c>
      <c r="D36" s="61">
        <v>19617.709583499</v>
      </c>
      <c r="E36" s="65">
        <f t="shared" si="2"/>
        <v>0.65545669007911633</v>
      </c>
      <c r="F36" s="6">
        <f t="shared" si="5"/>
        <v>-8.9344244538008974E-2</v>
      </c>
      <c r="H36" s="5" t="s">
        <v>61</v>
      </c>
      <c r="I36" s="15">
        <f t="shared" ref="I36:AI36" si="44">SUMIFS(December22,Subcategory,I$2,SECTOR,$I$1)</f>
        <v>169.2</v>
      </c>
      <c r="J36" s="15">
        <f t="shared" si="44"/>
        <v>209</v>
      </c>
      <c r="K36" s="15">
        <f t="shared" si="44"/>
        <v>190.2</v>
      </c>
      <c r="L36" s="15">
        <f t="shared" si="44"/>
        <v>173.6</v>
      </c>
      <c r="M36" s="15">
        <f t="shared" si="44"/>
        <v>188.5</v>
      </c>
      <c r="N36" s="15">
        <f t="shared" si="44"/>
        <v>158</v>
      </c>
      <c r="O36" s="15">
        <f t="shared" si="44"/>
        <v>159.9</v>
      </c>
      <c r="P36" s="15">
        <f t="shared" si="44"/>
        <v>170.8</v>
      </c>
      <c r="Q36" s="15">
        <f t="shared" si="44"/>
        <v>121.8</v>
      </c>
      <c r="R36" s="15">
        <f t="shared" si="44"/>
        <v>205.2</v>
      </c>
      <c r="S36" s="15">
        <f t="shared" si="44"/>
        <v>171</v>
      </c>
      <c r="T36" s="15">
        <f t="shared" si="44"/>
        <v>190.3</v>
      </c>
      <c r="U36" s="15">
        <f t="shared" si="44"/>
        <v>175.9</v>
      </c>
      <c r="V36" s="15">
        <f t="shared" si="44"/>
        <v>197.3</v>
      </c>
      <c r="W36" s="15">
        <f t="shared" si="44"/>
        <v>184</v>
      </c>
      <c r="X36" s="15">
        <f t="shared" si="44"/>
        <v>177</v>
      </c>
      <c r="Y36" s="15">
        <f t="shared" si="44"/>
        <v>183</v>
      </c>
      <c r="Z36" s="15">
        <f t="shared" si="44"/>
        <v>170.7</v>
      </c>
      <c r="AA36" s="15">
        <f t="shared" si="44"/>
        <v>182</v>
      </c>
      <c r="AB36" s="15">
        <f t="shared" si="44"/>
        <v>172.1</v>
      </c>
      <c r="AC36" s="15">
        <f t="shared" si="44"/>
        <v>181.1</v>
      </c>
      <c r="AD36" s="15">
        <f t="shared" si="44"/>
        <v>163.4</v>
      </c>
      <c r="AE36" s="15">
        <f t="shared" si="44"/>
        <v>168.9</v>
      </c>
      <c r="AF36" s="15">
        <f t="shared" si="44"/>
        <v>174.1</v>
      </c>
      <c r="AG36" s="15">
        <f t="shared" si="44"/>
        <v>175.8</v>
      </c>
      <c r="AH36" s="15">
        <f t="shared" si="44"/>
        <v>172</v>
      </c>
      <c r="AI36" s="15">
        <f t="shared" si="44"/>
        <v>0</v>
      </c>
      <c r="AL36" s="5" t="s">
        <v>62</v>
      </c>
      <c r="AM36" s="14">
        <f t="shared" si="7"/>
        <v>2.7186761229314557E-2</v>
      </c>
      <c r="AN36" s="14">
        <f t="shared" si="8"/>
        <v>8.1339712918659744E-3</v>
      </c>
      <c r="AO36" s="14">
        <f t="shared" si="8"/>
        <v>2.2607781282860208E-2</v>
      </c>
      <c r="AP36" s="14">
        <f t="shared" si="8"/>
        <v>5.7603686635944703E-3</v>
      </c>
      <c r="AQ36" s="14">
        <f t="shared" si="8"/>
        <v>-6.8965517241379917E-3</v>
      </c>
      <c r="AR36" s="14">
        <f t="shared" si="8"/>
        <v>1.8987341772152618E-3</v>
      </c>
      <c r="AS36" s="14">
        <f t="shared" si="8"/>
        <v>-3.7523452157598496E-2</v>
      </c>
      <c r="AT36" s="14">
        <f t="shared" si="8"/>
        <v>5.854800936767817E-4</v>
      </c>
      <c r="AU36" s="14">
        <f t="shared" si="8"/>
        <v>-5.7471264367816325E-3</v>
      </c>
      <c r="AV36" s="14">
        <f t="shared" si="8"/>
        <v>1.5594541910331468E-2</v>
      </c>
      <c r="AW36" s="14">
        <f t="shared" si="8"/>
        <v>2.339181286549741E-3</v>
      </c>
      <c r="AX36" s="14">
        <f t="shared" si="8"/>
        <v>4.7293746715710832E-3</v>
      </c>
      <c r="AY36" s="14">
        <f t="shared" si="8"/>
        <v>4.5480386583284984E-3</v>
      </c>
      <c r="AZ36" s="14">
        <f t="shared" si="40"/>
        <v>4.5615813482005937E-3</v>
      </c>
      <c r="BA36" s="14">
        <f t="shared" si="26"/>
        <v>4.8913043478261177E-3</v>
      </c>
      <c r="BB36" s="14">
        <f t="shared" si="26"/>
        <v>3.3898305084745441E-3</v>
      </c>
      <c r="BC36" s="14">
        <f t="shared" si="26"/>
        <v>4.3715846994536144E-3</v>
      </c>
      <c r="BD36" s="14">
        <f t="shared" si="16"/>
        <v>8.201523140011751E-3</v>
      </c>
      <c r="BE36" s="14">
        <f t="shared" si="9"/>
        <v>0</v>
      </c>
      <c r="BF36" s="14">
        <f t="shared" si="9"/>
        <v>4.648460197559625E-3</v>
      </c>
      <c r="BG36" s="14">
        <f t="shared" si="9"/>
        <v>6.6261733848703317E-3</v>
      </c>
      <c r="BH36" s="14">
        <f t="shared" si="9"/>
        <v>1.2239902080782657E-3</v>
      </c>
      <c r="BI36" s="14">
        <f t="shared" si="9"/>
        <v>3.5523978685612452E-3</v>
      </c>
      <c r="BJ36" s="14">
        <f t="shared" si="9"/>
        <v>1.1487650775417408E-3</v>
      </c>
      <c r="BK36" s="14">
        <f t="shared" si="9"/>
        <v>1.5927189988623337E-2</v>
      </c>
      <c r="BL36" s="14">
        <f t="shared" si="29"/>
        <v>4.6511627906977403E-3</v>
      </c>
    </row>
    <row r="37" spans="2:64" x14ac:dyDescent="0.35">
      <c r="B37" s="5" t="s">
        <v>62</v>
      </c>
      <c r="C37" s="61">
        <v>92441.854830099124</v>
      </c>
      <c r="D37" s="61">
        <v>20229.309738625001</v>
      </c>
      <c r="E37" s="65">
        <f t="shared" si="2"/>
        <v>0.6234241361906816</v>
      </c>
      <c r="F37" s="6">
        <f t="shared" si="5"/>
        <v>-4.8870588054518556E-2</v>
      </c>
      <c r="H37" s="5" t="s">
        <v>62</v>
      </c>
      <c r="I37" s="15">
        <f t="shared" ref="I37:AI37" si="45">SUMIFS(january23,Subcategory,I$2,SECTOR,$I$1)</f>
        <v>173.8</v>
      </c>
      <c r="J37" s="15">
        <f t="shared" si="45"/>
        <v>210.7</v>
      </c>
      <c r="K37" s="15">
        <f t="shared" si="45"/>
        <v>194.5</v>
      </c>
      <c r="L37" s="15">
        <f t="shared" si="45"/>
        <v>174.6</v>
      </c>
      <c r="M37" s="15">
        <f t="shared" si="45"/>
        <v>187.2</v>
      </c>
      <c r="N37" s="15">
        <f t="shared" si="45"/>
        <v>158.30000000000001</v>
      </c>
      <c r="O37" s="15">
        <f t="shared" si="45"/>
        <v>153.9</v>
      </c>
      <c r="P37" s="15">
        <f t="shared" si="45"/>
        <v>170.9</v>
      </c>
      <c r="Q37" s="15">
        <f t="shared" si="45"/>
        <v>121.1</v>
      </c>
      <c r="R37" s="15">
        <f t="shared" si="45"/>
        <v>208.4</v>
      </c>
      <c r="S37" s="15">
        <f t="shared" si="45"/>
        <v>171.4</v>
      </c>
      <c r="T37" s="15">
        <f t="shared" si="45"/>
        <v>191.2</v>
      </c>
      <c r="U37" s="15">
        <f t="shared" si="45"/>
        <v>176.7</v>
      </c>
      <c r="V37" s="15">
        <f t="shared" si="45"/>
        <v>198.2</v>
      </c>
      <c r="W37" s="15">
        <f t="shared" si="45"/>
        <v>184.9</v>
      </c>
      <c r="X37" s="15">
        <f t="shared" si="45"/>
        <v>177.6</v>
      </c>
      <c r="Y37" s="15">
        <f t="shared" si="45"/>
        <v>183.8</v>
      </c>
      <c r="Z37" s="15">
        <f t="shared" si="45"/>
        <v>172.1</v>
      </c>
      <c r="AA37" s="15">
        <f t="shared" si="45"/>
        <v>182</v>
      </c>
      <c r="AB37" s="15">
        <f t="shared" si="45"/>
        <v>172.9</v>
      </c>
      <c r="AC37" s="15">
        <f t="shared" si="45"/>
        <v>182.3</v>
      </c>
      <c r="AD37" s="15">
        <f t="shared" si="45"/>
        <v>163.6</v>
      </c>
      <c r="AE37" s="15">
        <f t="shared" si="45"/>
        <v>169.5</v>
      </c>
      <c r="AF37" s="15">
        <f t="shared" si="45"/>
        <v>174.3</v>
      </c>
      <c r="AG37" s="15">
        <f t="shared" si="45"/>
        <v>178.6</v>
      </c>
      <c r="AH37" s="15">
        <f t="shared" si="45"/>
        <v>172.8</v>
      </c>
      <c r="AI37" s="15">
        <f t="shared" si="45"/>
        <v>0</v>
      </c>
      <c r="AL37" s="5" t="s">
        <v>63</v>
      </c>
      <c r="AM37" s="14">
        <f t="shared" si="7"/>
        <v>3.4522439585730398E-3</v>
      </c>
      <c r="AN37" s="14">
        <f t="shared" si="8"/>
        <v>-1.423825344091125E-2</v>
      </c>
      <c r="AO37" s="14">
        <f t="shared" si="8"/>
        <v>-9.9228791773778982E-2</v>
      </c>
      <c r="AP37" s="14">
        <f t="shared" si="8"/>
        <v>1.5463917525773294E-2</v>
      </c>
      <c r="AQ37" s="14">
        <f t="shared" si="8"/>
        <v>-4.2200854700854579E-2</v>
      </c>
      <c r="AR37" s="14">
        <f t="shared" si="8"/>
        <v>7.0751737207833149E-2</v>
      </c>
      <c r="AS37" s="14">
        <f t="shared" si="8"/>
        <v>-7.7972709551658026E-3</v>
      </c>
      <c r="AT37" s="14">
        <f t="shared" si="8"/>
        <v>5.8513750731418557E-4</v>
      </c>
      <c r="AU37" s="14">
        <f t="shared" si="8"/>
        <v>-9.0834021469859156E-3</v>
      </c>
      <c r="AV37" s="14">
        <f t="shared" si="8"/>
        <v>6.2380038387715112E-3</v>
      </c>
      <c r="AW37" s="14">
        <f t="shared" si="8"/>
        <v>5.2508751458576761E-3</v>
      </c>
      <c r="AX37" s="14">
        <f t="shared" si="8"/>
        <v>9.4142259414226534E-3</v>
      </c>
      <c r="AY37" s="14">
        <f t="shared" si="8"/>
        <v>1.6977928692700134E-3</v>
      </c>
      <c r="AZ37" s="14">
        <f t="shared" si="40"/>
        <v>6.5590312815338621E-3</v>
      </c>
      <c r="BA37" s="14">
        <f t="shared" si="26"/>
        <v>7.0308274743103453E-3</v>
      </c>
      <c r="BB37" s="14">
        <f t="shared" si="26"/>
        <v>6.1936936936936617E-3</v>
      </c>
      <c r="BC37" s="14">
        <f t="shared" si="26"/>
        <v>7.0729053318823879E-3</v>
      </c>
      <c r="BD37" s="14">
        <f t="shared" si="16"/>
        <v>8.1348053457292614E-3</v>
      </c>
      <c r="BE37" s="14">
        <f t="shared" si="9"/>
        <v>5.4945054945051823E-4</v>
      </c>
      <c r="BF37" s="14">
        <f t="shared" si="9"/>
        <v>7.5187969924811037E-3</v>
      </c>
      <c r="BG37" s="14">
        <f t="shared" si="9"/>
        <v>1.1519473395501889E-2</v>
      </c>
      <c r="BH37" s="14">
        <f t="shared" si="9"/>
        <v>3.6674816625916523E-3</v>
      </c>
      <c r="BI37" s="14">
        <f t="shared" si="9"/>
        <v>4.7197640117994768E-3</v>
      </c>
      <c r="BJ37" s="14">
        <f t="shared" si="9"/>
        <v>4.016064257028047E-3</v>
      </c>
      <c r="BK37" s="14">
        <f t="shared" si="9"/>
        <v>1.3437849944008991E-2</v>
      </c>
      <c r="BL37" s="14">
        <f t="shared" si="29"/>
        <v>7.5231481481480489E-3</v>
      </c>
    </row>
    <row r="38" spans="2:64" x14ac:dyDescent="0.35">
      <c r="B38" s="5" t="s">
        <v>63</v>
      </c>
      <c r="C38" s="61">
        <v>85798.258921224522</v>
      </c>
      <c r="D38" s="61">
        <v>19284.873472954998</v>
      </c>
      <c r="E38" s="65">
        <f t="shared" si="2"/>
        <v>0.60695669530255392</v>
      </c>
      <c r="F38" s="6">
        <f t="shared" si="5"/>
        <v>-2.6414506484700687E-2</v>
      </c>
      <c r="H38" s="5" t="s">
        <v>63</v>
      </c>
      <c r="I38" s="15">
        <f t="shared" ref="I38:AI38" si="46">SUMIFS(February23,Subcategory,I$2,SECTOR,$I$1)</f>
        <v>174.4</v>
      </c>
      <c r="J38" s="15">
        <f t="shared" si="46"/>
        <v>207.7</v>
      </c>
      <c r="K38" s="15">
        <f t="shared" si="46"/>
        <v>175.2</v>
      </c>
      <c r="L38" s="15">
        <f t="shared" si="46"/>
        <v>177.3</v>
      </c>
      <c r="M38" s="15">
        <f t="shared" si="46"/>
        <v>179.3</v>
      </c>
      <c r="N38" s="15">
        <f t="shared" si="46"/>
        <v>169.5</v>
      </c>
      <c r="O38" s="15">
        <f t="shared" si="46"/>
        <v>152.69999999999999</v>
      </c>
      <c r="P38" s="15">
        <f t="shared" si="46"/>
        <v>171</v>
      </c>
      <c r="Q38" s="15">
        <f t="shared" si="46"/>
        <v>120</v>
      </c>
      <c r="R38" s="15">
        <f t="shared" si="46"/>
        <v>209.7</v>
      </c>
      <c r="S38" s="15">
        <f t="shared" si="46"/>
        <v>172.3</v>
      </c>
      <c r="T38" s="15">
        <f t="shared" si="46"/>
        <v>193</v>
      </c>
      <c r="U38" s="15">
        <f t="shared" si="46"/>
        <v>177</v>
      </c>
      <c r="V38" s="15">
        <f t="shared" si="46"/>
        <v>199.5</v>
      </c>
      <c r="W38" s="15">
        <f t="shared" si="46"/>
        <v>186.2</v>
      </c>
      <c r="X38" s="15">
        <f t="shared" si="46"/>
        <v>178.7</v>
      </c>
      <c r="Y38" s="15">
        <f t="shared" si="46"/>
        <v>185.1</v>
      </c>
      <c r="Z38" s="15">
        <f t="shared" si="46"/>
        <v>173.5</v>
      </c>
      <c r="AA38" s="15">
        <f t="shared" si="46"/>
        <v>182.1</v>
      </c>
      <c r="AB38" s="15">
        <f t="shared" si="46"/>
        <v>174.2</v>
      </c>
      <c r="AC38" s="15">
        <f t="shared" si="46"/>
        <v>184.4</v>
      </c>
      <c r="AD38" s="15">
        <f t="shared" si="46"/>
        <v>164.2</v>
      </c>
      <c r="AE38" s="15">
        <f t="shared" si="46"/>
        <v>170.3</v>
      </c>
      <c r="AF38" s="15">
        <f t="shared" si="46"/>
        <v>175</v>
      </c>
      <c r="AG38" s="15">
        <f t="shared" si="46"/>
        <v>181</v>
      </c>
      <c r="AH38" s="15">
        <f t="shared" si="46"/>
        <v>174.1</v>
      </c>
      <c r="AI38" s="15">
        <f t="shared" si="46"/>
        <v>0</v>
      </c>
      <c r="AL38" s="5" t="s">
        <v>64</v>
      </c>
      <c r="AM38" s="14">
        <f t="shared" si="7"/>
        <v>0</v>
      </c>
      <c r="AN38" s="14">
        <f t="shared" si="8"/>
        <v>0</v>
      </c>
      <c r="AO38" s="14">
        <f t="shared" si="8"/>
        <v>0</v>
      </c>
      <c r="AP38" s="14">
        <f t="shared" si="8"/>
        <v>0</v>
      </c>
      <c r="AQ38" s="14">
        <f t="shared" si="8"/>
        <v>-5.5772448410497898E-4</v>
      </c>
      <c r="AR38" s="14">
        <f t="shared" si="8"/>
        <v>0</v>
      </c>
      <c r="AS38" s="14">
        <f t="shared" si="8"/>
        <v>6.5487884741337755E-4</v>
      </c>
      <c r="AT38" s="14">
        <f t="shared" si="8"/>
        <v>5.8479532163739363E-4</v>
      </c>
      <c r="AU38" s="14">
        <f t="shared" si="8"/>
        <v>0</v>
      </c>
      <c r="AV38" s="14">
        <f t="shared" si="8"/>
        <v>0</v>
      </c>
      <c r="AW38" s="14">
        <f t="shared" si="8"/>
        <v>0</v>
      </c>
      <c r="AX38" s="14">
        <f t="shared" si="8"/>
        <v>0</v>
      </c>
      <c r="AY38" s="14">
        <f t="shared" si="8"/>
        <v>0</v>
      </c>
      <c r="AZ38" s="14">
        <f t="shared" si="40"/>
        <v>0</v>
      </c>
      <c r="BA38" s="14">
        <f t="shared" si="26"/>
        <v>-5.3705692803434116E-4</v>
      </c>
      <c r="BB38" s="14">
        <f t="shared" si="26"/>
        <v>0</v>
      </c>
      <c r="BC38" s="14">
        <f t="shared" si="26"/>
        <v>0</v>
      </c>
      <c r="BD38" s="14">
        <f t="shared" si="16"/>
        <v>0</v>
      </c>
      <c r="BE38" s="14">
        <f t="shared" si="9"/>
        <v>-1.0982976386600144E-3</v>
      </c>
      <c r="BF38" s="14">
        <f t="shared" si="9"/>
        <v>0</v>
      </c>
      <c r="BG38" s="14">
        <f t="shared" si="9"/>
        <v>0</v>
      </c>
      <c r="BH38" s="14">
        <f t="shared" si="9"/>
        <v>0</v>
      </c>
      <c r="BI38" s="14">
        <f t="shared" si="9"/>
        <v>0</v>
      </c>
      <c r="BJ38" s="14">
        <f t="shared" si="9"/>
        <v>0</v>
      </c>
      <c r="BK38" s="14">
        <f t="shared" si="9"/>
        <v>0</v>
      </c>
      <c r="BL38" s="14">
        <f t="shared" si="29"/>
        <v>0</v>
      </c>
    </row>
    <row r="39" spans="2:64" x14ac:dyDescent="0.35">
      <c r="B39" s="5" t="s">
        <v>64</v>
      </c>
      <c r="C39" s="61">
        <v>89613.478577777831</v>
      </c>
      <c r="D39" s="61">
        <v>20928.040082494001</v>
      </c>
      <c r="E39" s="65">
        <f t="shared" si="2"/>
        <v>0.58417208865583481</v>
      </c>
      <c r="F39" s="6">
        <f t="shared" si="5"/>
        <v>-3.7539097637536573E-2</v>
      </c>
      <c r="H39" s="5" t="s">
        <v>64</v>
      </c>
      <c r="I39" s="15">
        <f t="shared" ref="I39:AI39" si="47">SUMIFS(March23,Subcategory,I$2,SECTOR,$I$1)</f>
        <v>174.4</v>
      </c>
      <c r="J39" s="15">
        <f t="shared" si="47"/>
        <v>207.7</v>
      </c>
      <c r="K39" s="15">
        <f t="shared" si="47"/>
        <v>175.2</v>
      </c>
      <c r="L39" s="15">
        <f t="shared" si="47"/>
        <v>177.3</v>
      </c>
      <c r="M39" s="15">
        <f t="shared" si="47"/>
        <v>179.2</v>
      </c>
      <c r="N39" s="15">
        <f t="shared" si="47"/>
        <v>169.5</v>
      </c>
      <c r="O39" s="15">
        <f t="shared" si="47"/>
        <v>152.80000000000001</v>
      </c>
      <c r="P39" s="15">
        <f t="shared" si="47"/>
        <v>171.1</v>
      </c>
      <c r="Q39" s="15">
        <f t="shared" si="47"/>
        <v>120</v>
      </c>
      <c r="R39" s="15">
        <f t="shared" si="47"/>
        <v>209.7</v>
      </c>
      <c r="S39" s="15">
        <f t="shared" si="47"/>
        <v>172.3</v>
      </c>
      <c r="T39" s="15">
        <f t="shared" si="47"/>
        <v>193</v>
      </c>
      <c r="U39" s="15">
        <f t="shared" si="47"/>
        <v>177</v>
      </c>
      <c r="V39" s="15">
        <f t="shared" si="47"/>
        <v>199.5</v>
      </c>
      <c r="W39" s="15">
        <f t="shared" si="47"/>
        <v>186.1</v>
      </c>
      <c r="X39" s="15">
        <f t="shared" si="47"/>
        <v>178.7</v>
      </c>
      <c r="Y39" s="15">
        <f t="shared" si="47"/>
        <v>185.1</v>
      </c>
      <c r="Z39" s="15">
        <f t="shared" si="47"/>
        <v>173.5</v>
      </c>
      <c r="AA39" s="15">
        <f t="shared" si="47"/>
        <v>181.9</v>
      </c>
      <c r="AB39" s="15">
        <f t="shared" si="47"/>
        <v>174.2</v>
      </c>
      <c r="AC39" s="15">
        <f t="shared" si="47"/>
        <v>184.4</v>
      </c>
      <c r="AD39" s="15">
        <f t="shared" si="47"/>
        <v>164.2</v>
      </c>
      <c r="AE39" s="15">
        <f t="shared" si="47"/>
        <v>170.3</v>
      </c>
      <c r="AF39" s="15">
        <f t="shared" si="47"/>
        <v>175</v>
      </c>
      <c r="AG39" s="15">
        <f t="shared" si="47"/>
        <v>181</v>
      </c>
      <c r="AH39" s="15">
        <f t="shared" si="47"/>
        <v>174.1</v>
      </c>
      <c r="AI39" s="15">
        <f t="shared" si="47"/>
        <v>0</v>
      </c>
      <c r="AL39" s="5" t="s">
        <v>98</v>
      </c>
      <c r="AM39" s="62">
        <f>CORREL($F$5:$F$39,AM$4:AM$38)</f>
        <v>-0.14056877521330075</v>
      </c>
      <c r="AN39" s="62">
        <f t="shared" ref="AN39:BL39" si="48">CORREL($F$5:$F$39,AN$4:AN$38)</f>
        <v>0.33940046122387607</v>
      </c>
      <c r="AO39" s="62">
        <f t="shared" si="48"/>
        <v>-0.10219059474700004</v>
      </c>
      <c r="AP39" s="62">
        <f t="shared" si="48"/>
        <v>-0.11554819214588398</v>
      </c>
      <c r="AQ39" s="62">
        <f t="shared" si="48"/>
        <v>0.30678676753646755</v>
      </c>
      <c r="AR39" s="62">
        <f t="shared" si="48"/>
        <v>9.589881967241666E-2</v>
      </c>
      <c r="AS39" s="62">
        <f t="shared" si="48"/>
        <v>-6.3109136726209866E-2</v>
      </c>
      <c r="AT39" s="62">
        <f t="shared" si="48"/>
        <v>0.22053422169446404</v>
      </c>
      <c r="AU39" s="62">
        <f t="shared" si="48"/>
        <v>-5.9987305755302207E-2</v>
      </c>
      <c r="AV39" s="62">
        <f t="shared" si="48"/>
        <v>-1.3063206071365067E-2</v>
      </c>
      <c r="AW39" s="62">
        <f t="shared" si="48"/>
        <v>0.13262334309823132</v>
      </c>
      <c r="AX39" s="62">
        <f t="shared" si="48"/>
        <v>1.1777211316717606E-2</v>
      </c>
      <c r="AY39" s="62">
        <f t="shared" si="48"/>
        <v>2.4010123994349451E-2</v>
      </c>
      <c r="AZ39" s="62">
        <f t="shared" si="48"/>
        <v>0.22783443890168281</v>
      </c>
      <c r="BA39" s="62">
        <f t="shared" si="48"/>
        <v>-0.10990327909732772</v>
      </c>
      <c r="BB39" s="62">
        <f t="shared" si="48"/>
        <v>-1.2839132555409622E-2</v>
      </c>
      <c r="BC39" s="62">
        <f t="shared" si="48"/>
        <v>-7.0828836337462592E-2</v>
      </c>
      <c r="BD39" s="62">
        <f t="shared" si="48"/>
        <v>-9.9016649135173801E-2</v>
      </c>
      <c r="BE39" s="62">
        <f t="shared" si="48"/>
        <v>-0.123277336943088</v>
      </c>
      <c r="BF39" s="62">
        <f t="shared" si="48"/>
        <v>-0.18904977094294331</v>
      </c>
      <c r="BG39" s="62">
        <f t="shared" si="48"/>
        <v>-7.5999325496038675E-2</v>
      </c>
      <c r="BH39" s="62">
        <f t="shared" si="48"/>
        <v>0.14912204431501902</v>
      </c>
      <c r="BI39" s="62">
        <f t="shared" si="48"/>
        <v>0.11958914275303938</v>
      </c>
      <c r="BJ39" s="62">
        <f t="shared" si="48"/>
        <v>-6.7914045606147305E-2</v>
      </c>
      <c r="BK39" s="62">
        <f t="shared" si="48"/>
        <v>1.9081568254924863E-3</v>
      </c>
      <c r="BL39" s="62">
        <f t="shared" si="48"/>
        <v>6.113427679453342E-2</v>
      </c>
    </row>
    <row r="40" spans="2:64" x14ac:dyDescent="0.35">
      <c r="B40" s="11"/>
      <c r="C40" s="11"/>
      <c r="D40" s="11"/>
      <c r="E40" s="11"/>
      <c r="F40" s="6"/>
      <c r="G40" s="2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4" spans="2:64" x14ac:dyDescent="0.35">
      <c r="B44" s="9" t="s">
        <v>50</v>
      </c>
      <c r="C44" s="9" t="s">
        <v>98</v>
      </c>
      <c r="D44" s="53"/>
      <c r="E44" s="53"/>
      <c r="G44" s="1" t="s">
        <v>104</v>
      </c>
    </row>
    <row r="45" spans="2:64" x14ac:dyDescent="0.35">
      <c r="B45" s="15" t="s">
        <v>4</v>
      </c>
      <c r="C45" s="20">
        <f t="shared" ref="C45:C70" si="49">_xlfn.XLOOKUP(B45,$AM$2:$BL$2,$AM$39:$BL$39)</f>
        <v>0.33940046122387607</v>
      </c>
      <c r="D45" s="63"/>
      <c r="E45" s="63"/>
      <c r="G45" t="s">
        <v>211</v>
      </c>
    </row>
    <row r="46" spans="2:64" x14ac:dyDescent="0.35">
      <c r="B46" s="15" t="s">
        <v>7</v>
      </c>
      <c r="C46" s="20">
        <f t="shared" si="49"/>
        <v>0.30678676753646755</v>
      </c>
      <c r="D46" s="63"/>
      <c r="E46" s="63"/>
      <c r="G46" t="s">
        <v>207</v>
      </c>
    </row>
    <row r="47" spans="2:64" x14ac:dyDescent="0.35">
      <c r="B47" s="15" t="s">
        <v>16</v>
      </c>
      <c r="C47" s="20">
        <f t="shared" si="49"/>
        <v>0.22783443890168281</v>
      </c>
      <c r="D47" s="63"/>
      <c r="E47" s="63"/>
    </row>
    <row r="48" spans="2:64" x14ac:dyDescent="0.35">
      <c r="B48" s="15" t="s">
        <v>10</v>
      </c>
      <c r="C48" s="20">
        <f t="shared" si="49"/>
        <v>0.22053422169446404</v>
      </c>
      <c r="D48" s="63"/>
      <c r="E48" s="63"/>
    </row>
    <row r="49" spans="2:5" x14ac:dyDescent="0.35">
      <c r="B49" s="15" t="s">
        <v>24</v>
      </c>
      <c r="C49" s="20">
        <f t="shared" si="49"/>
        <v>0.14912204431501902</v>
      </c>
      <c r="D49" s="63"/>
      <c r="E49" s="63"/>
    </row>
    <row r="50" spans="2:5" x14ac:dyDescent="0.35">
      <c r="B50" s="15" t="s">
        <v>13</v>
      </c>
      <c r="C50" s="20">
        <f t="shared" si="49"/>
        <v>0.13262334309823132</v>
      </c>
      <c r="D50" s="63"/>
      <c r="E50" s="63"/>
    </row>
    <row r="51" spans="2:5" x14ac:dyDescent="0.35">
      <c r="B51" s="15" t="s">
        <v>25</v>
      </c>
      <c r="C51" s="20">
        <f t="shared" si="49"/>
        <v>0.11958914275303938</v>
      </c>
      <c r="D51" s="63"/>
      <c r="E51" s="63"/>
    </row>
    <row r="52" spans="2:5" x14ac:dyDescent="0.35">
      <c r="B52" s="15" t="s">
        <v>8</v>
      </c>
      <c r="C52" s="20">
        <f t="shared" si="49"/>
        <v>9.589881967241666E-2</v>
      </c>
      <c r="D52" s="63"/>
      <c r="E52" s="63"/>
    </row>
    <row r="53" spans="2:5" x14ac:dyDescent="0.35">
      <c r="B53" s="5" t="s">
        <v>28</v>
      </c>
      <c r="C53" s="20">
        <f t="shared" si="49"/>
        <v>6.113427679453342E-2</v>
      </c>
      <c r="D53" s="63"/>
      <c r="E53" s="63"/>
    </row>
    <row r="54" spans="2:5" x14ac:dyDescent="0.35">
      <c r="B54" s="15" t="s">
        <v>15</v>
      </c>
      <c r="C54" s="20">
        <f t="shared" si="49"/>
        <v>2.4010123994349451E-2</v>
      </c>
      <c r="D54" s="63"/>
      <c r="E54" s="63"/>
    </row>
    <row r="55" spans="2:5" x14ac:dyDescent="0.35">
      <c r="B55" s="15" t="s">
        <v>14</v>
      </c>
      <c r="C55" s="20">
        <f t="shared" si="49"/>
        <v>1.1777211316717606E-2</v>
      </c>
      <c r="D55" s="63"/>
      <c r="E55" s="63"/>
    </row>
    <row r="56" spans="2:5" x14ac:dyDescent="0.35">
      <c r="B56" s="5" t="s">
        <v>27</v>
      </c>
      <c r="C56" s="20">
        <f t="shared" si="49"/>
        <v>1.9081568254924863E-3</v>
      </c>
      <c r="D56" s="63"/>
      <c r="E56" s="63"/>
    </row>
    <row r="57" spans="2:5" x14ac:dyDescent="0.35">
      <c r="B57" s="15" t="s">
        <v>18</v>
      </c>
      <c r="C57" s="20">
        <f t="shared" si="49"/>
        <v>-1.2839132555409622E-2</v>
      </c>
      <c r="D57" s="63"/>
      <c r="E57" s="63"/>
    </row>
    <row r="58" spans="2:5" x14ac:dyDescent="0.35">
      <c r="B58" s="15" t="s">
        <v>12</v>
      </c>
      <c r="C58" s="20">
        <f t="shared" si="49"/>
        <v>-1.3063206071365067E-2</v>
      </c>
      <c r="D58" s="63"/>
      <c r="E58" s="63"/>
    </row>
    <row r="59" spans="2:5" x14ac:dyDescent="0.35">
      <c r="B59" s="15" t="s">
        <v>11</v>
      </c>
      <c r="C59" s="20">
        <f t="shared" si="49"/>
        <v>-5.9987305755302207E-2</v>
      </c>
      <c r="D59" s="63"/>
      <c r="E59" s="63"/>
    </row>
    <row r="60" spans="2:5" x14ac:dyDescent="0.35">
      <c r="B60" s="15" t="s">
        <v>9</v>
      </c>
      <c r="C60" s="20">
        <f t="shared" si="49"/>
        <v>-6.3109136726209866E-2</v>
      </c>
      <c r="D60" s="63"/>
      <c r="E60" s="63"/>
    </row>
    <row r="61" spans="2:5" x14ac:dyDescent="0.35">
      <c r="B61" s="15" t="s">
        <v>26</v>
      </c>
      <c r="C61" s="20">
        <f t="shared" si="49"/>
        <v>-6.7914045606147305E-2</v>
      </c>
      <c r="D61" s="63"/>
      <c r="E61" s="63"/>
    </row>
    <row r="62" spans="2:5" x14ac:dyDescent="0.35">
      <c r="B62" s="15" t="s">
        <v>19</v>
      </c>
      <c r="C62" s="20">
        <f t="shared" si="49"/>
        <v>-7.0828836337462592E-2</v>
      </c>
      <c r="D62" s="63"/>
      <c r="E62" s="63"/>
    </row>
    <row r="63" spans="2:5" x14ac:dyDescent="0.35">
      <c r="B63" s="15" t="s">
        <v>23</v>
      </c>
      <c r="C63" s="20">
        <f t="shared" si="49"/>
        <v>-7.5999325496038675E-2</v>
      </c>
      <c r="D63" s="63"/>
      <c r="E63" s="63"/>
    </row>
    <row r="64" spans="2:5" x14ac:dyDescent="0.35">
      <c r="B64" s="15" t="s">
        <v>20</v>
      </c>
      <c r="C64" s="20">
        <f t="shared" si="49"/>
        <v>-9.9016649135173801E-2</v>
      </c>
      <c r="D64" s="63"/>
      <c r="E64" s="63"/>
    </row>
    <row r="65" spans="2:5" x14ac:dyDescent="0.35">
      <c r="B65" s="15" t="s">
        <v>5</v>
      </c>
      <c r="C65" s="20">
        <f t="shared" si="49"/>
        <v>-0.10219059474700004</v>
      </c>
      <c r="D65" s="63"/>
      <c r="E65" s="63"/>
    </row>
    <row r="66" spans="2:5" x14ac:dyDescent="0.35">
      <c r="B66" s="15" t="s">
        <v>17</v>
      </c>
      <c r="C66" s="20">
        <f t="shared" si="49"/>
        <v>-0.10990327909732772</v>
      </c>
      <c r="D66" s="63"/>
      <c r="E66" s="63"/>
    </row>
    <row r="67" spans="2:5" x14ac:dyDescent="0.35">
      <c r="B67" s="15" t="s">
        <v>6</v>
      </c>
      <c r="C67" s="20">
        <f t="shared" si="49"/>
        <v>-0.11554819214588398</v>
      </c>
      <c r="D67" s="63"/>
      <c r="E67" s="63"/>
    </row>
    <row r="68" spans="2:5" x14ac:dyDescent="0.35">
      <c r="B68" s="15" t="s">
        <v>21</v>
      </c>
      <c r="C68" s="20">
        <f t="shared" si="49"/>
        <v>-0.123277336943088</v>
      </c>
      <c r="D68" s="63"/>
      <c r="E68" s="63"/>
    </row>
    <row r="69" spans="2:5" x14ac:dyDescent="0.35">
      <c r="B69" s="15" t="s">
        <v>3</v>
      </c>
      <c r="C69" s="20">
        <f t="shared" si="49"/>
        <v>-0.14056877521330075</v>
      </c>
      <c r="D69" s="63"/>
      <c r="E69" s="63"/>
    </row>
    <row r="70" spans="2:5" x14ac:dyDescent="0.35">
      <c r="B70" s="15" t="s">
        <v>22</v>
      </c>
      <c r="C70" s="20">
        <f t="shared" si="49"/>
        <v>-0.18904977094294331</v>
      </c>
      <c r="D70" s="63"/>
      <c r="E70" s="63"/>
    </row>
  </sheetData>
  <sortState xmlns:xlrd2="http://schemas.microsoft.com/office/spreadsheetml/2017/richdata2" ref="B45:C70">
    <sortCondition descending="1" ref="C45:C70"/>
  </sortState>
  <phoneticPr fontId="14" type="noConversion"/>
  <conditionalFormatting sqref="C45:E7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:AH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9:BL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E6641-36DE-4DDD-9F95-44CA65C35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70</vt:i4>
      </vt:variant>
    </vt:vector>
  </HeadingPairs>
  <TitlesOfParts>
    <vt:vector size="79" baseType="lpstr">
      <vt:lpstr>DashBoard</vt:lpstr>
      <vt:lpstr>Raw Data</vt:lpstr>
      <vt:lpstr>Note</vt:lpstr>
      <vt:lpstr>Formatted Data</vt:lpstr>
      <vt:lpstr>contribution</vt:lpstr>
      <vt:lpstr>Y-o-y</vt:lpstr>
      <vt:lpstr>M-o-m</vt:lpstr>
      <vt:lpstr>Covid Impact</vt:lpstr>
      <vt:lpstr>Impact of crude oil prices </vt:lpstr>
      <vt:lpstr>April13</vt:lpstr>
      <vt:lpstr>April17</vt:lpstr>
      <vt:lpstr>April18</vt:lpstr>
      <vt:lpstr>April19</vt:lpstr>
      <vt:lpstr>April20</vt:lpstr>
      <vt:lpstr>April2021</vt:lpstr>
      <vt:lpstr>April2023</vt:lpstr>
      <vt:lpstr>April22</vt:lpstr>
      <vt:lpstr>August13</vt:lpstr>
      <vt:lpstr>August2019</vt:lpstr>
      <vt:lpstr>August2020</vt:lpstr>
      <vt:lpstr>August2021</vt:lpstr>
      <vt:lpstr>August22</vt:lpstr>
      <vt:lpstr>Category</vt:lpstr>
      <vt:lpstr>December19</vt:lpstr>
      <vt:lpstr>December2020</vt:lpstr>
      <vt:lpstr>December2021</vt:lpstr>
      <vt:lpstr>December22</vt:lpstr>
      <vt:lpstr>February13</vt:lpstr>
      <vt:lpstr>February17</vt:lpstr>
      <vt:lpstr>February2020</vt:lpstr>
      <vt:lpstr>February2021</vt:lpstr>
      <vt:lpstr>February2022</vt:lpstr>
      <vt:lpstr>February23</vt:lpstr>
      <vt:lpstr>January13</vt:lpstr>
      <vt:lpstr>January17</vt:lpstr>
      <vt:lpstr>January2020</vt:lpstr>
      <vt:lpstr>January2021</vt:lpstr>
      <vt:lpstr>January2022</vt:lpstr>
      <vt:lpstr>january23</vt:lpstr>
      <vt:lpstr>July2019</vt:lpstr>
      <vt:lpstr>July2020</vt:lpstr>
      <vt:lpstr>July2021</vt:lpstr>
      <vt:lpstr>July2022</vt:lpstr>
      <vt:lpstr>JulyM13</vt:lpstr>
      <vt:lpstr>June2019</vt:lpstr>
      <vt:lpstr>June2020</vt:lpstr>
      <vt:lpstr>June2021</vt:lpstr>
      <vt:lpstr>June22</vt:lpstr>
      <vt:lpstr>junemonth13</vt:lpstr>
      <vt:lpstr>March13</vt:lpstr>
      <vt:lpstr>March17</vt:lpstr>
      <vt:lpstr>March18</vt:lpstr>
      <vt:lpstr>March19</vt:lpstr>
      <vt:lpstr>March20</vt:lpstr>
      <vt:lpstr>March21</vt:lpstr>
      <vt:lpstr>March22</vt:lpstr>
      <vt:lpstr>March23</vt:lpstr>
      <vt:lpstr>maymonth13</vt:lpstr>
      <vt:lpstr>Maymonth17</vt:lpstr>
      <vt:lpstr>Maymonth19</vt:lpstr>
      <vt:lpstr>Maymonth20</vt:lpstr>
      <vt:lpstr>Maymonth21</vt:lpstr>
      <vt:lpstr>Maymonth22</vt:lpstr>
      <vt:lpstr>Maymonth23</vt:lpstr>
      <vt:lpstr>November19</vt:lpstr>
      <vt:lpstr>November2020</vt:lpstr>
      <vt:lpstr>November2021</vt:lpstr>
      <vt:lpstr>November22</vt:lpstr>
      <vt:lpstr>October19</vt:lpstr>
      <vt:lpstr>October2020</vt:lpstr>
      <vt:lpstr>October2021</vt:lpstr>
      <vt:lpstr>October22</vt:lpstr>
      <vt:lpstr>SECTOR</vt:lpstr>
      <vt:lpstr>Sept13</vt:lpstr>
      <vt:lpstr>Sept2021</vt:lpstr>
      <vt:lpstr>Sept22</vt:lpstr>
      <vt:lpstr>September19</vt:lpstr>
      <vt:lpstr>September2020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kumjam prasanthi</dc:creator>
  <cp:lastModifiedBy>kumjam prasanthi</cp:lastModifiedBy>
  <cp:lastPrinted>2025-04-02T10:22:34Z</cp:lastPrinted>
  <dcterms:created xsi:type="dcterms:W3CDTF">2025-01-27T12:23:35Z</dcterms:created>
  <dcterms:modified xsi:type="dcterms:W3CDTF">2025-05-21T10:29:36Z</dcterms:modified>
</cp:coreProperties>
</file>