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A712DDCC-09D4-40BE-AE1A-866EC13FFD0F}" xr6:coauthVersionLast="45" xr6:coauthVersionMax="45" xr10:uidLastSave="{00000000-0000-0000-0000-000000000000}"/>
  <bookViews>
    <workbookView xWindow="28680" yWindow="-120" windowWidth="29040" windowHeight="15840" firstSheet="1" activeTab="2" xr2:uid="{00000000-000D-0000-FFFF-FFFF00000000}"/>
  </bookViews>
  <sheets>
    <sheet name="Sheet1" sheetId="12" state="hidden" r:id="rId1"/>
    <sheet name="Wet_milling" sheetId="2" r:id="rId2"/>
    <sheet name="Dry_grind" sheetId="9" r:id="rId3"/>
  </sheets>
  <definedNames>
    <definedName name="_xlnm.Print_Area" localSheetId="1">Wet_milling!$B$1:$H$34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2" l="1"/>
  <c r="I38" i="2"/>
  <c r="F37" i="9" l="1"/>
  <c r="F27" i="9"/>
  <c r="G3" i="9" l="1"/>
  <c r="H3" i="9"/>
  <c r="E3" i="9"/>
  <c r="D3" i="9"/>
  <c r="H35" i="2"/>
  <c r="H37" i="2"/>
  <c r="H36" i="2"/>
  <c r="H40" i="2"/>
  <c r="G37" i="2"/>
  <c r="G36" i="2"/>
  <c r="G35" i="2"/>
  <c r="I36" i="2" l="1"/>
  <c r="I37" i="2"/>
  <c r="G40" i="2"/>
  <c r="I40" i="2" s="1"/>
  <c r="I35" i="2"/>
  <c r="H7" i="2"/>
  <c r="H28" i="2"/>
  <c r="H6" i="2"/>
  <c r="H8" i="2"/>
  <c r="G28" i="2"/>
  <c r="G8" i="2"/>
  <c r="G7" i="2"/>
  <c r="G29" i="2" s="1"/>
  <c r="G5" i="2"/>
  <c r="G27" i="2" s="1"/>
  <c r="G6" i="2"/>
  <c r="F28" i="9" l="1"/>
  <c r="F32" i="9" l="1"/>
  <c r="F41" i="9" l="1"/>
  <c r="F40" i="9"/>
  <c r="F38" i="9"/>
  <c r="F24" i="9"/>
  <c r="F36" i="9"/>
  <c r="F35" i="9"/>
  <c r="F29" i="9"/>
  <c r="F5" i="9"/>
  <c r="F20" i="9"/>
  <c r="G22" i="2"/>
  <c r="F22" i="2"/>
  <c r="F21" i="9"/>
  <c r="F22" i="9"/>
  <c r="F6" i="9"/>
  <c r="F7" i="9"/>
  <c r="G24" i="2"/>
  <c r="H30" i="2" l="1"/>
  <c r="H29" i="2"/>
  <c r="H27" i="2"/>
  <c r="G30" i="2"/>
  <c r="F23" i="2" l="1"/>
  <c r="H23" i="2" l="1"/>
  <c r="F24" i="2" l="1"/>
  <c r="F25" i="2" s="1"/>
  <c r="F25" i="9" l="1"/>
  <c r="F23" i="9" l="1"/>
  <c r="F33" i="9" l="1"/>
  <c r="F11" i="9" l="1"/>
  <c r="F9" i="9"/>
  <c r="D24" i="2"/>
  <c r="D25" i="2" s="1"/>
  <c r="F34" i="9" l="1"/>
  <c r="F10" i="9" l="1"/>
  <c r="D2" i="2" l="1"/>
  <c r="D22" i="2" s="1"/>
  <c r="H24" i="2" l="1"/>
  <c r="H25" i="2" s="1"/>
  <c r="H22" i="2"/>
  <c r="E24" i="2"/>
  <c r="E25" i="2" s="1"/>
  <c r="E23" i="2"/>
  <c r="D23" i="2"/>
  <c r="G25" i="2" l="1"/>
  <c r="G23" i="2"/>
  <c r="E2" i="2" l="1"/>
  <c r="E22" i="2" s="1"/>
</calcChain>
</file>

<file path=xl/sharedStrings.xml><?xml version="1.0" encoding="utf-8"?>
<sst xmlns="http://schemas.openxmlformats.org/spreadsheetml/2006/main" count="228" uniqueCount="110">
  <si>
    <t>Inputs</t>
  </si>
  <si>
    <t>Capital cost for P recovery unit ($)</t>
  </si>
  <si>
    <t>Operating cost for P recovery unit ($/year)</t>
  </si>
  <si>
    <t>Energy consumtpion</t>
  </si>
  <si>
    <t>Operational electricity for whole plant (kWh/kg corn grain)</t>
  </si>
  <si>
    <t>Operational natural gas for whole plant (MJ/kg corn grain)</t>
  </si>
  <si>
    <t>Water consumption</t>
  </si>
  <si>
    <t>Operational electricity for P recovery unit (kWh/MT corn grain)</t>
  </si>
  <si>
    <t>Operational natural gas for P recovery unit (MJ/MT corn grain)</t>
  </si>
  <si>
    <t>Operating cost for baseline ($/year)</t>
  </si>
  <si>
    <t>Capital cost for baseline ($)</t>
  </si>
  <si>
    <t>Amount of P in corn (% db)</t>
  </si>
  <si>
    <t>P content in CGF after P recovery (mg/g)</t>
  </si>
  <si>
    <t>P content in CGF without P recovery (mg/g)</t>
  </si>
  <si>
    <t>Ethanol (gallon / MT corn grain)</t>
  </si>
  <si>
    <t>DDGS (kg /MT corn grain)</t>
  </si>
  <si>
    <t>P content in DDGS without P recovery (mg/g)</t>
  </si>
  <si>
    <t>P content in DDGS after P recovery (mg/g)</t>
  </si>
  <si>
    <t>Baseline cost (no recovered P)</t>
  </si>
  <si>
    <t>Notation in Scenario</t>
  </si>
  <si>
    <t>Corn oil (kg/ MT corn grain)</t>
  </si>
  <si>
    <t xml:space="preserve">Product Outputs </t>
  </si>
  <si>
    <t>Direct fixed capital cost ($)</t>
  </si>
  <si>
    <t>Baseline revenue</t>
  </si>
  <si>
    <t>S1_0.67</t>
  </si>
  <si>
    <t>S1_0.84</t>
  </si>
  <si>
    <t>S1_0.95</t>
  </si>
  <si>
    <t>S2_0.67</t>
  </si>
  <si>
    <t>S2_0.84</t>
  </si>
  <si>
    <t>S2_0.95</t>
  </si>
  <si>
    <t>Operational electricity (kWh/kg corn grain)</t>
  </si>
  <si>
    <t>Operational natural gas (MJ/kg corn grain)</t>
  </si>
  <si>
    <t>Total cost for P recoery unit ($/kg P recovery)</t>
  </si>
  <si>
    <t>P related</t>
  </si>
  <si>
    <t>Product Output</t>
  </si>
  <si>
    <t>Recovered phosphorus unit</t>
  </si>
  <si>
    <t>Water usefor P recovery unit (m3/MT corn grain)</t>
  </si>
  <si>
    <t>Water use for whole plant (m3/MT corn grain)</t>
  </si>
  <si>
    <t>Base</t>
  </si>
  <si>
    <t>Capi</t>
  </si>
  <si>
    <t>DFC</t>
  </si>
  <si>
    <t>Oper</t>
  </si>
  <si>
    <t>Util</t>
  </si>
  <si>
    <t>Mater</t>
  </si>
  <si>
    <t>FDC</t>
  </si>
  <si>
    <t>reve</t>
  </si>
  <si>
    <t>Elec</t>
  </si>
  <si>
    <t>NG</t>
  </si>
  <si>
    <t>Water</t>
  </si>
  <si>
    <t xml:space="preserve">Total P </t>
  </si>
  <si>
    <t>P Complex</t>
  </si>
  <si>
    <t>P Recovery</t>
  </si>
  <si>
    <t>S1_5</t>
  </si>
  <si>
    <t>S2_5</t>
  </si>
  <si>
    <t>Category</t>
  </si>
  <si>
    <t>rP product</t>
  </si>
  <si>
    <t xml:space="preserve">Product outputs </t>
  </si>
  <si>
    <t>P complex recovered (kg/yr, Ca, N, Solubles)</t>
  </si>
  <si>
    <t>Plant capacity (MT corn/yr)</t>
  </si>
  <si>
    <t>Plant capacity (MT corn/hr)</t>
  </si>
  <si>
    <t>NA</t>
  </si>
  <si>
    <t>Water use (kg/kg corn grain)</t>
  </si>
  <si>
    <t>Operational electricity for entire model with P recovery unit  (kWh/MT corn grain)</t>
  </si>
  <si>
    <t>Operating cost for P recovery unit ($/yr)</t>
  </si>
  <si>
    <t>MT = metric ton</t>
  </si>
  <si>
    <t>Starch (MT starch /MT corn grain)</t>
  </si>
  <si>
    <t>Corn Gluten Feed (MT CGF/MT corn grain)</t>
  </si>
  <si>
    <t>Corn Gluten Meal (MT CGM/MT corn grain)</t>
  </si>
  <si>
    <t>Dried germ (MT/MT corn grain)</t>
  </si>
  <si>
    <t>P Reovered (kg/yr, phytin)</t>
  </si>
  <si>
    <t>Operational natural gas for entire model with P recovery unit (MJ/MT corn grain)</t>
  </si>
  <si>
    <t>recovered Phosphorus (phytin, kg/yr)</t>
  </si>
  <si>
    <t>recovered Phosphorus (complex, kg/yr)</t>
  </si>
  <si>
    <t>recovered Phosphorus (phytin, kg/kg corn grain)</t>
  </si>
  <si>
    <t>Total cost ($/kg P recovery)</t>
  </si>
  <si>
    <t>Baseline</t>
  </si>
  <si>
    <t>Cost change due to P recovery</t>
  </si>
  <si>
    <t>Direct fixed capital cost change (Δ$)</t>
  </si>
  <si>
    <t>Operating cost change for baseline (Δ$/yr)</t>
  </si>
  <si>
    <t>Utility cost change (Δ$/yr)</t>
  </si>
  <si>
    <t>Feedstock change (Δ$/yr)</t>
  </si>
  <si>
    <t>Facility-dependent cost change (Δ$/yr)</t>
  </si>
  <si>
    <t>Chemical cost change(Δ$/yr)</t>
  </si>
  <si>
    <t>Chemical cost ($/yr)</t>
  </si>
  <si>
    <t>Total Capital Investment for baseline ($)</t>
  </si>
  <si>
    <r>
      <t>Total Capital Investment change from baseline (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$)</t>
    </r>
  </si>
  <si>
    <t>Utility cost ($/yr)</t>
  </si>
  <si>
    <t>Feedstock cost ($/yr)</t>
  </si>
  <si>
    <t>Facility-dependent cost  ($/yr)</t>
  </si>
  <si>
    <r>
      <t>Total Capital Investment change from baseline (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$)</t>
    </r>
  </si>
  <si>
    <t>2.1M</t>
  </si>
  <si>
    <t>5.0M</t>
  </si>
  <si>
    <t>120M</t>
  </si>
  <si>
    <t>0.67M</t>
  </si>
  <si>
    <t>0.95M</t>
  </si>
  <si>
    <t>1.7M</t>
  </si>
  <si>
    <t>40M</t>
  </si>
  <si>
    <t>80M</t>
  </si>
  <si>
    <t>240M</t>
  </si>
  <si>
    <t>300M</t>
  </si>
  <si>
    <t>40M: capacity is 40 Million gallon/yr</t>
  </si>
  <si>
    <t>80M: capacity is 80 Million gallon/yr</t>
  </si>
  <si>
    <t>120M: capacity is 120 Million gallon/yr</t>
  </si>
  <si>
    <t>240M: capacity is 240 Million gallon/yr</t>
  </si>
  <si>
    <t>300M: capacity is 300 Million gallon/yr</t>
  </si>
  <si>
    <t>0.67M: capacity is 0.67 million ton/yr</t>
  </si>
  <si>
    <t>0.95M: capacity is 0.95 million ton/yr</t>
  </si>
  <si>
    <t>1.7M: capacity is 1.7 million ton/yr</t>
  </si>
  <si>
    <t>2.1M: capacity is 2.1 million ton/yr</t>
  </si>
  <si>
    <t>5.0M: capacity is 5.0 million ton/yr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</si>
</sst>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E+00"/>
    <numFmt numFmtId="165" formatCode="0.000"/>
    <numFmt numFmtId="166" formatCode="0.0"/>
    <numFmt numFmtId="167" formatCode="_(* #,##0.0_);_(* \(#,##0.0\);_(* &quot;-&quot;??_);_(@_)"/>
    <numFmt numFmtId="168" formatCode="0.0000"/>
    <numFmt numFmtId="169" formatCode="&quot;$&quot;#,##0"/>
    <numFmt numFmtId="170" formatCode="_(&quot;$&quot;* #,##0_);_(&quot;$&quot;* \(#,##0\);_(&quot;$&quot;* &quot;-&quot;??_);_(@_)"/>
    <numFmt numFmtId="171" formatCode="_(* #,##0_);_(* \(#,##0\);_(* &quot;-&quot;??_);_(@_)"/>
    <numFmt numFmtId="172" formatCode="&quot;$&quot;#,##0.0"/>
    <numFmt numFmtId="173" formatCode="0.00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Alignmen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/>
    </xf>
    <xf numFmtId="0" fontId="0" fillId="5" borderId="0" xfId="0" applyFill="1" applyAlignment="1">
      <alignment wrapText="1"/>
    </xf>
    <xf numFmtId="0" fontId="0" fillId="0" borderId="0" xfId="0" applyFill="1"/>
    <xf numFmtId="0" fontId="0" fillId="6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5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7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5" fillId="0" borderId="0" xfId="0" applyFont="1"/>
    <xf numFmtId="0" fontId="0" fillId="0" borderId="0" xfId="0" applyFill="1" applyAlignment="1">
      <alignment horizontal="left"/>
    </xf>
    <xf numFmtId="0" fontId="7" fillId="6" borderId="0" xfId="0" applyFont="1" applyFill="1" applyAlignment="1">
      <alignment horizontal="right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165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8" fontId="0" fillId="7" borderId="0" xfId="0" applyNumberForma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 wrapText="1"/>
    </xf>
    <xf numFmtId="165" fontId="2" fillId="5" borderId="0" xfId="0" applyNumberFormat="1" applyFont="1" applyFill="1" applyAlignment="1">
      <alignment horizontal="center" vertical="center"/>
    </xf>
    <xf numFmtId="168" fontId="0" fillId="7" borderId="0" xfId="0" applyNumberFormat="1" applyFill="1" applyAlignment="1">
      <alignment horizontal="center" wrapText="1"/>
    </xf>
    <xf numFmtId="168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3" borderId="0" xfId="0" applyFill="1" applyAlignment="1">
      <alignment horizontal="left"/>
    </xf>
    <xf numFmtId="0" fontId="1" fillId="0" borderId="0" xfId="0" applyFont="1" applyFill="1"/>
    <xf numFmtId="0" fontId="1" fillId="0" borderId="0" xfId="0" applyFont="1"/>
    <xf numFmtId="0" fontId="0" fillId="2" borderId="0" xfId="2" applyNumberFormat="1" applyFont="1" applyFill="1" applyAlignment="1">
      <alignment horizontal="center" wrapText="1"/>
    </xf>
    <xf numFmtId="0" fontId="0" fillId="2" borderId="0" xfId="2" applyNumberFormat="1" applyFont="1" applyFill="1" applyAlignment="1">
      <alignment horizontal="center"/>
    </xf>
    <xf numFmtId="0" fontId="0" fillId="3" borderId="0" xfId="2" applyNumberFormat="1" applyFont="1" applyFill="1" applyAlignment="1">
      <alignment horizontal="center"/>
    </xf>
    <xf numFmtId="169" fontId="0" fillId="5" borderId="0" xfId="3" applyNumberFormat="1" applyFont="1" applyFill="1" applyAlignment="1">
      <alignment horizontal="center" vertical="center" wrapText="1"/>
    </xf>
    <xf numFmtId="169" fontId="0" fillId="5" borderId="0" xfId="3" applyNumberFormat="1" applyFont="1" applyFill="1" applyAlignment="1">
      <alignment horizontal="center" vertical="center"/>
    </xf>
    <xf numFmtId="169" fontId="0" fillId="6" borderId="0" xfId="3" applyNumberFormat="1" applyFont="1" applyFill="1" applyAlignment="1">
      <alignment horizontal="center" wrapText="1"/>
    </xf>
    <xf numFmtId="169" fontId="0" fillId="6" borderId="0" xfId="3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72" fontId="0" fillId="5" borderId="0" xfId="3" applyNumberFormat="1" applyFont="1" applyFill="1" applyAlignment="1">
      <alignment horizontal="center" vertical="center" wrapText="1"/>
    </xf>
    <xf numFmtId="171" fontId="0" fillId="2" borderId="0" xfId="2" applyNumberFormat="1" applyFont="1" applyFill="1" applyAlignment="1">
      <alignment horizontal="center"/>
    </xf>
    <xf numFmtId="9" fontId="0" fillId="0" borderId="0" xfId="1" applyFont="1"/>
    <xf numFmtId="167" fontId="0" fillId="0" borderId="0" xfId="2" applyNumberFormat="1" applyFont="1"/>
    <xf numFmtId="173" fontId="0" fillId="3" borderId="0" xfId="0" applyNumberFormat="1" applyFill="1" applyAlignment="1">
      <alignment horizontal="center"/>
    </xf>
    <xf numFmtId="0" fontId="2" fillId="6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164" fontId="0" fillId="6" borderId="0" xfId="0" applyNumberFormat="1" applyFill="1" applyAlignment="1">
      <alignment horizontal="center" wrapText="1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9" fontId="0" fillId="6" borderId="0" xfId="1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169" fontId="0" fillId="6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 vertical="center" wrapText="1"/>
    </xf>
    <xf numFmtId="170" fontId="0" fillId="6" borderId="0" xfId="3" applyNumberFormat="1" applyFont="1" applyFill="1" applyAlignment="1">
      <alignment horizontal="center" wrapText="1"/>
    </xf>
    <xf numFmtId="0" fontId="9" fillId="6" borderId="0" xfId="0" applyFont="1" applyFill="1" applyAlignment="1">
      <alignment horizontal="right" wrapText="1"/>
    </xf>
    <xf numFmtId="169" fontId="10" fillId="6" borderId="0" xfId="3" applyNumberFormat="1" applyFont="1" applyFill="1" applyAlignment="1">
      <alignment horizontal="center" wrapText="1"/>
    </xf>
    <xf numFmtId="165" fontId="0" fillId="3" borderId="0" xfId="0" applyNumberForma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165" fontId="2" fillId="3" borderId="0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0" fillId="2" borderId="0" xfId="0" applyFont="1" applyFill="1" applyAlignment="1">
      <alignment wrapText="1"/>
    </xf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Alignment="1">
      <alignment wrapText="1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right"/>
    </xf>
    <xf numFmtId="0" fontId="2" fillId="4" borderId="0" xfId="0" applyFont="1" applyFill="1" applyAlignment="1">
      <alignment horizontal="left" vertical="center" wrapText="1"/>
    </xf>
    <xf numFmtId="165" fontId="0" fillId="4" borderId="0" xfId="0" applyNumberFormat="1" applyFont="1" applyFill="1" applyAlignment="1">
      <alignment horizontal="center"/>
    </xf>
    <xf numFmtId="1" fontId="0" fillId="4" borderId="0" xfId="0" applyNumberFormat="1" applyFont="1" applyFill="1" applyBorder="1" applyAlignment="1">
      <alignment horizontal="right"/>
    </xf>
    <xf numFmtId="0" fontId="2" fillId="7" borderId="0" xfId="0" applyFont="1" applyFill="1" applyAlignment="1">
      <alignment horizontal="left" vertical="center" wrapText="1"/>
    </xf>
    <xf numFmtId="168" fontId="0" fillId="7" borderId="0" xfId="0" applyNumberFormat="1" applyFont="1" applyFill="1" applyAlignment="1">
      <alignment horizontal="center"/>
    </xf>
    <xf numFmtId="1" fontId="0" fillId="7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left" vertical="center" wrapText="1"/>
    </xf>
    <xf numFmtId="2" fontId="0" fillId="5" borderId="0" xfId="0" applyNumberFormat="1" applyFont="1" applyFill="1" applyBorder="1" applyAlignment="1">
      <alignment horizontal="right"/>
    </xf>
    <xf numFmtId="0" fontId="0" fillId="6" borderId="0" xfId="0" applyFont="1" applyFill="1" applyAlignment="1">
      <alignment horizontal="left" wrapText="1"/>
    </xf>
    <xf numFmtId="1" fontId="0" fillId="6" borderId="0" xfId="0" applyNumberFormat="1" applyFont="1" applyFill="1" applyBorder="1" applyAlignment="1">
      <alignment horizontal="right"/>
    </xf>
    <xf numFmtId="0" fontId="0" fillId="3" borderId="0" xfId="0" applyFont="1" applyFill="1" applyAlignment="1"/>
    <xf numFmtId="168" fontId="0" fillId="3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left" vertical="center"/>
    </xf>
    <xf numFmtId="1" fontId="0" fillId="5" borderId="0" xfId="0" applyNumberFormat="1" applyFont="1" applyFill="1" applyBorder="1" applyAlignment="1">
      <alignment horizontal="right"/>
    </xf>
    <xf numFmtId="0" fontId="0" fillId="5" borderId="0" xfId="0" applyFont="1" applyFill="1" applyAlignment="1">
      <alignment vertical="top" wrapText="1"/>
    </xf>
    <xf numFmtId="165" fontId="0" fillId="5" borderId="0" xfId="0" applyNumberFormat="1" applyFont="1" applyFill="1" applyBorder="1" applyAlignment="1">
      <alignment horizontal="right" vertical="top"/>
    </xf>
    <xf numFmtId="0" fontId="0" fillId="3" borderId="0" xfId="0" applyFont="1" applyFill="1"/>
    <xf numFmtId="166" fontId="0" fillId="3" borderId="0" xfId="0" applyNumberFormat="1" applyFont="1" applyFill="1" applyBorder="1" applyAlignment="1">
      <alignment horizontal="center"/>
    </xf>
    <xf numFmtId="166" fontId="0" fillId="3" borderId="0" xfId="0" applyNumberFormat="1" applyFont="1" applyFill="1" applyBorder="1" applyAlignment="1">
      <alignment horizontal="right"/>
    </xf>
    <xf numFmtId="166" fontId="0" fillId="3" borderId="0" xfId="0" applyNumberFormat="1" applyFont="1" applyFill="1" applyBorder="1"/>
    <xf numFmtId="1" fontId="0" fillId="3" borderId="0" xfId="0" applyNumberFormat="1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right"/>
    </xf>
    <xf numFmtId="165" fontId="0" fillId="3" borderId="0" xfId="0" applyNumberFormat="1" applyFont="1" applyFill="1" applyBorder="1" applyAlignment="1">
      <alignment horizontal="right"/>
    </xf>
    <xf numFmtId="0" fontId="0" fillId="4" borderId="0" xfId="0" applyFont="1" applyFill="1" applyAlignment="1">
      <alignment horizontal="left" wrapText="1"/>
    </xf>
    <xf numFmtId="164" fontId="0" fillId="4" borderId="0" xfId="0" applyNumberFormat="1" applyFont="1" applyFill="1" applyAlignment="1">
      <alignment horizontal="center"/>
    </xf>
    <xf numFmtId="165" fontId="0" fillId="4" borderId="0" xfId="0" applyNumberFormat="1" applyFont="1" applyFill="1" applyBorder="1" applyAlignment="1">
      <alignment horizontal="right"/>
    </xf>
    <xf numFmtId="0" fontId="0" fillId="7" borderId="0" xfId="0" applyFont="1" applyFill="1" applyAlignment="1">
      <alignment horizontal="left" wrapText="1"/>
    </xf>
    <xf numFmtId="168" fontId="0" fillId="7" borderId="0" xfId="0" applyNumberFormat="1" applyFont="1" applyFill="1" applyBorder="1" applyAlignment="1">
      <alignment horizontal="right"/>
    </xf>
    <xf numFmtId="0" fontId="0" fillId="6" borderId="0" xfId="0" applyFont="1" applyFill="1" applyAlignment="1">
      <alignment wrapText="1"/>
    </xf>
    <xf numFmtId="164" fontId="0" fillId="6" borderId="0" xfId="0" applyNumberFormat="1" applyFont="1" applyFill="1" applyAlignment="1">
      <alignment horizontal="center" wrapText="1"/>
    </xf>
    <xf numFmtId="164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 wrapText="1"/>
    </xf>
    <xf numFmtId="0" fontId="0" fillId="6" borderId="0" xfId="0" applyFont="1" applyFill="1" applyAlignment="1">
      <alignment horizontal="center"/>
    </xf>
    <xf numFmtId="169" fontId="0" fillId="6" borderId="0" xfId="0" applyNumberFormat="1" applyFont="1" applyFill="1" applyAlignment="1">
      <alignment horizontal="center"/>
    </xf>
    <xf numFmtId="0" fontId="0" fillId="3" borderId="0" xfId="0" applyFont="1" applyFill="1" applyAlignment="1">
      <alignment vertical="center" wrapText="1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right" vertical="center"/>
    </xf>
    <xf numFmtId="11" fontId="0" fillId="3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wrapText="1"/>
    </xf>
    <xf numFmtId="2" fontId="4" fillId="5" borderId="0" xfId="0" applyNumberFormat="1" applyFont="1" applyFill="1" applyAlignment="1">
      <alignment horizontal="center" vertical="center" wrapText="1"/>
    </xf>
    <xf numFmtId="2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vertical="top" wrapText="1"/>
    </xf>
    <xf numFmtId="171" fontId="0" fillId="0" borderId="0" xfId="2" applyNumberFormat="1" applyFont="1" applyFill="1" applyAlignment="1">
      <alignment horizontal="center" wrapText="1"/>
    </xf>
    <xf numFmtId="171" fontId="0" fillId="3" borderId="0" xfId="2" applyNumberFormat="1" applyFont="1" applyFill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11" fontId="0" fillId="3" borderId="0" xfId="0" applyNumberFormat="1" applyFont="1" applyFill="1" applyBorder="1" applyAlignment="1">
      <alignment horizontal="center"/>
    </xf>
    <xf numFmtId="166" fontId="0" fillId="3" borderId="0" xfId="0" applyNumberFormat="1" applyFont="1" applyFill="1" applyAlignment="1">
      <alignment horizontal="center" wrapText="1"/>
    </xf>
    <xf numFmtId="164" fontId="0" fillId="6" borderId="0" xfId="1" applyNumberFormat="1" applyFont="1" applyFill="1" applyAlignment="1">
      <alignment horizontal="center" wrapText="1"/>
    </xf>
    <xf numFmtId="164" fontId="0" fillId="0" borderId="0" xfId="2" applyNumberFormat="1" applyFont="1" applyFill="1" applyAlignment="1">
      <alignment horizontal="center" wrapText="1"/>
    </xf>
    <xf numFmtId="164" fontId="0" fillId="0" borderId="0" xfId="2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3" fontId="0" fillId="0" borderId="0" xfId="0" applyNumberFormat="1"/>
    <xf numFmtId="168" fontId="0" fillId="0" borderId="0" xfId="0" applyNumberFormat="1"/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3" fontId="12" fillId="8" borderId="2" xfId="0" applyNumberFormat="1" applyFont="1" applyFill="1" applyBorder="1" applyAlignment="1">
      <alignment horizontal="left"/>
    </xf>
    <xf numFmtId="3" fontId="13" fillId="8" borderId="2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left"/>
    </xf>
    <xf numFmtId="3" fontId="15" fillId="8" borderId="2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166" fontId="0" fillId="0" borderId="0" xfId="0" applyNumberFormat="1"/>
    <xf numFmtId="170" fontId="1" fillId="6" borderId="0" xfId="3" applyNumberFormat="1" applyFont="1" applyFill="1" applyAlignment="1">
      <alignment horizontal="center" wrapText="1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BBC2-A698-4233-8EC3-E17E1252AEB6}">
  <dimension ref="B2:J28"/>
  <sheetViews>
    <sheetView workbookViewId="0">
      <selection activeCell="J4" sqref="J4:J10"/>
    </sheetView>
  </sheetViews>
  <sheetFormatPr defaultRowHeight="15" x14ac:dyDescent="0.25"/>
  <cols>
    <col min="2" max="2" width="10.42578125" bestFit="1" customWidth="1"/>
    <col min="3" max="10" width="13.7109375" bestFit="1" customWidth="1"/>
  </cols>
  <sheetData>
    <row r="2" spans="2:10" x14ac:dyDescent="0.25">
      <c r="B2" s="25"/>
      <c r="C2" s="157" t="s">
        <v>38</v>
      </c>
      <c r="D2" s="157"/>
      <c r="E2" s="157"/>
      <c r="F2" s="157"/>
      <c r="G2" s="157"/>
      <c r="H2" s="157"/>
    </row>
    <row r="3" spans="2:10" x14ac:dyDescent="0.25">
      <c r="B3" s="25"/>
      <c r="C3" s="26" t="s">
        <v>24</v>
      </c>
      <c r="D3" s="26" t="s">
        <v>25</v>
      </c>
      <c r="E3" s="26" t="s">
        <v>26</v>
      </c>
      <c r="F3" s="26" t="s">
        <v>27</v>
      </c>
      <c r="G3" s="26" t="s">
        <v>28</v>
      </c>
      <c r="H3" s="26" t="s">
        <v>29</v>
      </c>
      <c r="I3" s="26" t="s">
        <v>52</v>
      </c>
      <c r="J3" s="26" t="s">
        <v>53</v>
      </c>
    </row>
    <row r="4" spans="2:10" x14ac:dyDescent="0.25">
      <c r="B4" s="25" t="s">
        <v>39</v>
      </c>
      <c r="C4" s="25">
        <v>129390000</v>
      </c>
      <c r="D4" s="25">
        <v>129617000</v>
      </c>
      <c r="E4" s="25">
        <v>129808000</v>
      </c>
      <c r="F4" s="25">
        <v>129390000</v>
      </c>
      <c r="G4" s="25">
        <v>129623000</v>
      </c>
      <c r="H4" s="25">
        <v>129808000</v>
      </c>
      <c r="I4" s="25">
        <v>377532000</v>
      </c>
      <c r="J4" s="25">
        <v>377542000</v>
      </c>
    </row>
    <row r="5" spans="2:10" x14ac:dyDescent="0.25">
      <c r="B5" s="25" t="s">
        <v>40</v>
      </c>
      <c r="C5" s="25">
        <v>111860000</v>
      </c>
      <c r="D5" s="25">
        <v>109982000</v>
      </c>
      <c r="E5" s="25">
        <v>108767000</v>
      </c>
      <c r="F5" s="25">
        <v>111860000</v>
      </c>
      <c r="G5" s="25">
        <v>109988000</v>
      </c>
      <c r="H5" s="25">
        <v>108767000</v>
      </c>
      <c r="I5" s="25">
        <v>291006000</v>
      </c>
      <c r="J5" s="25">
        <v>291015000</v>
      </c>
    </row>
    <row r="6" spans="2:10" x14ac:dyDescent="0.25">
      <c r="B6" s="25" t="s">
        <v>41</v>
      </c>
      <c r="C6" s="25">
        <v>154837000</v>
      </c>
      <c r="D6" s="25">
        <v>178623000</v>
      </c>
      <c r="E6" s="25">
        <v>194510000</v>
      </c>
      <c r="F6" s="25">
        <v>154837000</v>
      </c>
      <c r="G6" s="25">
        <v>178625000</v>
      </c>
      <c r="H6" s="25">
        <v>194510000</v>
      </c>
      <c r="I6" s="25">
        <v>852491000</v>
      </c>
      <c r="J6" s="25">
        <v>852497000</v>
      </c>
    </row>
    <row r="7" spans="2:10" x14ac:dyDescent="0.25">
      <c r="B7" s="25" t="s">
        <v>42</v>
      </c>
      <c r="C7" s="25">
        <v>36975446</v>
      </c>
      <c r="D7" s="25">
        <v>38542020</v>
      </c>
      <c r="E7" s="25">
        <v>39596041</v>
      </c>
      <c r="F7" s="25">
        <v>36975446</v>
      </c>
      <c r="G7" s="25">
        <v>38542327</v>
      </c>
      <c r="H7" s="25">
        <v>39596041</v>
      </c>
      <c r="I7" s="25">
        <v>679950577</v>
      </c>
      <c r="J7" s="25">
        <v>109051669</v>
      </c>
    </row>
    <row r="8" spans="2:10" x14ac:dyDescent="0.25">
      <c r="B8" s="25" t="s">
        <v>43</v>
      </c>
      <c r="C8" s="25">
        <v>91603063</v>
      </c>
      <c r="D8" s="25">
        <v>114223021</v>
      </c>
      <c r="E8" s="25">
        <v>129303064</v>
      </c>
      <c r="F8" s="25">
        <v>91603065</v>
      </c>
      <c r="G8" s="25">
        <v>114223022</v>
      </c>
      <c r="H8" s="25">
        <v>129303063</v>
      </c>
      <c r="I8" s="25">
        <v>679950577</v>
      </c>
      <c r="J8" s="25">
        <v>679950571</v>
      </c>
    </row>
    <row r="9" spans="2:10" x14ac:dyDescent="0.25">
      <c r="B9" s="25" t="s">
        <v>44</v>
      </c>
      <c r="C9" s="25">
        <v>23116000</v>
      </c>
      <c r="D9" s="25">
        <v>22716000</v>
      </c>
      <c r="E9" s="25">
        <v>22468000</v>
      </c>
      <c r="F9" s="25">
        <v>23116000</v>
      </c>
      <c r="G9" s="25">
        <v>22717000</v>
      </c>
      <c r="H9" s="25">
        <v>22468000</v>
      </c>
      <c r="I9" s="25">
        <v>60350000</v>
      </c>
      <c r="J9" s="25">
        <v>60352000</v>
      </c>
    </row>
    <row r="10" spans="2:10" x14ac:dyDescent="0.25">
      <c r="B10" s="25" t="s">
        <v>45</v>
      </c>
      <c r="C10" s="25">
        <v>178944000</v>
      </c>
      <c r="D10" s="25">
        <v>223062000</v>
      </c>
      <c r="E10" s="25">
        <v>252474000</v>
      </c>
      <c r="F10" s="25">
        <v>178944000</v>
      </c>
      <c r="G10" s="25">
        <v>223062000</v>
      </c>
      <c r="H10" s="25">
        <v>252474000</v>
      </c>
      <c r="I10" s="25">
        <v>1327815000</v>
      </c>
      <c r="J10" s="25">
        <v>1327837000</v>
      </c>
    </row>
    <row r="11" spans="2:10" x14ac:dyDescent="0.25">
      <c r="B11" s="25" t="s">
        <v>46</v>
      </c>
      <c r="C11" s="25">
        <v>151846004</v>
      </c>
      <c r="D11" s="25">
        <v>156678010</v>
      </c>
      <c r="E11" s="25">
        <v>159987191</v>
      </c>
      <c r="F11" s="25">
        <v>151848466</v>
      </c>
      <c r="G11" s="25">
        <v>156679901</v>
      </c>
      <c r="H11" s="25">
        <v>159986023</v>
      </c>
      <c r="I11" s="25">
        <v>552854954</v>
      </c>
      <c r="J11" s="25">
        <v>552857139</v>
      </c>
    </row>
    <row r="12" spans="2:10" x14ac:dyDescent="0.25">
      <c r="B12" s="25" t="s">
        <v>47</v>
      </c>
      <c r="C12" s="25">
        <v>60135000</v>
      </c>
      <c r="D12" s="25">
        <v>63248000</v>
      </c>
      <c r="E12" s="25">
        <v>65323000</v>
      </c>
      <c r="F12" s="25">
        <v>60135000</v>
      </c>
      <c r="G12" s="25">
        <v>63249000</v>
      </c>
      <c r="H12" s="25">
        <v>65323000</v>
      </c>
      <c r="I12" s="25">
        <v>142172000</v>
      </c>
      <c r="J12" s="25">
        <v>142182000</v>
      </c>
    </row>
    <row r="13" spans="2:10" x14ac:dyDescent="0.25">
      <c r="B13" s="25" t="s">
        <v>48</v>
      </c>
      <c r="C13" s="25">
        <v>1073367031</v>
      </c>
      <c r="D13" s="25">
        <v>1072392812</v>
      </c>
      <c r="E13" s="25">
        <v>1071762026</v>
      </c>
      <c r="F13" s="25">
        <v>1073367461</v>
      </c>
      <c r="G13" s="25">
        <v>1072393128</v>
      </c>
      <c r="H13" s="25">
        <v>1071761814</v>
      </c>
      <c r="I13" s="25">
        <v>3036976765</v>
      </c>
      <c r="J13" s="25">
        <v>3036984817</v>
      </c>
    </row>
    <row r="14" spans="2:10" x14ac:dyDescent="0.25">
      <c r="B14" s="25" t="s">
        <v>49</v>
      </c>
      <c r="C14" s="25"/>
      <c r="D14" s="25"/>
      <c r="E14" s="25"/>
      <c r="F14" s="25"/>
      <c r="G14" s="25"/>
      <c r="H14" s="25"/>
      <c r="I14" s="25"/>
      <c r="J14" s="25"/>
    </row>
    <row r="15" spans="2:10" x14ac:dyDescent="0.25">
      <c r="B15" s="25" t="s">
        <v>50</v>
      </c>
      <c r="C15" s="25"/>
      <c r="D15" s="25"/>
      <c r="E15" s="25"/>
      <c r="F15" s="25"/>
      <c r="G15" s="25"/>
      <c r="H15" s="25"/>
      <c r="I15" s="25"/>
      <c r="J15" s="25"/>
    </row>
    <row r="16" spans="2:10" x14ac:dyDescent="0.25">
      <c r="B16" s="25"/>
      <c r="C16" s="25"/>
      <c r="D16" s="25"/>
      <c r="E16" s="25"/>
      <c r="F16" s="25"/>
      <c r="G16" s="25"/>
      <c r="H16" s="25"/>
      <c r="I16" s="25"/>
      <c r="J16" s="25"/>
    </row>
    <row r="17" spans="2:10" x14ac:dyDescent="0.25">
      <c r="B17" s="25"/>
      <c r="C17" s="25"/>
      <c r="D17" s="25"/>
      <c r="E17" s="25"/>
      <c r="F17" s="25"/>
      <c r="G17" s="25"/>
      <c r="H17" s="25"/>
      <c r="I17" s="25"/>
      <c r="J17" s="25"/>
    </row>
    <row r="18" spans="2:10" x14ac:dyDescent="0.25">
      <c r="B18" s="25"/>
      <c r="C18" s="25"/>
      <c r="D18" s="25"/>
      <c r="E18" s="25"/>
      <c r="F18" s="25"/>
      <c r="G18" s="25"/>
      <c r="H18" s="25"/>
      <c r="I18" s="25"/>
      <c r="J18" s="25"/>
    </row>
    <row r="19" spans="2:10" x14ac:dyDescent="0.25">
      <c r="B19" s="25"/>
      <c r="C19" s="157" t="s">
        <v>51</v>
      </c>
      <c r="D19" s="157"/>
      <c r="E19" s="157"/>
      <c r="F19" s="157"/>
      <c r="G19" s="157"/>
      <c r="H19" s="157"/>
      <c r="I19" s="25"/>
      <c r="J19" s="25"/>
    </row>
    <row r="20" spans="2:10" x14ac:dyDescent="0.25">
      <c r="B20" s="25"/>
      <c r="C20" s="26" t="s">
        <v>24</v>
      </c>
      <c r="D20" s="26" t="s">
        <v>25</v>
      </c>
      <c r="E20" s="26" t="s">
        <v>26</v>
      </c>
      <c r="F20" s="26" t="s">
        <v>27</v>
      </c>
      <c r="G20" s="26" t="s">
        <v>28</v>
      </c>
      <c r="H20" s="26" t="s">
        <v>29</v>
      </c>
      <c r="I20" s="26" t="s">
        <v>52</v>
      </c>
      <c r="J20" s="26" t="s">
        <v>53</v>
      </c>
    </row>
    <row r="21" spans="2:10" x14ac:dyDescent="0.25">
      <c r="B21" s="25" t="s">
        <v>39</v>
      </c>
      <c r="C21" s="25">
        <v>136126000</v>
      </c>
      <c r="D21" s="25">
        <v>136163000</v>
      </c>
      <c r="E21" s="25">
        <v>136085000</v>
      </c>
      <c r="F21" s="25">
        <v>136126000</v>
      </c>
      <c r="G21" s="25">
        <v>136173000</v>
      </c>
      <c r="H21" s="25">
        <v>136090000</v>
      </c>
      <c r="I21" s="25">
        <v>398901000</v>
      </c>
      <c r="J21" s="25">
        <v>398997000</v>
      </c>
    </row>
    <row r="22" spans="2:10" x14ac:dyDescent="0.25">
      <c r="B22" s="25" t="s">
        <v>41</v>
      </c>
      <c r="C22" s="25">
        <v>157034000</v>
      </c>
      <c r="D22" s="25">
        <v>180914000</v>
      </c>
      <c r="E22" s="25">
        <v>196805000</v>
      </c>
      <c r="F22" s="25">
        <v>157034000</v>
      </c>
      <c r="G22" s="25">
        <v>181029000</v>
      </c>
      <c r="H22" s="25">
        <v>196962000</v>
      </c>
      <c r="I22" s="25">
        <v>862274000</v>
      </c>
      <c r="J22" s="25">
        <v>863122000</v>
      </c>
    </row>
    <row r="23" spans="2:10" x14ac:dyDescent="0.25">
      <c r="B23" s="25" t="s">
        <v>45</v>
      </c>
      <c r="C23" s="25">
        <v>179035000</v>
      </c>
      <c r="D23" s="25">
        <v>223214000</v>
      </c>
      <c r="E23" s="25">
        <v>252667000</v>
      </c>
      <c r="F23" s="25">
        <v>179035000</v>
      </c>
      <c r="G23" s="25">
        <v>223291000</v>
      </c>
      <c r="H23" s="25">
        <v>252778000</v>
      </c>
      <c r="I23" s="25">
        <v>1328732000</v>
      </c>
      <c r="J23" s="25">
        <v>1329324000</v>
      </c>
    </row>
    <row r="24" spans="2:10" x14ac:dyDescent="0.25">
      <c r="B24" s="25" t="s">
        <v>46</v>
      </c>
      <c r="C24" s="25">
        <v>152283827</v>
      </c>
      <c r="D24" s="25">
        <v>157234005</v>
      </c>
      <c r="E24" s="25">
        <v>160426137</v>
      </c>
      <c r="F24" s="25">
        <v>152288709</v>
      </c>
      <c r="G24" s="25">
        <v>157232800</v>
      </c>
      <c r="H24" s="25">
        <v>160415827</v>
      </c>
      <c r="I24" s="25">
        <v>553905073</v>
      </c>
      <c r="J24" s="25">
        <v>553918748</v>
      </c>
    </row>
    <row r="25" spans="2:10" x14ac:dyDescent="0.25">
      <c r="B25" s="25" t="s">
        <v>47</v>
      </c>
      <c r="C25" s="25">
        <v>60302000</v>
      </c>
      <c r="D25" s="25">
        <v>63448000</v>
      </c>
      <c r="E25" s="25">
        <v>65547000</v>
      </c>
      <c r="F25" s="25">
        <v>60295000</v>
      </c>
      <c r="G25" s="25">
        <v>63441000</v>
      </c>
      <c r="H25" s="25">
        <v>65534000</v>
      </c>
      <c r="I25" s="25">
        <v>143443000</v>
      </c>
      <c r="J25" s="25">
        <v>143383000</v>
      </c>
    </row>
    <row r="26" spans="2:10" x14ac:dyDescent="0.25">
      <c r="B26" s="25" t="s">
        <v>48</v>
      </c>
      <c r="C26" s="25">
        <v>1073367158</v>
      </c>
      <c r="D26" s="25">
        <v>1072415045</v>
      </c>
      <c r="E26" s="25">
        <v>1071764519</v>
      </c>
      <c r="F26" s="25">
        <v>1073367994</v>
      </c>
      <c r="G26" s="25">
        <v>1072414816</v>
      </c>
      <c r="H26" s="25">
        <v>1071762048</v>
      </c>
      <c r="I26" s="25">
        <v>3041073326</v>
      </c>
      <c r="J26" s="25">
        <v>3040915152</v>
      </c>
    </row>
    <row r="27" spans="2:10" x14ac:dyDescent="0.25">
      <c r="B27" s="25" t="s">
        <v>49</v>
      </c>
      <c r="C27" s="25"/>
      <c r="D27" s="25"/>
      <c r="E27" s="25"/>
      <c r="F27" s="25"/>
      <c r="G27" s="25"/>
      <c r="H27" s="25"/>
      <c r="I27" s="25"/>
      <c r="J27" s="25"/>
    </row>
    <row r="28" spans="2:10" x14ac:dyDescent="0.25">
      <c r="B28" s="25" t="s">
        <v>50</v>
      </c>
      <c r="C28" s="25"/>
      <c r="D28" s="25"/>
      <c r="E28" s="25"/>
      <c r="F28" s="25"/>
      <c r="G28" s="25"/>
      <c r="H28" s="25"/>
      <c r="I28" s="25"/>
      <c r="J28" s="25"/>
    </row>
  </sheetData>
  <mergeCells count="2">
    <mergeCell ref="C2:H2"/>
    <mergeCell ref="C19:H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"/>
  <sheetViews>
    <sheetView zoomScale="80" zoomScaleNormal="80" workbookViewId="0">
      <selection activeCell="J7" sqref="J2:J7"/>
    </sheetView>
  </sheetViews>
  <sheetFormatPr defaultRowHeight="15.75" x14ac:dyDescent="0.25"/>
  <cols>
    <col min="1" max="1" width="21.7109375" customWidth="1"/>
    <col min="2" max="2" width="29.5703125" style="22" customWidth="1"/>
    <col min="3" max="3" width="61.28515625" customWidth="1"/>
    <col min="4" max="4" width="18.7109375" style="5" bestFit="1" customWidth="1"/>
    <col min="5" max="6" width="16" style="5" bestFit="1" customWidth="1"/>
    <col min="7" max="7" width="13.85546875" style="5" bestFit="1" customWidth="1"/>
    <col min="8" max="8" width="13.5703125" style="5" bestFit="1" customWidth="1"/>
    <col min="10" max="10" width="33.140625" bestFit="1" customWidth="1"/>
    <col min="11" max="11" width="12" bestFit="1" customWidth="1"/>
  </cols>
  <sheetData>
    <row r="1" spans="1:10" x14ac:dyDescent="0.25">
      <c r="C1" s="145" t="s">
        <v>54</v>
      </c>
      <c r="D1" s="146" t="s">
        <v>93</v>
      </c>
      <c r="E1" s="146" t="s">
        <v>94</v>
      </c>
      <c r="F1" s="146" t="s">
        <v>95</v>
      </c>
      <c r="G1" s="146" t="s">
        <v>90</v>
      </c>
      <c r="H1" s="146" t="s">
        <v>91</v>
      </c>
      <c r="J1" s="9" t="s">
        <v>19</v>
      </c>
    </row>
    <row r="2" spans="1:10" ht="15" customHeight="1" x14ac:dyDescent="0.25">
      <c r="A2" s="158" t="s">
        <v>75</v>
      </c>
      <c r="B2" s="27" t="s">
        <v>0</v>
      </c>
      <c r="C2" s="3" t="s">
        <v>58</v>
      </c>
      <c r="D2" s="49">
        <f>D3*24*330</f>
        <v>673200</v>
      </c>
      <c r="E2" s="50">
        <f t="shared" ref="E2" si="0">E3*24*330</f>
        <v>950400</v>
      </c>
      <c r="F2" s="59">
        <v>1702800</v>
      </c>
      <c r="G2" s="50">
        <v>2098800</v>
      </c>
      <c r="H2" s="50">
        <v>4997520</v>
      </c>
      <c r="J2" t="s">
        <v>105</v>
      </c>
    </row>
    <row r="3" spans="1:10" ht="15" customHeight="1" x14ac:dyDescent="0.25">
      <c r="A3" s="158"/>
      <c r="B3" s="27" t="s">
        <v>0</v>
      </c>
      <c r="C3" s="3" t="s">
        <v>59</v>
      </c>
      <c r="D3" s="33">
        <v>85</v>
      </c>
      <c r="E3" s="34">
        <v>120</v>
      </c>
      <c r="F3" s="34">
        <v>215</v>
      </c>
      <c r="G3" s="34">
        <v>265</v>
      </c>
      <c r="H3" s="34">
        <v>631</v>
      </c>
      <c r="J3" t="s">
        <v>106</v>
      </c>
    </row>
    <row r="4" spans="1:10" ht="15" customHeight="1" x14ac:dyDescent="0.25">
      <c r="A4" s="158"/>
      <c r="B4" s="27" t="s">
        <v>0</v>
      </c>
      <c r="C4" s="3" t="s">
        <v>11</v>
      </c>
      <c r="D4" s="33">
        <v>0.26</v>
      </c>
      <c r="E4" s="34">
        <v>0.26</v>
      </c>
      <c r="F4" s="34">
        <v>0.26</v>
      </c>
      <c r="G4" s="34">
        <v>0.26</v>
      </c>
      <c r="H4" s="34">
        <v>0.26</v>
      </c>
      <c r="J4" t="s">
        <v>107</v>
      </c>
    </row>
    <row r="5" spans="1:10" ht="15" customHeight="1" x14ac:dyDescent="0.25">
      <c r="A5" s="158"/>
      <c r="B5" s="28" t="s">
        <v>56</v>
      </c>
      <c r="C5" s="4" t="s">
        <v>65</v>
      </c>
      <c r="D5" s="24">
        <v>0.55500000000000005</v>
      </c>
      <c r="E5" s="24">
        <v>0.55500000000000005</v>
      </c>
      <c r="F5" s="24">
        <v>0.55500000000000005</v>
      </c>
      <c r="G5" s="142">
        <f>1162619766/G2/1000</f>
        <v>0.55394500000000002</v>
      </c>
      <c r="H5" s="24">
        <v>0.55500000000000005</v>
      </c>
      <c r="J5" t="s">
        <v>108</v>
      </c>
    </row>
    <row r="6" spans="1:10" ht="15" customHeight="1" x14ac:dyDescent="0.25">
      <c r="A6" s="158"/>
      <c r="B6" s="28" t="s">
        <v>56</v>
      </c>
      <c r="C6" s="4" t="s">
        <v>66</v>
      </c>
      <c r="D6" s="24">
        <v>0.159</v>
      </c>
      <c r="E6" s="24">
        <v>0.159</v>
      </c>
      <c r="F6" s="24">
        <v>0.159</v>
      </c>
      <c r="G6" s="142">
        <f>417768/G2</f>
        <v>0.19905088622069755</v>
      </c>
      <c r="H6" s="142">
        <f>995232/H2</f>
        <v>0.19914517600729961</v>
      </c>
      <c r="J6" t="s">
        <v>109</v>
      </c>
    </row>
    <row r="7" spans="1:10" ht="15" customHeight="1" x14ac:dyDescent="0.25">
      <c r="A7" s="158"/>
      <c r="B7" s="28" t="s">
        <v>56</v>
      </c>
      <c r="C7" s="4" t="s">
        <v>67</v>
      </c>
      <c r="D7" s="24">
        <v>5.1999999999999998E-2</v>
      </c>
      <c r="E7" s="24">
        <v>5.1999999999999998E-2</v>
      </c>
      <c r="F7" s="24">
        <v>5.1999999999999998E-2</v>
      </c>
      <c r="G7" s="142">
        <f>132916/G2</f>
        <v>6.3329521631408425E-2</v>
      </c>
      <c r="H7" s="142">
        <f>316647/H2</f>
        <v>6.3360826970177211E-2</v>
      </c>
      <c r="J7" t="s">
        <v>64</v>
      </c>
    </row>
    <row r="8" spans="1:10" ht="15" customHeight="1" x14ac:dyDescent="0.25">
      <c r="A8" s="158"/>
      <c r="B8" s="28" t="s">
        <v>56</v>
      </c>
      <c r="C8" s="4" t="s">
        <v>68</v>
      </c>
      <c r="D8" s="24">
        <v>6.5000000000000002E-2</v>
      </c>
      <c r="E8" s="24">
        <v>6.5000000000000002E-2</v>
      </c>
      <c r="F8" s="24">
        <v>6.5000000000000002E-2</v>
      </c>
      <c r="G8" s="142">
        <f>139948954/1000/G2</f>
        <v>6.6680462168858395E-2</v>
      </c>
      <c r="H8" s="142">
        <f>333402311/1000/H2</f>
        <v>6.671355212185244E-2</v>
      </c>
    </row>
    <row r="9" spans="1:10" ht="15" customHeight="1" x14ac:dyDescent="0.25">
      <c r="A9" s="158"/>
      <c r="B9" s="29" t="s">
        <v>3</v>
      </c>
      <c r="C9" s="12" t="s">
        <v>30</v>
      </c>
      <c r="D9" s="35">
        <v>0.22559999999999999</v>
      </c>
      <c r="E9" s="35">
        <v>0.16880000000000001</v>
      </c>
      <c r="F9" s="37">
        <v>0.140793</v>
      </c>
      <c r="G9" s="37">
        <v>0.13250000000000001</v>
      </c>
      <c r="H9" s="37">
        <v>0.111</v>
      </c>
      <c r="J9" s="7"/>
    </row>
    <row r="10" spans="1:10" s="7" customFormat="1" ht="15" customHeight="1" x14ac:dyDescent="0.25">
      <c r="A10" s="158"/>
      <c r="B10" s="29" t="s">
        <v>3</v>
      </c>
      <c r="C10" s="12" t="s">
        <v>31</v>
      </c>
      <c r="D10" s="35">
        <v>8.9330000000000007E-2</v>
      </c>
      <c r="E10" s="35">
        <v>6.8729999999999999E-2</v>
      </c>
      <c r="F10" s="36">
        <v>4.6778E-2</v>
      </c>
      <c r="G10" s="36">
        <v>4.1500000000000002E-2</v>
      </c>
      <c r="H10" s="36">
        <v>2.8400000000000002E-2</v>
      </c>
    </row>
    <row r="11" spans="1:10" s="7" customFormat="1" ht="15" customHeight="1" x14ac:dyDescent="0.25">
      <c r="A11" s="158"/>
      <c r="B11" s="30" t="s">
        <v>6</v>
      </c>
      <c r="C11" s="13" t="s">
        <v>37</v>
      </c>
      <c r="D11" s="38">
        <v>1.5940000000000001</v>
      </c>
      <c r="E11" s="38">
        <v>1.1279999999999999</v>
      </c>
      <c r="F11" s="39">
        <v>0.86899999999999999</v>
      </c>
      <c r="G11" s="39">
        <v>0.79500000000000004</v>
      </c>
      <c r="H11" s="39">
        <v>0.60799999999999998</v>
      </c>
      <c r="J11" s="48"/>
    </row>
    <row r="12" spans="1:10" s="47" customFormat="1" ht="15" customHeight="1" x14ac:dyDescent="0.25">
      <c r="A12" s="158"/>
      <c r="B12" s="128" t="s">
        <v>33</v>
      </c>
      <c r="C12" s="129" t="s">
        <v>13</v>
      </c>
      <c r="D12" s="130">
        <v>11.83</v>
      </c>
      <c r="E12" s="131">
        <v>11.94</v>
      </c>
      <c r="F12" s="132">
        <v>11.9</v>
      </c>
      <c r="G12" s="132">
        <v>11.92</v>
      </c>
      <c r="H12" s="132">
        <v>11.89</v>
      </c>
      <c r="J12" s="17"/>
    </row>
    <row r="13" spans="1:10" s="7" customFormat="1" ht="15" customHeight="1" thickBot="1" x14ac:dyDescent="0.3">
      <c r="A13" s="158"/>
      <c r="B13" s="31" t="s">
        <v>18</v>
      </c>
      <c r="C13" s="8" t="s">
        <v>84</v>
      </c>
      <c r="D13" s="54">
        <v>129390000</v>
      </c>
      <c r="E13" s="54">
        <v>129808000</v>
      </c>
      <c r="F13" s="54">
        <v>188545000</v>
      </c>
      <c r="G13" s="152">
        <v>208666000</v>
      </c>
      <c r="H13" s="152">
        <v>403081000</v>
      </c>
      <c r="J13" s="17"/>
    </row>
    <row r="14" spans="1:10" s="7" customFormat="1" ht="15" customHeight="1" thickBot="1" x14ac:dyDescent="0.3">
      <c r="A14" s="158"/>
      <c r="B14" s="31" t="s">
        <v>18</v>
      </c>
      <c r="C14" s="19" t="s">
        <v>22</v>
      </c>
      <c r="D14" s="54">
        <v>111860000</v>
      </c>
      <c r="E14" s="54">
        <v>108767000</v>
      </c>
      <c r="F14" s="55">
        <v>154659000</v>
      </c>
      <c r="G14" s="153">
        <v>167667000</v>
      </c>
      <c r="H14" s="153">
        <v>310377000</v>
      </c>
    </row>
    <row r="15" spans="1:10" s="7" customFormat="1" ht="15" customHeight="1" thickBot="1" x14ac:dyDescent="0.3">
      <c r="A15" s="158"/>
      <c r="B15" s="31" t="s">
        <v>18</v>
      </c>
      <c r="C15" s="8" t="s">
        <v>9</v>
      </c>
      <c r="D15" s="54">
        <v>154837000</v>
      </c>
      <c r="E15" s="54">
        <v>194510000</v>
      </c>
      <c r="F15" s="54">
        <v>320099000</v>
      </c>
      <c r="G15" s="54">
        <v>408195000</v>
      </c>
      <c r="H15" s="54">
        <v>913793935</v>
      </c>
    </row>
    <row r="16" spans="1:10" s="7" customFormat="1" ht="15" customHeight="1" thickBot="1" x14ac:dyDescent="0.3">
      <c r="A16" s="158"/>
      <c r="B16" s="31" t="s">
        <v>18</v>
      </c>
      <c r="C16" s="19" t="s">
        <v>86</v>
      </c>
      <c r="D16" s="54">
        <v>36975446</v>
      </c>
      <c r="E16" s="54">
        <v>39596041</v>
      </c>
      <c r="F16" s="55">
        <v>53271006</v>
      </c>
      <c r="G16" s="150">
        <v>66096000</v>
      </c>
      <c r="H16" s="150">
        <v>155577412</v>
      </c>
      <c r="J16"/>
    </row>
    <row r="17" spans="1:11" ht="15" customHeight="1" thickBot="1" x14ac:dyDescent="0.3">
      <c r="A17" s="158"/>
      <c r="B17" s="31" t="s">
        <v>18</v>
      </c>
      <c r="C17" s="19" t="s">
        <v>87</v>
      </c>
      <c r="D17" s="54">
        <v>91603063</v>
      </c>
      <c r="E17" s="54">
        <v>129303064</v>
      </c>
      <c r="F17" s="55">
        <v>231678864</v>
      </c>
      <c r="G17" s="149">
        <v>289907244</v>
      </c>
      <c r="H17" s="149">
        <v>690307438</v>
      </c>
      <c r="I17" s="7"/>
    </row>
    <row r="18" spans="1:11" ht="15" customHeight="1" thickBot="1" x14ac:dyDescent="0.3">
      <c r="A18" s="158"/>
      <c r="B18" s="31" t="s">
        <v>18</v>
      </c>
      <c r="C18" s="19" t="s">
        <v>88</v>
      </c>
      <c r="D18" s="54">
        <v>23116000</v>
      </c>
      <c r="E18" s="54">
        <v>22468000</v>
      </c>
      <c r="F18" s="55">
        <v>32007000</v>
      </c>
      <c r="G18" s="151">
        <v>49018000</v>
      </c>
      <c r="H18" s="150">
        <v>64349000</v>
      </c>
      <c r="I18" s="7"/>
      <c r="J18" s="48"/>
    </row>
    <row r="19" spans="1:11" s="48" customFormat="1" ht="15" customHeight="1" x14ac:dyDescent="0.25">
      <c r="A19" s="158"/>
      <c r="B19" s="65" t="s">
        <v>18</v>
      </c>
      <c r="C19" s="76" t="s">
        <v>83</v>
      </c>
      <c r="D19" s="77"/>
      <c r="E19" s="77"/>
      <c r="F19" s="77"/>
      <c r="G19" s="149">
        <v>68645</v>
      </c>
      <c r="H19" s="149">
        <v>162544</v>
      </c>
      <c r="I19" s="7"/>
      <c r="J19"/>
    </row>
    <row r="20" spans="1:11" ht="15.75" customHeight="1" x14ac:dyDescent="0.25">
      <c r="A20" s="158" t="s">
        <v>35</v>
      </c>
      <c r="B20" s="28" t="s">
        <v>55</v>
      </c>
      <c r="C20" s="46" t="s">
        <v>69</v>
      </c>
      <c r="D20" s="51">
        <v>1047542</v>
      </c>
      <c r="E20" s="51">
        <v>1478883</v>
      </c>
      <c r="F20" s="51">
        <v>2649436</v>
      </c>
      <c r="G20" s="135">
        <v>3265312</v>
      </c>
      <c r="H20" s="135">
        <v>7774427</v>
      </c>
    </row>
    <row r="21" spans="1:11" ht="15.75" customHeight="1" x14ac:dyDescent="0.25">
      <c r="A21" s="158"/>
      <c r="B21" s="28" t="s">
        <v>55</v>
      </c>
      <c r="C21" s="46" t="s">
        <v>57</v>
      </c>
      <c r="D21" s="51">
        <v>3970563</v>
      </c>
      <c r="E21" s="51">
        <v>5609572</v>
      </c>
      <c r="F21" s="51">
        <v>10049485</v>
      </c>
      <c r="G21" s="51">
        <v>12385417</v>
      </c>
      <c r="H21" s="135">
        <v>29467770</v>
      </c>
      <c r="J21" s="60"/>
    </row>
    <row r="22" spans="1:11" ht="16.5" customHeight="1" x14ac:dyDescent="0.25">
      <c r="A22" s="158"/>
      <c r="B22" s="28" t="s">
        <v>55</v>
      </c>
      <c r="C22" s="23" t="s">
        <v>73</v>
      </c>
      <c r="D22" s="62">
        <f t="shared" ref="D22:H22" si="1">D20/(D2*1000)</f>
        <v>1.5560635769459299E-3</v>
      </c>
      <c r="E22" s="62">
        <f t="shared" si="1"/>
        <v>1.5560637626262626E-3</v>
      </c>
      <c r="F22" s="62">
        <f t="shared" si="1"/>
        <v>1.5559290580220812E-3</v>
      </c>
      <c r="G22" s="62">
        <f t="shared" si="1"/>
        <v>1.5557995044787499E-3</v>
      </c>
      <c r="H22" s="62">
        <f t="shared" si="1"/>
        <v>1.5556570058749141E-3</v>
      </c>
      <c r="J22" s="60"/>
    </row>
    <row r="23" spans="1:11" ht="15" customHeight="1" x14ac:dyDescent="0.25">
      <c r="A23" s="158"/>
      <c r="B23" s="32" t="s">
        <v>33</v>
      </c>
      <c r="C23" s="6" t="s">
        <v>1</v>
      </c>
      <c r="D23" s="52">
        <f>Sheet1!C21-Sheet1!C4</f>
        <v>6736000</v>
      </c>
      <c r="E23" s="52">
        <f>Sheet1!E21-Sheet1!E4</f>
        <v>6277000</v>
      </c>
      <c r="F23" s="53">
        <f>199375000-F13</f>
        <v>10830000</v>
      </c>
      <c r="G23" s="53">
        <f>222965000-G13</f>
        <v>14299000</v>
      </c>
      <c r="H23" s="53">
        <f>Sheet1!J21-Sheet1!J4</f>
        <v>21455000</v>
      </c>
      <c r="J23" s="60"/>
    </row>
    <row r="24" spans="1:11" ht="15" customHeight="1" x14ac:dyDescent="0.25">
      <c r="A24" s="158"/>
      <c r="B24" s="32" t="s">
        <v>33</v>
      </c>
      <c r="C24" s="6" t="s">
        <v>2</v>
      </c>
      <c r="D24" s="52">
        <f>Sheet1!C22-Sheet1!C6</f>
        <v>2197000</v>
      </c>
      <c r="E24" s="52">
        <f>Sheet1!E22-Sheet1!E6</f>
        <v>2295000</v>
      </c>
      <c r="F24" s="53">
        <f>324155000-F15</f>
        <v>4056000</v>
      </c>
      <c r="G24" s="53">
        <f>388768000-G15</f>
        <v>-19427000</v>
      </c>
      <c r="H24" s="53">
        <f>Sheet1!I22-Sheet1!I6</f>
        <v>9783000</v>
      </c>
      <c r="J24" s="18"/>
    </row>
    <row r="25" spans="1:11" ht="15" customHeight="1" x14ac:dyDescent="0.25">
      <c r="A25" s="158"/>
      <c r="B25" s="32" t="s">
        <v>33</v>
      </c>
      <c r="C25" s="133" t="s">
        <v>32</v>
      </c>
      <c r="D25" s="58">
        <f>D24/D20</f>
        <v>2.0972906098275774</v>
      </c>
      <c r="E25" s="58">
        <f t="shared" ref="E25:H25" si="2">E24/E20</f>
        <v>1.5518469006675986</v>
      </c>
      <c r="F25" s="58">
        <f t="shared" si="2"/>
        <v>1.5308918577387791</v>
      </c>
      <c r="G25" s="58">
        <f t="shared" si="2"/>
        <v>-5.9495080408855268</v>
      </c>
      <c r="H25" s="58">
        <f t="shared" si="2"/>
        <v>1.2583564036294894</v>
      </c>
      <c r="J25" s="18"/>
      <c r="K25" s="2"/>
    </row>
    <row r="26" spans="1:11" s="10" customFormat="1" ht="15" customHeight="1" x14ac:dyDescent="0.25">
      <c r="A26" s="158"/>
      <c r="B26" s="32" t="s">
        <v>33</v>
      </c>
      <c r="C26" s="11" t="s">
        <v>12</v>
      </c>
      <c r="D26" s="40">
        <v>2.4529999999999998</v>
      </c>
      <c r="E26" s="41">
        <v>2.468</v>
      </c>
      <c r="F26" s="41">
        <v>2.464</v>
      </c>
      <c r="G26" s="41">
        <v>2.4620000000000002</v>
      </c>
      <c r="H26" s="41">
        <v>2.4620000000000002</v>
      </c>
      <c r="J26"/>
    </row>
    <row r="27" spans="1:11" ht="17.25" customHeight="1" x14ac:dyDescent="0.25">
      <c r="A27" s="158"/>
      <c r="B27" s="64" t="s">
        <v>56</v>
      </c>
      <c r="C27" s="4" t="s">
        <v>65</v>
      </c>
      <c r="D27" s="79"/>
      <c r="E27" s="79"/>
      <c r="F27" s="79"/>
      <c r="G27" s="78">
        <f>G5</f>
        <v>0.55394500000000002</v>
      </c>
      <c r="H27" s="78">
        <f>H5</f>
        <v>0.55500000000000005</v>
      </c>
      <c r="J27" s="61"/>
    </row>
    <row r="28" spans="1:11" ht="15" customHeight="1" x14ac:dyDescent="0.25">
      <c r="A28" s="158"/>
      <c r="B28" s="64" t="s">
        <v>56</v>
      </c>
      <c r="C28" s="4" t="s">
        <v>66</v>
      </c>
      <c r="D28" s="79"/>
      <c r="E28" s="79"/>
      <c r="F28" s="79"/>
      <c r="G28" s="78">
        <f>407688/G2</f>
        <v>0.19424814179531161</v>
      </c>
      <c r="H28" s="78">
        <f>971214/H2</f>
        <v>0.19433919223935073</v>
      </c>
    </row>
    <row r="29" spans="1:11" ht="15" customHeight="1" x14ac:dyDescent="0.25">
      <c r="A29" s="158"/>
      <c r="B29" s="64" t="s">
        <v>56</v>
      </c>
      <c r="C29" s="4" t="s">
        <v>67</v>
      </c>
      <c r="D29" s="79"/>
      <c r="E29" s="79"/>
      <c r="F29" s="79"/>
      <c r="G29" s="78">
        <f>G7</f>
        <v>6.3329521631408425E-2</v>
      </c>
      <c r="H29" s="78">
        <f>H7</f>
        <v>6.3360826970177211E-2</v>
      </c>
      <c r="J29" s="18"/>
    </row>
    <row r="30" spans="1:11" ht="15" customHeight="1" x14ac:dyDescent="0.25">
      <c r="A30" s="158"/>
      <c r="B30" s="64" t="s">
        <v>56</v>
      </c>
      <c r="C30" s="4" t="s">
        <v>68</v>
      </c>
      <c r="D30" s="79"/>
      <c r="E30" s="79"/>
      <c r="F30" s="79"/>
      <c r="G30" s="78">
        <f>G8</f>
        <v>6.6680462168858395E-2</v>
      </c>
      <c r="H30" s="78">
        <f>H8</f>
        <v>6.671355212185244E-2</v>
      </c>
      <c r="J30" s="18"/>
    </row>
    <row r="31" spans="1:11" ht="15" customHeight="1" x14ac:dyDescent="0.25">
      <c r="A31" s="158"/>
      <c r="B31" s="64" t="s">
        <v>21</v>
      </c>
      <c r="C31" s="124" t="s">
        <v>60</v>
      </c>
      <c r="D31" s="74"/>
      <c r="E31" s="74"/>
      <c r="F31" s="74"/>
      <c r="G31" s="74"/>
      <c r="H31" s="74"/>
      <c r="J31" s="7"/>
    </row>
    <row r="32" spans="1:11" s="7" customFormat="1" ht="15" customHeight="1" x14ac:dyDescent="0.25">
      <c r="A32" s="158"/>
      <c r="B32" s="29" t="s">
        <v>3</v>
      </c>
      <c r="C32" s="12" t="s">
        <v>7</v>
      </c>
      <c r="D32" s="35">
        <v>0.65039999999999998</v>
      </c>
      <c r="E32" s="35">
        <v>0.46189999999999998</v>
      </c>
      <c r="F32" s="37">
        <v>0.28620000000000001</v>
      </c>
      <c r="G32" s="37">
        <v>-0.32550000000000001</v>
      </c>
      <c r="H32" s="37">
        <v>-0.45100000000000001</v>
      </c>
    </row>
    <row r="33" spans="1:11" s="7" customFormat="1" ht="15" customHeight="1" x14ac:dyDescent="0.25">
      <c r="A33" s="158"/>
      <c r="B33" s="29" t="s">
        <v>3</v>
      </c>
      <c r="C33" s="12" t="s">
        <v>8</v>
      </c>
      <c r="D33" s="35">
        <v>0.24809999999999999</v>
      </c>
      <c r="E33" s="35">
        <v>0.23569999999999999</v>
      </c>
      <c r="F33" s="37">
        <v>0.23780000000000001</v>
      </c>
      <c r="G33" s="37">
        <v>-0.2392</v>
      </c>
      <c r="H33" s="37">
        <v>-0.254</v>
      </c>
    </row>
    <row r="34" spans="1:11" s="7" customFormat="1" ht="15" customHeight="1" x14ac:dyDescent="0.25">
      <c r="A34" s="158"/>
      <c r="B34" s="30" t="s">
        <v>6</v>
      </c>
      <c r="C34" s="13" t="s">
        <v>36</v>
      </c>
      <c r="D34" s="42">
        <v>1.8900000000000001E-4</v>
      </c>
      <c r="E34" s="42">
        <v>2.6229999999999999E-3</v>
      </c>
      <c r="F34" s="43">
        <v>0.2253</v>
      </c>
      <c r="G34" s="44">
        <v>0.60109999999999997</v>
      </c>
      <c r="H34" s="44">
        <v>0.82</v>
      </c>
      <c r="J34" s="143"/>
    </row>
    <row r="35" spans="1:11" ht="15" x14ac:dyDescent="0.25">
      <c r="A35" s="158"/>
      <c r="B35" s="63" t="s">
        <v>76</v>
      </c>
      <c r="C35" s="8" t="s">
        <v>85</v>
      </c>
      <c r="D35" s="66"/>
      <c r="E35" s="67"/>
      <c r="F35" s="54"/>
      <c r="G35" s="75">
        <f>216899000-G13</f>
        <v>8233000</v>
      </c>
      <c r="H35" s="67">
        <f>415982000-H13</f>
        <v>12901000</v>
      </c>
      <c r="I35" s="155">
        <f>H35/G35</f>
        <v>1.5669865176727802</v>
      </c>
      <c r="J35" s="144"/>
      <c r="K35" s="143"/>
    </row>
    <row r="36" spans="1:11" ht="15" x14ac:dyDescent="0.25">
      <c r="A36" s="158"/>
      <c r="B36" s="63" t="s">
        <v>76</v>
      </c>
      <c r="C36" s="19" t="s">
        <v>77</v>
      </c>
      <c r="D36" s="66"/>
      <c r="E36" s="67"/>
      <c r="F36" s="54"/>
      <c r="G36" s="75">
        <f>175353000-G14</f>
        <v>7686000</v>
      </c>
      <c r="H36" s="67">
        <f>322308000-H14</f>
        <v>11931000</v>
      </c>
      <c r="I36" s="155">
        <f t="shared" ref="I36:I38" si="3">H36/G36</f>
        <v>1.5523028883684622</v>
      </c>
      <c r="K36" s="144"/>
    </row>
    <row r="37" spans="1:11" ht="15" x14ac:dyDescent="0.25">
      <c r="A37" s="158"/>
      <c r="B37" s="63" t="s">
        <v>76</v>
      </c>
      <c r="C37" s="8" t="s">
        <v>78</v>
      </c>
      <c r="D37" s="66"/>
      <c r="E37" s="67"/>
      <c r="F37" s="67"/>
      <c r="G37" s="75">
        <f>412455691-G15</f>
        <v>4260691</v>
      </c>
      <c r="H37" s="66">
        <f>920430687-H15</f>
        <v>6636752</v>
      </c>
      <c r="I37" s="155">
        <f t="shared" si="3"/>
        <v>1.5576703403274257</v>
      </c>
      <c r="K37" s="144"/>
    </row>
    <row r="38" spans="1:11" ht="15" x14ac:dyDescent="0.25">
      <c r="A38" s="158"/>
      <c r="B38" s="63" t="s">
        <v>76</v>
      </c>
      <c r="C38" s="19" t="s">
        <v>79</v>
      </c>
      <c r="D38" s="68"/>
      <c r="E38" s="69"/>
      <c r="F38" s="73"/>
      <c r="G38" s="75">
        <v>-42322</v>
      </c>
      <c r="H38" s="75">
        <v>-262908</v>
      </c>
      <c r="I38" s="155">
        <f t="shared" si="3"/>
        <v>6.2120882756013422</v>
      </c>
    </row>
    <row r="39" spans="1:11" ht="15" x14ac:dyDescent="0.25">
      <c r="A39" s="158"/>
      <c r="B39" s="63" t="s">
        <v>76</v>
      </c>
      <c r="C39" s="19" t="s">
        <v>80</v>
      </c>
      <c r="D39" s="68"/>
      <c r="E39" s="69"/>
      <c r="F39" s="69"/>
      <c r="G39" s="75">
        <v>0</v>
      </c>
      <c r="H39" s="75">
        <v>0</v>
      </c>
    </row>
    <row r="40" spans="1:11" ht="15" x14ac:dyDescent="0.25">
      <c r="A40" s="158"/>
      <c r="B40" s="63" t="s">
        <v>76</v>
      </c>
      <c r="C40" s="19" t="s">
        <v>81</v>
      </c>
      <c r="D40" s="70"/>
      <c r="E40" s="70"/>
      <c r="F40" s="70"/>
      <c r="G40" s="156">
        <f>H40/1.6</f>
        <v>1578125</v>
      </c>
      <c r="H40" s="73">
        <f>66874000-H18</f>
        <v>2525000</v>
      </c>
      <c r="I40" s="155">
        <f t="shared" ref="I40:I41" si="4">H40/G40</f>
        <v>1.6</v>
      </c>
    </row>
    <row r="41" spans="1:11" x14ac:dyDescent="0.25">
      <c r="A41" s="158"/>
      <c r="B41" s="63" t="s">
        <v>76</v>
      </c>
      <c r="C41" s="19" t="s">
        <v>82</v>
      </c>
      <c r="D41" s="71"/>
      <c r="E41" s="72"/>
      <c r="F41" s="72"/>
      <c r="G41" s="149">
        <v>2192194</v>
      </c>
      <c r="H41" s="149">
        <v>5212619</v>
      </c>
      <c r="I41" s="155">
        <f t="shared" si="4"/>
        <v>2.3778091719984635</v>
      </c>
    </row>
    <row r="42" spans="1:11" x14ac:dyDescent="0.25">
      <c r="B42" s="21"/>
      <c r="C42" s="15"/>
      <c r="D42" s="45"/>
      <c r="E42" s="45"/>
      <c r="F42" s="45"/>
      <c r="G42" s="45"/>
      <c r="H42" s="134"/>
    </row>
    <row r="43" spans="1:11" x14ac:dyDescent="0.25">
      <c r="B43" s="21"/>
      <c r="C43" s="1"/>
      <c r="D43" s="45"/>
      <c r="E43" s="14"/>
      <c r="F43" s="14"/>
      <c r="G43" s="14"/>
      <c r="H43" s="14"/>
    </row>
    <row r="44" spans="1:11" x14ac:dyDescent="0.25">
      <c r="B44" s="21"/>
      <c r="C44" s="1"/>
      <c r="D44" s="45"/>
      <c r="E44" s="14"/>
      <c r="F44" s="14"/>
      <c r="G44" s="14"/>
      <c r="H44" s="14"/>
    </row>
    <row r="45" spans="1:11" x14ac:dyDescent="0.25">
      <c r="B45" s="21"/>
      <c r="E45" s="14"/>
      <c r="F45" s="14"/>
      <c r="G45" s="14"/>
      <c r="H45" s="14"/>
    </row>
    <row r="46" spans="1:11" x14ac:dyDescent="0.25">
      <c r="B46" s="21"/>
      <c r="E46" s="14"/>
      <c r="F46" s="14"/>
      <c r="G46" s="14"/>
      <c r="H46" s="14"/>
    </row>
    <row r="47" spans="1:11" x14ac:dyDescent="0.25">
      <c r="B47" s="21"/>
      <c r="E47" s="14"/>
      <c r="F47" s="14"/>
      <c r="G47" s="14"/>
      <c r="H47" s="14"/>
    </row>
    <row r="48" spans="1:11" x14ac:dyDescent="0.25">
      <c r="B48" s="21"/>
      <c r="C48" s="16"/>
      <c r="D48" s="45"/>
      <c r="E48" s="14"/>
      <c r="F48" s="14"/>
      <c r="G48" s="14"/>
      <c r="H48" s="14"/>
    </row>
    <row r="49" spans="2:8" x14ac:dyDescent="0.25">
      <c r="B49" s="21"/>
      <c r="C49" s="16"/>
      <c r="D49" s="45"/>
      <c r="E49" s="14"/>
      <c r="F49" s="14"/>
      <c r="G49" s="14"/>
      <c r="H49" s="14"/>
    </row>
    <row r="50" spans="2:8" x14ac:dyDescent="0.25">
      <c r="B50" s="21"/>
      <c r="C50" s="16"/>
      <c r="D50" s="45"/>
      <c r="E50" s="14"/>
      <c r="F50" s="14"/>
      <c r="G50" s="14"/>
      <c r="H50" s="14"/>
    </row>
    <row r="51" spans="2:8" x14ac:dyDescent="0.25">
      <c r="B51" s="20"/>
      <c r="C51" s="7"/>
      <c r="D51" s="14"/>
      <c r="E51" s="14"/>
      <c r="F51" s="14"/>
      <c r="G51" s="14"/>
      <c r="H51" s="14"/>
    </row>
  </sheetData>
  <mergeCells count="2">
    <mergeCell ref="A2:A19"/>
    <mergeCell ref="A20:A41"/>
  </mergeCells>
  <pageMargins left="0.7" right="0.7" top="0.75" bottom="0.75" header="0.3" footer="0.3"/>
  <pageSetup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63FF-275C-4E59-A879-8F35A881D7FE}">
  <dimension ref="A1:K41"/>
  <sheetViews>
    <sheetView tabSelected="1" zoomScale="80" zoomScaleNormal="80" workbookViewId="0">
      <selection activeCell="J14" sqref="J14"/>
    </sheetView>
  </sheetViews>
  <sheetFormatPr defaultRowHeight="15" x14ac:dyDescent="0.25"/>
  <cols>
    <col min="1" max="1" width="18.85546875" customWidth="1"/>
    <col min="2" max="2" width="32.140625" style="9" customWidth="1"/>
    <col min="3" max="3" width="48.140625" customWidth="1"/>
    <col min="4" max="4" width="9.7109375" customWidth="1"/>
    <col min="5" max="5" width="8.7109375" customWidth="1"/>
    <col min="6" max="6" width="13" style="56" bestFit="1" customWidth="1"/>
    <col min="7" max="7" width="10.7109375" style="57" customWidth="1"/>
    <col min="8" max="8" width="14.7109375" style="57" customWidth="1"/>
    <col min="10" max="10" width="35" bestFit="1" customWidth="1"/>
    <col min="11" max="11" width="21.28515625" bestFit="1" customWidth="1"/>
  </cols>
  <sheetData>
    <row r="1" spans="1:10" x14ac:dyDescent="0.25">
      <c r="A1" s="81"/>
      <c r="B1" s="82"/>
      <c r="C1" s="145" t="s">
        <v>54</v>
      </c>
      <c r="D1" s="147" t="s">
        <v>96</v>
      </c>
      <c r="E1" s="147" t="s">
        <v>97</v>
      </c>
      <c r="F1" s="148" t="s">
        <v>92</v>
      </c>
      <c r="G1" s="147" t="s">
        <v>98</v>
      </c>
      <c r="H1" s="147" t="s">
        <v>99</v>
      </c>
      <c r="I1" s="9"/>
      <c r="J1" s="9" t="s">
        <v>19</v>
      </c>
    </row>
    <row r="2" spans="1:10" ht="15" customHeight="1" x14ac:dyDescent="0.25">
      <c r="A2" s="159" t="s">
        <v>75</v>
      </c>
      <c r="B2" s="83" t="s">
        <v>0</v>
      </c>
      <c r="C2" s="84" t="s">
        <v>58</v>
      </c>
      <c r="D2" s="149">
        <v>366300</v>
      </c>
      <c r="E2" s="84"/>
      <c r="F2" s="86">
        <v>1029600</v>
      </c>
      <c r="G2" s="85"/>
      <c r="H2" s="85"/>
      <c r="J2" t="s">
        <v>100</v>
      </c>
    </row>
    <row r="3" spans="1:10" ht="15" customHeight="1" x14ac:dyDescent="0.25">
      <c r="A3" s="159"/>
      <c r="B3" s="83" t="s">
        <v>0</v>
      </c>
      <c r="C3" s="84" t="s">
        <v>59</v>
      </c>
      <c r="D3" s="84">
        <f>D2/330/24</f>
        <v>46.25</v>
      </c>
      <c r="E3" s="84">
        <f>E2/330/24</f>
        <v>0</v>
      </c>
      <c r="F3" s="86">
        <v>130</v>
      </c>
      <c r="G3" s="84">
        <f>G2/330/24</f>
        <v>0</v>
      </c>
      <c r="H3" s="84">
        <f>H2/330/24</f>
        <v>0</v>
      </c>
      <c r="J3" t="s">
        <v>101</v>
      </c>
    </row>
    <row r="4" spans="1:10" ht="15" customHeight="1" x14ac:dyDescent="0.25">
      <c r="A4" s="159"/>
      <c r="B4" s="83" t="s">
        <v>0</v>
      </c>
      <c r="C4" s="84" t="s">
        <v>11</v>
      </c>
      <c r="D4" s="86">
        <v>0.26</v>
      </c>
      <c r="E4" s="86">
        <v>0.26</v>
      </c>
      <c r="F4" s="86">
        <v>0.26</v>
      </c>
      <c r="G4" s="86">
        <v>0.26</v>
      </c>
      <c r="H4" s="86">
        <v>0.26</v>
      </c>
      <c r="J4" t="s">
        <v>102</v>
      </c>
    </row>
    <row r="5" spans="1:10" ht="15" customHeight="1" x14ac:dyDescent="0.25">
      <c r="A5" s="159"/>
      <c r="B5" s="64" t="s">
        <v>21</v>
      </c>
      <c r="C5" s="87" t="s">
        <v>14</v>
      </c>
      <c r="D5" s="87"/>
      <c r="E5" s="87"/>
      <c r="F5" s="107">
        <f>117503006.200365/F2</f>
        <v>114.12490889701341</v>
      </c>
      <c r="G5" s="89"/>
      <c r="H5" s="89"/>
      <c r="J5" t="s">
        <v>103</v>
      </c>
    </row>
    <row r="6" spans="1:10" ht="15" customHeight="1" x14ac:dyDescent="0.25">
      <c r="A6" s="159"/>
      <c r="B6" s="64" t="s">
        <v>21</v>
      </c>
      <c r="C6" s="87" t="s">
        <v>15</v>
      </c>
      <c r="D6" s="107"/>
      <c r="E6" s="107"/>
      <c r="F6" s="107">
        <f>297774/F2*1000</f>
        <v>289.21328671328672</v>
      </c>
      <c r="G6" s="107"/>
      <c r="H6" s="89"/>
      <c r="J6" t="s">
        <v>104</v>
      </c>
    </row>
    <row r="7" spans="1:10" ht="15" customHeight="1" x14ac:dyDescent="0.25">
      <c r="A7" s="159"/>
      <c r="B7" s="64" t="s">
        <v>21</v>
      </c>
      <c r="C7" s="87" t="s">
        <v>20</v>
      </c>
      <c r="D7" s="107"/>
      <c r="E7" s="107"/>
      <c r="F7" s="107">
        <f>9996474/F2</f>
        <v>9.7090850815850818</v>
      </c>
      <c r="G7" s="107"/>
      <c r="H7" s="89"/>
      <c r="J7" t="s">
        <v>64</v>
      </c>
    </row>
    <row r="8" spans="1:10" x14ac:dyDescent="0.25">
      <c r="A8" s="159"/>
      <c r="B8" s="64" t="s">
        <v>21</v>
      </c>
      <c r="C8" s="124" t="s">
        <v>60</v>
      </c>
      <c r="D8" s="124"/>
      <c r="E8" s="124"/>
      <c r="F8" s="125">
        <v>0</v>
      </c>
      <c r="G8" s="126"/>
      <c r="H8" s="126"/>
    </row>
    <row r="9" spans="1:10" ht="15" customHeight="1" x14ac:dyDescent="0.25">
      <c r="A9" s="159"/>
      <c r="B9" s="90" t="s">
        <v>3</v>
      </c>
      <c r="C9" s="12" t="s">
        <v>4</v>
      </c>
      <c r="D9" s="12"/>
      <c r="E9" s="12"/>
      <c r="F9" s="91">
        <f>72534850/(F2*1000)</f>
        <v>7.0449543512043508E-2</v>
      </c>
      <c r="G9" s="92"/>
      <c r="H9" s="92"/>
    </row>
    <row r="10" spans="1:10" ht="15" customHeight="1" x14ac:dyDescent="0.25">
      <c r="A10" s="159"/>
      <c r="B10" s="90" t="s">
        <v>3</v>
      </c>
      <c r="C10" s="12" t="s">
        <v>5</v>
      </c>
      <c r="D10" s="12"/>
      <c r="E10" s="12"/>
      <c r="F10" s="91">
        <f>12726/F2</f>
        <v>1.236013986013986E-2</v>
      </c>
      <c r="G10" s="92"/>
      <c r="H10" s="92"/>
    </row>
    <row r="11" spans="1:10" ht="15" customHeight="1" x14ac:dyDescent="0.25">
      <c r="A11" s="159"/>
      <c r="B11" s="93" t="s">
        <v>6</v>
      </c>
      <c r="C11" s="13" t="s">
        <v>37</v>
      </c>
      <c r="D11" s="13"/>
      <c r="E11" s="13"/>
      <c r="F11" s="94">
        <f>1593880/F2</f>
        <v>1.5480574980574981</v>
      </c>
      <c r="G11" s="95"/>
      <c r="H11" s="95"/>
    </row>
    <row r="12" spans="1:10" ht="15" customHeight="1" x14ac:dyDescent="0.25">
      <c r="A12" s="159"/>
      <c r="B12" s="96" t="s">
        <v>33</v>
      </c>
      <c r="C12" s="11" t="s">
        <v>16</v>
      </c>
      <c r="D12" s="11"/>
      <c r="E12" s="11"/>
      <c r="F12" s="136">
        <v>9.31</v>
      </c>
      <c r="G12" s="97"/>
      <c r="H12" s="97"/>
    </row>
    <row r="13" spans="1:10" ht="15" customHeight="1" x14ac:dyDescent="0.25">
      <c r="A13" s="159"/>
      <c r="B13" s="63" t="s">
        <v>18</v>
      </c>
      <c r="C13" s="98" t="s">
        <v>10</v>
      </c>
      <c r="D13" s="98"/>
      <c r="E13" s="98"/>
      <c r="F13" s="54">
        <v>193059300</v>
      </c>
      <c r="G13" s="99"/>
      <c r="H13" s="99"/>
    </row>
    <row r="14" spans="1:10" ht="15" customHeight="1" x14ac:dyDescent="0.25">
      <c r="A14" s="159"/>
      <c r="B14" s="63" t="s">
        <v>18</v>
      </c>
      <c r="C14" s="19" t="s">
        <v>22</v>
      </c>
      <c r="D14" s="19"/>
      <c r="E14" s="19"/>
      <c r="F14" s="54">
        <v>183866000</v>
      </c>
      <c r="G14" s="99"/>
      <c r="H14" s="99"/>
    </row>
    <row r="15" spans="1:10" ht="15.75" customHeight="1" thickBot="1" x14ac:dyDescent="0.3">
      <c r="A15" s="159"/>
      <c r="B15" s="63" t="s">
        <v>18</v>
      </c>
      <c r="C15" s="98" t="s">
        <v>9</v>
      </c>
      <c r="D15" s="98"/>
      <c r="E15" s="98"/>
      <c r="F15" s="54">
        <v>197521744.15000001</v>
      </c>
      <c r="G15" s="99"/>
      <c r="H15" s="99"/>
    </row>
    <row r="16" spans="1:10" ht="15.75" customHeight="1" thickBot="1" x14ac:dyDescent="0.3">
      <c r="A16" s="159"/>
      <c r="B16" s="63" t="s">
        <v>18</v>
      </c>
      <c r="C16" s="19" t="s">
        <v>86</v>
      </c>
      <c r="D16" s="19"/>
      <c r="E16" s="19"/>
      <c r="F16" s="150">
        <v>27802002</v>
      </c>
      <c r="G16" s="99"/>
      <c r="H16" s="99"/>
    </row>
    <row r="17" spans="1:11" ht="15.75" customHeight="1" thickBot="1" x14ac:dyDescent="0.3">
      <c r="A17" s="159"/>
      <c r="B17" s="63" t="s">
        <v>18</v>
      </c>
      <c r="C17" s="19" t="s">
        <v>87</v>
      </c>
      <c r="D17" s="19"/>
      <c r="E17" s="19"/>
      <c r="F17" s="149">
        <v>142224826</v>
      </c>
      <c r="G17" s="99"/>
      <c r="H17" s="99"/>
    </row>
    <row r="18" spans="1:11" ht="15" customHeight="1" thickBot="1" x14ac:dyDescent="0.3">
      <c r="A18" s="159"/>
      <c r="B18" s="63" t="s">
        <v>18</v>
      </c>
      <c r="C18" s="19" t="s">
        <v>88</v>
      </c>
      <c r="D18" s="19"/>
      <c r="E18" s="19"/>
      <c r="F18" s="150">
        <v>12645384.15</v>
      </c>
      <c r="G18" s="99"/>
      <c r="H18" s="99"/>
    </row>
    <row r="19" spans="1:11" ht="15" customHeight="1" x14ac:dyDescent="0.25">
      <c r="A19" s="159"/>
      <c r="B19" s="65" t="s">
        <v>23</v>
      </c>
      <c r="C19" s="76" t="s">
        <v>83</v>
      </c>
      <c r="D19" s="98"/>
      <c r="E19" s="98"/>
      <c r="F19" s="154">
        <v>11570532</v>
      </c>
      <c r="G19" s="99"/>
      <c r="H19" s="99"/>
    </row>
    <row r="20" spans="1:11" ht="15" customHeight="1" x14ac:dyDescent="0.25">
      <c r="A20" s="159" t="s">
        <v>35</v>
      </c>
      <c r="B20" s="64" t="s">
        <v>34</v>
      </c>
      <c r="C20" s="87" t="s">
        <v>71</v>
      </c>
      <c r="D20" s="100"/>
      <c r="E20" s="100"/>
      <c r="F20" s="137">
        <f>F22*F2*1000</f>
        <v>1631520</v>
      </c>
      <c r="G20" s="89"/>
      <c r="H20" s="89"/>
    </row>
    <row r="21" spans="1:11" ht="15" customHeight="1" x14ac:dyDescent="0.25">
      <c r="A21" s="159"/>
      <c r="B21" s="64" t="s">
        <v>34</v>
      </c>
      <c r="C21" s="87" t="s">
        <v>72</v>
      </c>
      <c r="D21" s="100"/>
      <c r="E21" s="100"/>
      <c r="F21" s="88">
        <f>668/(F3*1000)*F2*1000</f>
        <v>5290560</v>
      </c>
      <c r="G21" s="89"/>
      <c r="H21" s="89"/>
    </row>
    <row r="22" spans="1:11" ht="15" customHeight="1" x14ac:dyDescent="0.25">
      <c r="A22" s="159"/>
      <c r="B22" s="64" t="s">
        <v>34</v>
      </c>
      <c r="C22" s="87" t="s">
        <v>73</v>
      </c>
      <c r="D22" s="87"/>
      <c r="E22" s="87"/>
      <c r="F22" s="127">
        <f>206/130000</f>
        <v>1.5846153846153846E-3</v>
      </c>
      <c r="G22" s="101"/>
      <c r="H22" s="101"/>
    </row>
    <row r="23" spans="1:11" ht="15" customHeight="1" x14ac:dyDescent="0.25">
      <c r="A23" s="159"/>
      <c r="B23" s="102" t="s">
        <v>33</v>
      </c>
      <c r="C23" s="11" t="s">
        <v>1</v>
      </c>
      <c r="D23" s="11"/>
      <c r="E23" s="11"/>
      <c r="F23" s="52">
        <f>221123000-F13</f>
        <v>28063700</v>
      </c>
      <c r="G23" s="103"/>
      <c r="H23" s="103"/>
    </row>
    <row r="24" spans="1:11" ht="15" customHeight="1" x14ac:dyDescent="0.25">
      <c r="A24" s="159"/>
      <c r="B24" s="102" t="s">
        <v>33</v>
      </c>
      <c r="C24" s="11" t="s">
        <v>63</v>
      </c>
      <c r="D24" s="11"/>
      <c r="E24" s="11"/>
      <c r="F24" s="52">
        <f>198602179.275-F15</f>
        <v>1080435.125</v>
      </c>
      <c r="G24" s="103"/>
      <c r="H24" s="103"/>
    </row>
    <row r="25" spans="1:11" ht="15" customHeight="1" x14ac:dyDescent="0.25">
      <c r="A25" s="159"/>
      <c r="B25" s="102" t="s">
        <v>33</v>
      </c>
      <c r="C25" s="133" t="s">
        <v>74</v>
      </c>
      <c r="D25" s="104"/>
      <c r="E25" s="104"/>
      <c r="F25" s="58">
        <f>F24/F20</f>
        <v>0.6622260989751888</v>
      </c>
      <c r="G25" s="105"/>
      <c r="H25" s="105"/>
    </row>
    <row r="26" spans="1:11" ht="15" customHeight="1" x14ac:dyDescent="0.25">
      <c r="A26" s="159"/>
      <c r="B26" s="102" t="s">
        <v>33</v>
      </c>
      <c r="C26" s="11" t="s">
        <v>17</v>
      </c>
      <c r="D26" s="11"/>
      <c r="E26" s="11"/>
      <c r="F26" s="136">
        <v>3.27</v>
      </c>
      <c r="G26" s="105"/>
      <c r="H26" s="105"/>
    </row>
    <row r="27" spans="1:11" ht="15" customHeight="1" x14ac:dyDescent="0.25">
      <c r="A27" s="159"/>
      <c r="B27" s="64" t="s">
        <v>56</v>
      </c>
      <c r="C27" s="87" t="s">
        <v>14</v>
      </c>
      <c r="D27" s="106"/>
      <c r="E27" s="106"/>
      <c r="F27" s="107">
        <f>117503007.031179/F2</f>
        <v>114.12490970394231</v>
      </c>
      <c r="G27" s="80"/>
      <c r="H27" s="80"/>
    </row>
    <row r="28" spans="1:11" ht="15" customHeight="1" x14ac:dyDescent="0.25">
      <c r="A28" s="159"/>
      <c r="B28" s="64" t="s">
        <v>56</v>
      </c>
      <c r="C28" s="87" t="s">
        <v>15</v>
      </c>
      <c r="D28" s="87"/>
      <c r="E28" s="87"/>
      <c r="F28" s="107">
        <f>294054/F2*1000</f>
        <v>285.60023310023308</v>
      </c>
      <c r="G28" s="108"/>
      <c r="H28" s="108"/>
    </row>
    <row r="29" spans="1:11" ht="15.75" customHeight="1" x14ac:dyDescent="0.25">
      <c r="A29" s="159"/>
      <c r="B29" s="64" t="s">
        <v>56</v>
      </c>
      <c r="C29" s="87" t="s">
        <v>20</v>
      </c>
      <c r="D29" s="87"/>
      <c r="E29" s="87"/>
      <c r="F29" s="138">
        <f>9997681/F2</f>
        <v>9.7102573815073807</v>
      </c>
      <c r="G29" s="109"/>
      <c r="H29" s="109"/>
      <c r="J29" s="16"/>
      <c r="K29" s="140"/>
    </row>
    <row r="30" spans="1:11" ht="15" customHeight="1" x14ac:dyDescent="0.25">
      <c r="A30" s="159"/>
      <c r="B30" s="64" t="s">
        <v>21</v>
      </c>
      <c r="C30" s="124" t="s">
        <v>60</v>
      </c>
      <c r="D30" s="87"/>
      <c r="E30" s="87"/>
      <c r="F30" s="107"/>
      <c r="G30" s="109"/>
      <c r="H30" s="109"/>
      <c r="J30" s="16"/>
      <c r="K30" s="140"/>
    </row>
    <row r="31" spans="1:11" ht="15" customHeight="1" x14ac:dyDescent="0.25">
      <c r="A31" s="159"/>
      <c r="B31" s="64" t="s">
        <v>21</v>
      </c>
      <c r="C31" s="124" t="s">
        <v>60</v>
      </c>
      <c r="D31" s="87"/>
      <c r="E31" s="87"/>
      <c r="F31" s="110"/>
      <c r="G31" s="111"/>
      <c r="H31" s="112"/>
      <c r="J31" s="16"/>
      <c r="K31" s="140"/>
    </row>
    <row r="32" spans="1:11" s="7" customFormat="1" ht="15" customHeight="1" x14ac:dyDescent="0.25">
      <c r="A32" s="159"/>
      <c r="B32" s="90" t="s">
        <v>3</v>
      </c>
      <c r="C32" s="113" t="s">
        <v>62</v>
      </c>
      <c r="D32" s="12"/>
      <c r="E32" s="12"/>
      <c r="F32" s="114">
        <f>-(72624527-72534850)/(F2)</f>
        <v>-8.7098873348873354E-2</v>
      </c>
      <c r="G32" s="115"/>
      <c r="H32" s="115"/>
      <c r="K32" s="141"/>
    </row>
    <row r="33" spans="1:8" s="7" customFormat="1" ht="15" customHeight="1" x14ac:dyDescent="0.25">
      <c r="A33" s="159"/>
      <c r="B33" s="90" t="s">
        <v>3</v>
      </c>
      <c r="C33" s="113" t="s">
        <v>70</v>
      </c>
      <c r="D33" s="12"/>
      <c r="E33" s="12"/>
      <c r="F33" s="114">
        <f>(12433-12726)/F2</f>
        <v>-2.845765345765346E-4</v>
      </c>
      <c r="G33" s="115"/>
      <c r="H33" s="115"/>
    </row>
    <row r="34" spans="1:8" s="7" customFormat="1" x14ac:dyDescent="0.25">
      <c r="A34" s="159"/>
      <c r="B34" s="93" t="s">
        <v>6</v>
      </c>
      <c r="C34" s="116" t="s">
        <v>61</v>
      </c>
      <c r="D34" s="13"/>
      <c r="E34" s="13"/>
      <c r="F34" s="94">
        <f>(1593694-1593880)/F2</f>
        <v>-1.8065268065268065E-4</v>
      </c>
      <c r="G34" s="117"/>
      <c r="H34" s="117"/>
    </row>
    <row r="35" spans="1:8" x14ac:dyDescent="0.25">
      <c r="A35" s="159"/>
      <c r="B35" s="63" t="s">
        <v>76</v>
      </c>
      <c r="C35" s="118" t="s">
        <v>89</v>
      </c>
      <c r="D35" s="119"/>
      <c r="E35" s="120"/>
      <c r="F35" s="120">
        <f>203722050-F13</f>
        <v>10662750</v>
      </c>
      <c r="G35" s="54"/>
      <c r="H35" s="75"/>
    </row>
    <row r="36" spans="1:8" x14ac:dyDescent="0.25">
      <c r="A36" s="159"/>
      <c r="B36" s="63" t="s">
        <v>76</v>
      </c>
      <c r="C36" s="19" t="s">
        <v>77</v>
      </c>
      <c r="D36" s="119"/>
      <c r="E36" s="120"/>
      <c r="F36" s="120">
        <f>194021000-F14</f>
        <v>10155000</v>
      </c>
      <c r="G36" s="54"/>
      <c r="H36" s="75"/>
    </row>
    <row r="37" spans="1:8" x14ac:dyDescent="0.25">
      <c r="A37" s="159"/>
      <c r="B37" s="63" t="s">
        <v>76</v>
      </c>
      <c r="C37" s="118" t="s">
        <v>78</v>
      </c>
      <c r="D37" s="119"/>
      <c r="E37" s="120"/>
      <c r="F37" s="120">
        <f>198602179.3-F15</f>
        <v>1080435.150000006</v>
      </c>
      <c r="G37" s="120"/>
      <c r="H37" s="75"/>
    </row>
    <row r="38" spans="1:8" x14ac:dyDescent="0.25">
      <c r="A38" s="159"/>
      <c r="B38" s="63" t="s">
        <v>76</v>
      </c>
      <c r="C38" s="19" t="s">
        <v>79</v>
      </c>
      <c r="D38" s="121"/>
      <c r="E38" s="122"/>
      <c r="F38" s="120">
        <f>27687331-F16</f>
        <v>-114671</v>
      </c>
      <c r="G38" s="123"/>
      <c r="H38" s="75"/>
    </row>
    <row r="39" spans="1:8" x14ac:dyDescent="0.25">
      <c r="A39" s="159"/>
      <c r="B39" s="63" t="s">
        <v>76</v>
      </c>
      <c r="C39" s="19" t="s">
        <v>80</v>
      </c>
      <c r="D39" s="121"/>
      <c r="E39" s="122"/>
      <c r="F39" s="120">
        <v>0</v>
      </c>
      <c r="G39" s="122"/>
      <c r="H39" s="75"/>
    </row>
    <row r="40" spans="1:8" x14ac:dyDescent="0.25">
      <c r="A40" s="159"/>
      <c r="B40" s="63" t="s">
        <v>76</v>
      </c>
      <c r="C40" s="19" t="s">
        <v>81</v>
      </c>
      <c r="D40" s="70"/>
      <c r="E40" s="70"/>
      <c r="F40" s="139">
        <f>13343794.275-F18</f>
        <v>698410.125</v>
      </c>
      <c r="G40" s="70"/>
      <c r="H40" s="75"/>
    </row>
    <row r="41" spans="1:8" x14ac:dyDescent="0.25">
      <c r="A41" s="159"/>
      <c r="B41" s="63" t="s">
        <v>76</v>
      </c>
      <c r="C41" s="19" t="s">
        <v>82</v>
      </c>
      <c r="D41" s="71"/>
      <c r="E41" s="72"/>
      <c r="F41" s="139">
        <f>12067228-F19</f>
        <v>496696</v>
      </c>
      <c r="G41" s="72"/>
      <c r="H41" s="75"/>
    </row>
  </sheetData>
  <mergeCells count="2">
    <mergeCell ref="A2:A19"/>
    <mergeCell ref="A20:A4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Wet_milling</vt:lpstr>
      <vt:lpstr>Dry_grind</vt:lpstr>
      <vt:lpstr>Wet_milling!Print_Area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2021-06-25T21:22:02Z</dcterms:modified>
</cp:coreProperties>
</file>