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ITEEM\Optimization\"/>
    </mc:Choice>
  </mc:AlternateContent>
  <xr:revisionPtr revIDLastSave="0" documentId="13_ncr:1_{687C2B26-7AFB-47B7-9B4C-571339FA43EC}" xr6:coauthVersionLast="47" xr6:coauthVersionMax="47" xr10:uidLastSave="{00000000-0000-0000-0000-000000000000}"/>
  <bookViews>
    <workbookView xWindow="-120" yWindow="-120" windowWidth="29040" windowHeight="15840" firstSheet="8" activeTab="11" xr2:uid="{00000000-000D-0000-FFFF-FFFF00000000}"/>
  </bookViews>
  <sheets>
    <sheet name="ITEEM objectives" sheetId="17" r:id="rId1"/>
    <sheet name="Sheet1" sheetId="1" r:id="rId2"/>
    <sheet name="Scenarios" sheetId="3" r:id="rId3"/>
    <sheet name="WWT" sheetId="4" r:id="rId4"/>
    <sheet name="GP_WWT" sheetId="7" r:id="rId5"/>
    <sheet name="opt_X" sheetId="5" r:id="rId6"/>
    <sheet name="Biomass" sheetId="15" r:id="rId7"/>
    <sheet name="ITEEM_opt_012021" sheetId="9" r:id="rId8"/>
    <sheet name="ag_landuse" sheetId="14" r:id="rId9"/>
    <sheet name="sediment cost at Decatur" sheetId="16" r:id="rId10"/>
    <sheet name="ITEEM_opt_Nov2021_raw_simulatio" sheetId="19" r:id="rId11"/>
    <sheet name="ITEEM_opt_Nov2021" sheetId="18" r:id="rId12"/>
    <sheet name="BMPs+EBTs" sheetId="20" r:id="rId13"/>
  </sheets>
  <externalReferences>
    <externalReference r:id="rId14"/>
    <externalReference r:id="rId15"/>
  </externalReferences>
  <definedNames>
    <definedName name="_xlnm._FilterDatabase" localSheetId="12" hidden="1">'BMPs+EBTs'!$D$2:$G$2</definedName>
    <definedName name="_xlnm._FilterDatabase" localSheetId="11" hidden="1">ITEEM_opt_Nov2021!$W$2:$AC$103</definedName>
    <definedName name="_xlnm._FilterDatabase" localSheetId="5" hidden="1">opt_X!$A$1:$K$51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18" l="1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77" i="18"/>
  <c r="Z78" i="18"/>
  <c r="Z79" i="18"/>
  <c r="Z80" i="18"/>
  <c r="Z81" i="18"/>
  <c r="Z82" i="18"/>
  <c r="Z83" i="18"/>
  <c r="Z84" i="18"/>
  <c r="Z85" i="18"/>
  <c r="Z86" i="18"/>
  <c r="Z87" i="18"/>
  <c r="Z88" i="18"/>
  <c r="Z89" i="18"/>
  <c r="Z90" i="18"/>
  <c r="Z91" i="18"/>
  <c r="Z92" i="18"/>
  <c r="Z93" i="18"/>
  <c r="Z94" i="18"/>
  <c r="Z95" i="18"/>
  <c r="Z96" i="18"/>
  <c r="Z97" i="18"/>
  <c r="Z98" i="18"/>
  <c r="Z99" i="18"/>
  <c r="Z100" i="18"/>
  <c r="Z101" i="18"/>
  <c r="Z102" i="18"/>
  <c r="Z3" i="18"/>
  <c r="X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3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1" i="18"/>
  <c r="Y92" i="18"/>
  <c r="Y93" i="18"/>
  <c r="Y94" i="18"/>
  <c r="Y95" i="18"/>
  <c r="Y96" i="18"/>
  <c r="Y97" i="18"/>
  <c r="Y98" i="18"/>
  <c r="Y99" i="18"/>
  <c r="Y100" i="18"/>
  <c r="Y101" i="18"/>
  <c r="Y102" i="18"/>
  <c r="W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2" i="18"/>
  <c r="X63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AB10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P3" i="18"/>
  <c r="AA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AA63" i="18"/>
  <c r="AA64" i="18"/>
  <c r="AA65" i="18"/>
  <c r="AA66" i="18"/>
  <c r="AA67" i="18"/>
  <c r="AA68" i="18"/>
  <c r="AA69" i="18"/>
  <c r="AA70" i="18"/>
  <c r="AA71" i="18"/>
  <c r="AA72" i="18"/>
  <c r="AA73" i="18"/>
  <c r="AA74" i="18"/>
  <c r="AA75" i="18"/>
  <c r="AA76" i="18"/>
  <c r="AA77" i="18"/>
  <c r="AA78" i="18"/>
  <c r="AA79" i="18"/>
  <c r="AA80" i="18"/>
  <c r="AA81" i="18"/>
  <c r="AA82" i="18"/>
  <c r="AA83" i="18"/>
  <c r="AA84" i="18"/>
  <c r="AA85" i="18"/>
  <c r="AA86" i="18"/>
  <c r="AA87" i="18"/>
  <c r="AA88" i="18"/>
  <c r="AA89" i="18"/>
  <c r="AA90" i="18"/>
  <c r="AA91" i="18"/>
  <c r="AA92" i="18"/>
  <c r="AA93" i="18"/>
  <c r="AA94" i="18"/>
  <c r="AA95" i="18"/>
  <c r="AA96" i="18"/>
  <c r="AA97" i="18"/>
  <c r="AA98" i="18"/>
  <c r="AA99" i="18"/>
  <c r="AA100" i="18"/>
  <c r="AA101" i="18"/>
  <c r="AA102" i="18"/>
  <c r="AA3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4" i="18"/>
  <c r="P5" i="18"/>
  <c r="P6" i="18"/>
  <c r="P7" i="18"/>
  <c r="P8" i="18"/>
  <c r="P9" i="18"/>
  <c r="P10" i="18"/>
  <c r="P11" i="18"/>
  <c r="P12" i="18"/>
  <c r="P13" i="18"/>
  <c r="P14" i="18"/>
  <c r="R30" i="1"/>
  <c r="R29" i="1" l="1"/>
  <c r="R38" i="1"/>
  <c r="R33" i="1"/>
  <c r="R35" i="1"/>
  <c r="V31" i="1"/>
  <c r="R31" i="1"/>
  <c r="P4" i="14"/>
  <c r="P3" i="14"/>
  <c r="Q2" i="14" l="1"/>
  <c r="D10" i="16" l="1"/>
  <c r="D11" i="16" s="1"/>
  <c r="D13" i="16" s="1"/>
  <c r="D9" i="16"/>
  <c r="D6" i="16"/>
  <c r="F6" i="15" l="1"/>
  <c r="E6" i="15"/>
  <c r="D6" i="15"/>
  <c r="D5" i="15"/>
  <c r="F5" i="15"/>
  <c r="E5" i="15"/>
  <c r="D4" i="15" l="1"/>
  <c r="I97" i="1" l="1"/>
  <c r="S62" i="4"/>
  <c r="S61" i="4"/>
  <c r="S60" i="4"/>
  <c r="M60" i="4"/>
  <c r="R61" i="4"/>
  <c r="J116" i="1"/>
  <c r="J115" i="1"/>
  <c r="J114" i="1"/>
  <c r="J113" i="1"/>
  <c r="J112" i="1"/>
  <c r="I113" i="1"/>
  <c r="I114" i="1"/>
  <c r="I115" i="1"/>
  <c r="I116" i="1"/>
  <c r="I112" i="1"/>
  <c r="K69" i="1"/>
  <c r="K70" i="1"/>
  <c r="K68" i="1"/>
  <c r="R62" i="4"/>
  <c r="R63" i="4"/>
  <c r="R64" i="4"/>
  <c r="O61" i="4"/>
  <c r="S63" i="4" l="1"/>
  <c r="S64" i="4"/>
  <c r="P64" i="4"/>
  <c r="W12" i="14" l="1"/>
  <c r="X12" i="14"/>
  <c r="Y12" i="14"/>
  <c r="Z12" i="14"/>
  <c r="AA12" i="14"/>
  <c r="AB12" i="14"/>
  <c r="AC12" i="14"/>
  <c r="V12" i="14"/>
  <c r="T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2" i="14"/>
  <c r="P5" i="14"/>
  <c r="P2" i="14"/>
  <c r="C46" i="14"/>
  <c r="B46" i="14"/>
  <c r="C45" i="14"/>
  <c r="B45" i="14"/>
  <c r="C44" i="14"/>
  <c r="B44" i="14"/>
  <c r="C43" i="14"/>
  <c r="B43" i="14"/>
  <c r="C42" i="14"/>
  <c r="B42" i="14"/>
  <c r="E41" i="14"/>
  <c r="C41" i="14"/>
  <c r="B41" i="14"/>
  <c r="C40" i="14"/>
  <c r="B40" i="14"/>
  <c r="D39" i="14"/>
  <c r="C39" i="14"/>
  <c r="B39" i="14"/>
  <c r="F38" i="14"/>
  <c r="E38" i="14"/>
  <c r="D38" i="14"/>
  <c r="C38" i="14"/>
  <c r="B38" i="14"/>
  <c r="C37" i="14"/>
  <c r="B37" i="14"/>
  <c r="C36" i="14"/>
  <c r="B36" i="14"/>
  <c r="F35" i="14"/>
  <c r="E35" i="14"/>
  <c r="C35" i="14"/>
  <c r="B35" i="14"/>
  <c r="G34" i="14"/>
  <c r="E34" i="14"/>
  <c r="D34" i="14"/>
  <c r="C34" i="14"/>
  <c r="B34" i="14"/>
  <c r="H33" i="14"/>
  <c r="E33" i="14"/>
  <c r="D33" i="14"/>
  <c r="C33" i="14"/>
  <c r="B33" i="14"/>
  <c r="H32" i="14"/>
  <c r="E32" i="14"/>
  <c r="D32" i="14"/>
  <c r="D31" i="14"/>
  <c r="C31" i="14"/>
  <c r="B31" i="14"/>
  <c r="C30" i="14"/>
  <c r="B30" i="14"/>
  <c r="H29" i="14"/>
  <c r="D29" i="14"/>
  <c r="C29" i="14"/>
  <c r="B29" i="14"/>
  <c r="E28" i="14"/>
  <c r="C28" i="14"/>
  <c r="B28" i="14"/>
  <c r="F27" i="14"/>
  <c r="E27" i="14"/>
  <c r="C27" i="14"/>
  <c r="B27" i="14"/>
  <c r="F26" i="14"/>
  <c r="E26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E20" i="14"/>
  <c r="D20" i="14"/>
  <c r="C20" i="14"/>
  <c r="C19" i="14"/>
  <c r="B19" i="14"/>
  <c r="E18" i="14"/>
  <c r="D18" i="14"/>
  <c r="C18" i="14"/>
  <c r="B18" i="14"/>
  <c r="C17" i="14"/>
  <c r="B17" i="14"/>
  <c r="C16" i="14"/>
  <c r="B16" i="14"/>
  <c r="C15" i="14"/>
  <c r="B15" i="14"/>
  <c r="E14" i="14"/>
  <c r="D14" i="14"/>
  <c r="C14" i="14"/>
  <c r="B14" i="14"/>
  <c r="C13" i="14"/>
  <c r="B13" i="14"/>
  <c r="C12" i="14"/>
  <c r="B12" i="14"/>
  <c r="C11" i="14"/>
  <c r="B11" i="14"/>
  <c r="C10" i="14"/>
  <c r="B10" i="14"/>
  <c r="B9" i="14"/>
  <c r="J9" i="14" s="1"/>
  <c r="P9" i="14" s="1"/>
  <c r="E8" i="14"/>
  <c r="C8" i="14"/>
  <c r="B8" i="14"/>
  <c r="C7" i="14"/>
  <c r="B7" i="14"/>
  <c r="C6" i="14"/>
  <c r="B6" i="14"/>
  <c r="J5" i="14"/>
  <c r="J4" i="14"/>
  <c r="J3" i="14"/>
  <c r="J2" i="14"/>
  <c r="J27" i="14" l="1"/>
  <c r="P27" i="14" s="1"/>
  <c r="J7" i="14"/>
  <c r="P7" i="14" s="1"/>
  <c r="J13" i="14"/>
  <c r="P13" i="14" s="1"/>
  <c r="J43" i="14"/>
  <c r="P43" i="14" s="1"/>
  <c r="J45" i="14"/>
  <c r="P45" i="14" s="1"/>
  <c r="J6" i="14"/>
  <c r="J12" i="14"/>
  <c r="P12" i="14" s="1"/>
  <c r="J30" i="14"/>
  <c r="P30" i="14" s="1"/>
  <c r="J10" i="14"/>
  <c r="P10" i="14" s="1"/>
  <c r="J41" i="14"/>
  <c r="P41" i="14" s="1"/>
  <c r="J8" i="14"/>
  <c r="P8" i="14" s="1"/>
  <c r="J25" i="14"/>
  <c r="P25" i="14" s="1"/>
  <c r="J29" i="14"/>
  <c r="P29" i="14" s="1"/>
  <c r="J36" i="14"/>
  <c r="P36" i="14" s="1"/>
  <c r="J40" i="14"/>
  <c r="P40" i="14" s="1"/>
  <c r="J14" i="14"/>
  <c r="P14" i="14" s="1"/>
  <c r="J28" i="14"/>
  <c r="P28" i="14" s="1"/>
  <c r="J44" i="14"/>
  <c r="P44" i="14" s="1"/>
  <c r="J33" i="14"/>
  <c r="P33" i="14" s="1"/>
  <c r="J26" i="14"/>
  <c r="P26" i="14" s="1"/>
  <c r="J21" i="14"/>
  <c r="P21" i="14" s="1"/>
  <c r="J18" i="14"/>
  <c r="P18" i="14" s="1"/>
  <c r="J23" i="14"/>
  <c r="P23" i="14" s="1"/>
  <c r="J31" i="14"/>
  <c r="P31" i="14" s="1"/>
  <c r="J24" i="14"/>
  <c r="P24" i="14" s="1"/>
  <c r="J37" i="14"/>
  <c r="P37" i="14" s="1"/>
  <c r="J46" i="14"/>
  <c r="P46" i="14" s="1"/>
  <c r="J22" i="14"/>
  <c r="P22" i="14" s="1"/>
  <c r="J39" i="14"/>
  <c r="P39" i="14" s="1"/>
  <c r="J19" i="14"/>
  <c r="P19" i="14" s="1"/>
  <c r="J34" i="14"/>
  <c r="P34" i="14" s="1"/>
  <c r="J38" i="14"/>
  <c r="P38" i="14" s="1"/>
  <c r="J15" i="14"/>
  <c r="P15" i="14" s="1"/>
  <c r="J20" i="14"/>
  <c r="P20" i="14" s="1"/>
  <c r="J11" i="14"/>
  <c r="J16" i="14"/>
  <c r="P16" i="14" s="1"/>
  <c r="J32" i="14"/>
  <c r="P32" i="14" s="1"/>
  <c r="J42" i="14"/>
  <c r="P42" i="14" s="1"/>
  <c r="J35" i="14"/>
  <c r="P35" i="14" s="1"/>
  <c r="J17" i="14"/>
  <c r="P17" i="14" s="1"/>
  <c r="G107" i="1"/>
  <c r="K104" i="1"/>
  <c r="K103" i="1"/>
  <c r="I60" i="4"/>
  <c r="I61" i="4"/>
  <c r="I62" i="4"/>
  <c r="I63" i="4"/>
  <c r="I64" i="4"/>
  <c r="K2" i="14" l="1"/>
  <c r="L2" i="14" s="1"/>
  <c r="P6" i="14"/>
  <c r="P11" i="14"/>
  <c r="L68" i="1" l="1"/>
  <c r="I96" i="1" l="1"/>
  <c r="J96" i="1" l="1"/>
  <c r="K105" i="1" s="1"/>
  <c r="K96" i="1"/>
  <c r="K106" i="1" s="1"/>
  <c r="F93" i="1"/>
  <c r="F90" i="1"/>
  <c r="P63" i="4"/>
  <c r="B21" i="1" l="1"/>
  <c r="F19" i="1" l="1"/>
  <c r="D17" i="1"/>
  <c r="D19" i="1"/>
  <c r="E19" i="1"/>
  <c r="E17" i="1"/>
  <c r="E16" i="1"/>
  <c r="B16" i="1"/>
  <c r="B19" i="1"/>
  <c r="D16" i="1"/>
  <c r="B17" i="1"/>
  <c r="F16" i="1" l="1"/>
  <c r="C17" i="1" l="1"/>
  <c r="C19" i="1"/>
  <c r="C16" i="1"/>
  <c r="I17" i="1" l="1"/>
  <c r="I19" i="1"/>
  <c r="H73" i="1" l="1"/>
  <c r="G73" i="1"/>
  <c r="H72" i="1"/>
  <c r="G72" i="1"/>
  <c r="H68" i="1" l="1"/>
  <c r="H69" i="1"/>
  <c r="H70" i="1"/>
  <c r="G68" i="1"/>
  <c r="G69" i="1"/>
  <c r="G70" i="1"/>
  <c r="H67" i="1"/>
  <c r="G67" i="1"/>
  <c r="O26" i="9" l="1"/>
  <c r="N26" i="9"/>
  <c r="H26" i="9"/>
  <c r="G26" i="9"/>
  <c r="P30" i="9"/>
  <c r="O30" i="9"/>
  <c r="N30" i="9"/>
  <c r="N29" i="9"/>
  <c r="F43" i="9"/>
  <c r="F41" i="9"/>
  <c r="F40" i="9"/>
  <c r="F42" i="9"/>
  <c r="F44" i="9"/>
  <c r="C53" i="9"/>
  <c r="D60" i="9"/>
  <c r="D53" i="9" l="1"/>
  <c r="D71" i="9" l="1"/>
  <c r="C71" i="9"/>
  <c r="D70" i="9"/>
  <c r="C70" i="9"/>
  <c r="D69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2" i="9"/>
  <c r="C52" i="9"/>
  <c r="I48" i="9"/>
  <c r="P48" i="9" s="1"/>
  <c r="H48" i="9"/>
  <c r="O48" i="9" s="1"/>
  <c r="G48" i="9"/>
  <c r="N48" i="9" s="1"/>
  <c r="I47" i="9"/>
  <c r="P47" i="9" s="1"/>
  <c r="H47" i="9"/>
  <c r="O47" i="9" s="1"/>
  <c r="G47" i="9"/>
  <c r="N47" i="9" s="1"/>
  <c r="P46" i="9"/>
  <c r="I46" i="9"/>
  <c r="H46" i="9"/>
  <c r="O46" i="9" s="1"/>
  <c r="G46" i="9"/>
  <c r="N46" i="9" s="1"/>
  <c r="O45" i="9"/>
  <c r="I45" i="9"/>
  <c r="P45" i="9" s="1"/>
  <c r="H45" i="9"/>
  <c r="G45" i="9"/>
  <c r="N45" i="9" s="1"/>
  <c r="P44" i="9"/>
  <c r="I44" i="9"/>
  <c r="H44" i="9"/>
  <c r="O44" i="9" s="1"/>
  <c r="G44" i="9"/>
  <c r="N44" i="9" s="1"/>
  <c r="P43" i="9"/>
  <c r="N43" i="9"/>
  <c r="I43" i="9"/>
  <c r="H43" i="9"/>
  <c r="O43" i="9" s="1"/>
  <c r="G43" i="9"/>
  <c r="I42" i="9"/>
  <c r="P42" i="9" s="1"/>
  <c r="H42" i="9"/>
  <c r="O42" i="9" s="1"/>
  <c r="G42" i="9"/>
  <c r="N42" i="9" s="1"/>
  <c r="P41" i="9"/>
  <c r="N41" i="9"/>
  <c r="I41" i="9"/>
  <c r="H41" i="9"/>
  <c r="O41" i="9" s="1"/>
  <c r="G41" i="9"/>
  <c r="N40" i="9"/>
  <c r="I40" i="9"/>
  <c r="P40" i="9" s="1"/>
  <c r="H40" i="9"/>
  <c r="O40" i="9" s="1"/>
  <c r="G40" i="9"/>
  <c r="P39" i="9"/>
  <c r="N39" i="9"/>
  <c r="I39" i="9"/>
  <c r="H39" i="9"/>
  <c r="O39" i="9" s="1"/>
  <c r="G39" i="9"/>
  <c r="N38" i="9"/>
  <c r="I38" i="9"/>
  <c r="P38" i="9" s="1"/>
  <c r="H38" i="9"/>
  <c r="O38" i="9" s="1"/>
  <c r="G38" i="9"/>
  <c r="P37" i="9"/>
  <c r="N37" i="9"/>
  <c r="I37" i="9"/>
  <c r="H37" i="9"/>
  <c r="O37" i="9" s="1"/>
  <c r="G37" i="9"/>
  <c r="N36" i="9"/>
  <c r="I36" i="9"/>
  <c r="P36" i="9" s="1"/>
  <c r="H36" i="9"/>
  <c r="O36" i="9" s="1"/>
  <c r="G36" i="9"/>
  <c r="P35" i="9"/>
  <c r="N35" i="9"/>
  <c r="I35" i="9"/>
  <c r="H35" i="9"/>
  <c r="O35" i="9" s="1"/>
  <c r="G35" i="9"/>
  <c r="N34" i="9"/>
  <c r="I34" i="9"/>
  <c r="P34" i="9" s="1"/>
  <c r="H34" i="9"/>
  <c r="O34" i="9" s="1"/>
  <c r="G34" i="9"/>
  <c r="P33" i="9"/>
  <c r="N33" i="9"/>
  <c r="I33" i="9"/>
  <c r="H33" i="9"/>
  <c r="O33" i="9" s="1"/>
  <c r="G33" i="9"/>
  <c r="N32" i="9"/>
  <c r="I32" i="9"/>
  <c r="P32" i="9" s="1"/>
  <c r="H32" i="9"/>
  <c r="O32" i="9" s="1"/>
  <c r="G32" i="9"/>
  <c r="P31" i="9"/>
  <c r="N31" i="9"/>
  <c r="I31" i="9"/>
  <c r="H31" i="9"/>
  <c r="O31" i="9" s="1"/>
  <c r="G31" i="9"/>
  <c r="I30" i="9"/>
  <c r="H30" i="9"/>
  <c r="G30" i="9"/>
  <c r="P29" i="9"/>
  <c r="I29" i="9"/>
  <c r="H29" i="9"/>
  <c r="O29" i="9" s="1"/>
  <c r="G29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C18" i="9"/>
  <c r="B18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C17" i="9"/>
  <c r="B17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C16" i="9"/>
  <c r="B16" i="9"/>
  <c r="T14" i="9"/>
  <c r="S14" i="9"/>
  <c r="R14" i="9"/>
  <c r="Q14" i="9"/>
  <c r="O14" i="9"/>
  <c r="N14" i="9"/>
  <c r="M14" i="9"/>
  <c r="L14" i="9"/>
  <c r="K14" i="9"/>
  <c r="J14" i="9"/>
  <c r="I14" i="9"/>
  <c r="H14" i="9"/>
  <c r="G14" i="9"/>
  <c r="F14" i="9"/>
  <c r="E14" i="9"/>
  <c r="C14" i="9"/>
  <c r="B14" i="9"/>
  <c r="T13" i="9"/>
  <c r="S13" i="9"/>
  <c r="R13" i="9"/>
  <c r="Q13" i="9"/>
  <c r="O13" i="9"/>
  <c r="N13" i="9"/>
  <c r="M13" i="9"/>
  <c r="L13" i="9"/>
  <c r="K13" i="9"/>
  <c r="J13" i="9"/>
  <c r="I13" i="9"/>
  <c r="H13" i="9"/>
  <c r="G13" i="9"/>
  <c r="F13" i="9"/>
  <c r="E13" i="9"/>
  <c r="C13" i="9"/>
  <c r="B13" i="9"/>
  <c r="T7" i="9"/>
  <c r="S7" i="9"/>
  <c r="R7" i="9"/>
  <c r="Q7" i="9"/>
  <c r="O7" i="9"/>
  <c r="N7" i="9"/>
  <c r="M7" i="9"/>
  <c r="L7" i="9"/>
  <c r="K7" i="9"/>
  <c r="J7" i="9"/>
  <c r="F7" i="9"/>
  <c r="E7" i="9"/>
  <c r="C7" i="9"/>
  <c r="B7" i="9"/>
  <c r="M2" i="5" l="1"/>
  <c r="L2" i="5"/>
  <c r="J19" i="1" l="1"/>
  <c r="I16" i="1"/>
  <c r="F35" i="1"/>
  <c r="F34" i="1"/>
  <c r="L61" i="1"/>
  <c r="I61" i="1"/>
  <c r="J16" i="1" l="1"/>
  <c r="J17" i="1"/>
  <c r="K14" i="1"/>
  <c r="K12" i="1"/>
  <c r="K24" i="1"/>
  <c r="K28" i="1"/>
  <c r="K27" i="1"/>
  <c r="K30" i="1"/>
  <c r="K29" i="1"/>
  <c r="K31" i="1"/>
  <c r="K23" i="1"/>
  <c r="K15" i="1"/>
  <c r="K5" i="1"/>
  <c r="K6" i="1"/>
  <c r="K7" i="1"/>
  <c r="K8" i="1"/>
  <c r="K9" i="1"/>
  <c r="K4" i="1"/>
  <c r="M19" i="7"/>
  <c r="K19" i="7"/>
  <c r="J8" i="7"/>
  <c r="J9" i="7"/>
  <c r="J7" i="7"/>
  <c r="L16" i="7"/>
  <c r="L17" i="7"/>
  <c r="L18" i="7"/>
  <c r="L19" i="7"/>
  <c r="L15" i="7"/>
  <c r="I7" i="7"/>
  <c r="I9" i="7"/>
  <c r="I8" i="7"/>
  <c r="L49" i="1" l="1"/>
  <c r="L50" i="1"/>
  <c r="H42" i="1" l="1"/>
  <c r="I42" i="1"/>
  <c r="L42" i="1"/>
  <c r="M42" i="1"/>
  <c r="N42" i="1"/>
  <c r="O42" i="1"/>
  <c r="H43" i="1"/>
  <c r="I43" i="1"/>
  <c r="L43" i="1"/>
  <c r="M43" i="1"/>
  <c r="N43" i="1"/>
  <c r="O43" i="1"/>
  <c r="G43" i="1"/>
  <c r="G42" i="1"/>
  <c r="F40" i="1"/>
  <c r="L41" i="1"/>
  <c r="K43" i="1" l="1"/>
  <c r="K42" i="1"/>
  <c r="M40" i="1"/>
  <c r="M41" i="1"/>
  <c r="M39" i="1"/>
  <c r="M38" i="1"/>
  <c r="M35" i="1"/>
  <c r="M34" i="1"/>
  <c r="M19" i="1"/>
  <c r="M17" i="1"/>
  <c r="M16" i="1"/>
  <c r="N19" i="1"/>
  <c r="L19" i="1"/>
  <c r="O19" i="1"/>
  <c r="G19" i="1"/>
  <c r="H19" i="1"/>
  <c r="H16" i="1"/>
  <c r="H17" i="1"/>
  <c r="L40" i="1"/>
  <c r="C30" i="3"/>
  <c r="N41" i="1"/>
  <c r="L16" i="1"/>
  <c r="L17" i="1"/>
  <c r="N17" i="1"/>
  <c r="O17" i="1"/>
  <c r="G17" i="1"/>
  <c r="F17" i="1"/>
  <c r="N40" i="1"/>
  <c r="O41" i="1"/>
  <c r="O40" i="1"/>
  <c r="F71" i="4"/>
  <c r="B60" i="4"/>
  <c r="G40" i="1"/>
  <c r="H40" i="1"/>
  <c r="I40" i="1"/>
  <c r="K40" i="1" s="1"/>
  <c r="G41" i="1"/>
  <c r="H41" i="1"/>
  <c r="I41" i="1"/>
  <c r="F41" i="1"/>
  <c r="K41" i="1" l="1"/>
  <c r="L20" i="1"/>
  <c r="K19" i="1"/>
  <c r="K17" i="1"/>
  <c r="K16" i="1"/>
  <c r="H39" i="1"/>
  <c r="H38" i="1"/>
  <c r="G39" i="1"/>
  <c r="G38" i="1"/>
  <c r="O16" i="1"/>
  <c r="N16" i="1"/>
  <c r="N34" i="1"/>
  <c r="N38" i="1"/>
  <c r="N39" i="1"/>
  <c r="N35" i="1"/>
  <c r="I38" i="1"/>
  <c r="K38" i="1" s="1"/>
  <c r="L38" i="1"/>
  <c r="L39" i="1"/>
  <c r="O39" i="1"/>
  <c r="I39" i="1"/>
  <c r="K39" i="1" s="1"/>
  <c r="O38" i="1"/>
  <c r="G35" i="1"/>
  <c r="G82" i="4"/>
  <c r="F82" i="4"/>
  <c r="E82" i="4"/>
  <c r="D82" i="4"/>
  <c r="C82" i="4"/>
  <c r="C64" i="4" s="1"/>
  <c r="B71" i="4" s="1"/>
  <c r="B82" i="4"/>
  <c r="G81" i="4"/>
  <c r="F81" i="4"/>
  <c r="F63" i="4" s="1"/>
  <c r="E70" i="4" s="1"/>
  <c r="E81" i="4"/>
  <c r="D81" i="4"/>
  <c r="C81" i="4"/>
  <c r="C63" i="4" s="1"/>
  <c r="B81" i="4"/>
  <c r="G80" i="4"/>
  <c r="F80" i="4"/>
  <c r="E80" i="4"/>
  <c r="D80" i="4"/>
  <c r="D62" i="4" s="1"/>
  <c r="C80" i="4"/>
  <c r="B80" i="4"/>
  <c r="G79" i="4"/>
  <c r="F79" i="4"/>
  <c r="E79" i="4"/>
  <c r="D79" i="4"/>
  <c r="C79" i="4"/>
  <c r="C61" i="4" s="1"/>
  <c r="B79" i="4"/>
  <c r="G78" i="4"/>
  <c r="F78" i="4"/>
  <c r="E78" i="4"/>
  <c r="D78" i="4"/>
  <c r="D60" i="4" s="1"/>
  <c r="C67" i="4" s="1"/>
  <c r="C78" i="4"/>
  <c r="B78" i="4"/>
  <c r="C68" i="4"/>
  <c r="G64" i="4"/>
  <c r="F64" i="4"/>
  <c r="E71" i="4" s="1"/>
  <c r="E64" i="4"/>
  <c r="D71" i="4" s="1"/>
  <c r="D64" i="4"/>
  <c r="C71" i="4" s="1"/>
  <c r="B64" i="4"/>
  <c r="G63" i="4"/>
  <c r="E63" i="4"/>
  <c r="D70" i="4" s="1"/>
  <c r="D63" i="4"/>
  <c r="C70" i="4" s="1"/>
  <c r="B63" i="4"/>
  <c r="B70" i="4" s="1"/>
  <c r="G62" i="4"/>
  <c r="F62" i="4"/>
  <c r="E69" i="4" s="1"/>
  <c r="E62" i="4"/>
  <c r="D69" i="4" s="1"/>
  <c r="C62" i="4"/>
  <c r="B62" i="4"/>
  <c r="B69" i="4" s="1"/>
  <c r="G61" i="4"/>
  <c r="F61" i="4"/>
  <c r="E68" i="4" s="1"/>
  <c r="E61" i="4"/>
  <c r="D68" i="4" s="1"/>
  <c r="D61" i="4"/>
  <c r="B61" i="4"/>
  <c r="H60" i="4"/>
  <c r="G60" i="4"/>
  <c r="F60" i="4"/>
  <c r="E67" i="4" s="1"/>
  <c r="E60" i="4"/>
  <c r="D67" i="4" s="1"/>
  <c r="C60" i="4"/>
  <c r="E58" i="4"/>
  <c r="D36" i="4"/>
  <c r="D38" i="4" s="1"/>
  <c r="B30" i="4" s="1"/>
  <c r="C30" i="4" s="1"/>
  <c r="F30" i="4" s="1"/>
  <c r="E32" i="4"/>
  <c r="D32" i="4"/>
  <c r="E31" i="4"/>
  <c r="D31" i="4"/>
  <c r="E30" i="4"/>
  <c r="D30" i="4"/>
  <c r="E29" i="4"/>
  <c r="D29" i="4"/>
  <c r="E22" i="4"/>
  <c r="F20" i="4"/>
  <c r="E20" i="4"/>
  <c r="D20" i="4"/>
  <c r="C20" i="4"/>
  <c r="B20" i="4"/>
  <c r="G20" i="4" s="1"/>
  <c r="F19" i="4"/>
  <c r="E19" i="4"/>
  <c r="D19" i="4"/>
  <c r="G19" i="4" s="1"/>
  <c r="C19" i="4"/>
  <c r="B19" i="4"/>
  <c r="F18" i="4"/>
  <c r="E18" i="4"/>
  <c r="D18" i="4"/>
  <c r="C18" i="4"/>
  <c r="B18" i="4"/>
  <c r="G18" i="4" s="1"/>
  <c r="B15" i="4"/>
  <c r="B14" i="4"/>
  <c r="B13" i="4"/>
  <c r="E12" i="4"/>
  <c r="B11" i="4"/>
  <c r="B12" i="4" s="1"/>
  <c r="C10" i="4"/>
  <c r="D12" i="4" s="1"/>
  <c r="D8" i="4"/>
  <c r="C69" i="4" l="1"/>
  <c r="B31" i="4"/>
  <c r="C31" i="4" s="1"/>
  <c r="F31" i="4" s="1"/>
  <c r="B32" i="4"/>
  <c r="C32" i="4" s="1"/>
  <c r="F32" i="4" s="1"/>
  <c r="B68" i="4"/>
  <c r="Q60" i="4"/>
  <c r="B29" i="4"/>
  <c r="C29" i="4" s="1"/>
  <c r="F29" i="4" s="1"/>
  <c r="G29" i="4" s="1"/>
  <c r="H29" i="4" s="1"/>
  <c r="B67" i="4"/>
  <c r="D37" i="4"/>
  <c r="Q63" i="4" l="1"/>
  <c r="O63" i="4"/>
  <c r="Q61" i="4"/>
  <c r="P61" i="4"/>
  <c r="O64" i="4"/>
  <c r="Q64" i="4"/>
  <c r="O62" i="4"/>
  <c r="Q62" i="4"/>
  <c r="P62" i="4"/>
  <c r="O35" i="1" l="1"/>
  <c r="O34" i="1"/>
  <c r="L34" i="1"/>
  <c r="L35" i="1"/>
  <c r="C14" i="3"/>
  <c r="G16" i="1" l="1"/>
  <c r="I35" i="1"/>
  <c r="K35" i="1" s="1"/>
  <c r="H35" i="1"/>
  <c r="I34" i="1"/>
  <c r="K34" i="1" s="1"/>
  <c r="H34" i="1"/>
  <c r="G34" i="1"/>
  <c r="M36" i="1" l="1"/>
  <c r="G36" i="1"/>
  <c r="N36" i="1"/>
  <c r="N37" i="1"/>
  <c r="M37" i="1"/>
  <c r="I36" i="1"/>
  <c r="O36" i="1"/>
  <c r="H36" i="1"/>
  <c r="L36" i="1"/>
  <c r="O37" i="1"/>
  <c r="L37" i="1"/>
  <c r="G37" i="1"/>
  <c r="I37" i="1"/>
  <c r="H37" i="1"/>
  <c r="K36" i="1" l="1"/>
  <c r="K37" i="1"/>
</calcChain>
</file>

<file path=xl/sharedStrings.xml><?xml version="1.0" encoding="utf-8"?>
<sst xmlns="http://schemas.openxmlformats.org/spreadsheetml/2006/main" count="1825" uniqueCount="742">
  <si>
    <t>Baseline</t>
  </si>
  <si>
    <t>S1 (BMP37)</t>
  </si>
  <si>
    <t>S1 (BMP37) + ASCP</t>
  </si>
  <si>
    <t>S1 (BMP37) + EBPR_basic</t>
  </si>
  <si>
    <t>Cost ($/yr)</t>
  </si>
  <si>
    <t>Cost_total</t>
  </si>
  <si>
    <t>Revenue ($/yr)</t>
  </si>
  <si>
    <t>Revenue_GP</t>
  </si>
  <si>
    <t>Net benefit</t>
  </si>
  <si>
    <t>Outlet_N (kg/yr)</t>
  </si>
  <si>
    <t>Outlet_TP (kg/yr)</t>
  </si>
  <si>
    <t>Outlet_streamflow (m3/yr)</t>
  </si>
  <si>
    <t>conc (mg/L)</t>
  </si>
  <si>
    <t>Outlet_N</t>
  </si>
  <si>
    <t>Outlet_TP</t>
  </si>
  <si>
    <t>Scenario 1</t>
  </si>
  <si>
    <t>Objective 1</t>
  </si>
  <si>
    <t>Objective 2</t>
  </si>
  <si>
    <t>Scenario 2</t>
  </si>
  <si>
    <t>Scenario 3</t>
  </si>
  <si>
    <t>-</t>
  </si>
  <si>
    <t>Eutrophication equivalent</t>
  </si>
  <si>
    <t>Constraint 1</t>
  </si>
  <si>
    <t>Constraint 2</t>
  </si>
  <si>
    <t>Net annual benefit</t>
  </si>
  <si>
    <t>Constraint 3</t>
  </si>
  <si>
    <t>25% reduction of sediment at Decatur lake</t>
  </si>
  <si>
    <t>45% reduction of nitrate at outlet (long-term reduction goal by 2045)</t>
  </si>
  <si>
    <t>45% reduction of TP at outlet (long-term reduction goal by 2045)</t>
  </si>
  <si>
    <t>15% reduction of nitrate at outlet (interim reduction goal by 2025)</t>
  </si>
  <si>
    <t>25% reduction of TP at outlet  (interim reduction goal by 2025)</t>
  </si>
  <si>
    <t>Annual load</t>
  </si>
  <si>
    <t>$/household/yr</t>
  </si>
  <si>
    <t>household in USRW</t>
  </si>
  <si>
    <t>$/yr</t>
  </si>
  <si>
    <t>Market price of corn</t>
  </si>
  <si>
    <t>Market price of soybean</t>
  </si>
  <si>
    <t>Electricity</t>
  </si>
  <si>
    <t>Natural gas</t>
  </si>
  <si>
    <t>Market price of struvite</t>
  </si>
  <si>
    <t>$/kg</t>
  </si>
  <si>
    <t>$/kWh</t>
  </si>
  <si>
    <t>Pameters</t>
  </si>
  <si>
    <t>Unit</t>
  </si>
  <si>
    <t>Capital cost ($/yr)</t>
  </si>
  <si>
    <t>Plant1 (wet milling with 2.1 Million corn/yr)</t>
  </si>
  <si>
    <t>Plant2 (wet milling with 5.0 milling corn/yr)</t>
  </si>
  <si>
    <t>Plant3 (dry grind with 120 Million gal ethanol/yr)</t>
  </si>
  <si>
    <t>Eutrophication impact</t>
  </si>
  <si>
    <t>Phosphorus</t>
  </si>
  <si>
    <t>Eutrophication Water (kg N eq / kg substance)</t>
  </si>
  <si>
    <t>Value</t>
  </si>
  <si>
    <t>Source</t>
  </si>
  <si>
    <t>TRACI method</t>
  </si>
  <si>
    <t>N-NO3</t>
  </si>
  <si>
    <t>Equivalence factors suggested by CML (University of Leiden, 1992)</t>
  </si>
  <si>
    <t>Parameters for WTP</t>
  </si>
  <si>
    <t>Maximum WTP</t>
  </si>
  <si>
    <t>1 kg NO3-</t>
  </si>
  <si>
    <t>kg eq PO4</t>
  </si>
  <si>
    <t>1 kg Total phosphorous (water)</t>
  </si>
  <si>
    <t>1 kg N in NO3</t>
  </si>
  <si>
    <t>Market price of rP from GP</t>
  </si>
  <si>
    <t>$/cbf</t>
  </si>
  <si>
    <t>*cost data in DWT are equivalent annualized cost</t>
  </si>
  <si>
    <t>BMP48 + AS</t>
  </si>
  <si>
    <t>BMP53 + AS</t>
  </si>
  <si>
    <t>Layout Comparison Summary</t>
  </si>
  <si>
    <t>$</t>
  </si>
  <si>
    <t>Layout Name</t>
  </si>
  <si>
    <t>Present worth</t>
  </si>
  <si>
    <t>Total project cost</t>
  </si>
  <si>
    <t>Total operation labor cost</t>
  </si>
  <si>
    <t>Total maintenance labor cost</t>
  </si>
  <si>
    <t>Total material cost</t>
  </si>
  <si>
    <t>Total chemical cost</t>
  </si>
  <si>
    <t>Total energy cost</t>
  </si>
  <si>
    <t>Total amortization cost</t>
  </si>
  <si>
    <t>AS_v2</t>
  </si>
  <si>
    <t>$231,000,000</t>
  </si>
  <si>
    <t>$135,000,000</t>
  </si>
  <si>
    <t>$4,240,000</t>
  </si>
  <si>
    <t>$1,350,000</t>
  </si>
  <si>
    <t>$1,010,000</t>
  </si>
  <si>
    <t>$675,000</t>
  </si>
  <si>
    <t>$274,000</t>
  </si>
  <si>
    <t>ASCP_v2</t>
  </si>
  <si>
    <t>$271,000,000</t>
  </si>
  <si>
    <t>$137,000,000</t>
  </si>
  <si>
    <t>$4,440,000</t>
  </si>
  <si>
    <t>$1,030,000</t>
  </si>
  <si>
    <t>$3,720,000</t>
  </si>
  <si>
    <t>$11,900,000</t>
  </si>
  <si>
    <t>EBPR_v2</t>
  </si>
  <si>
    <t>$260,000,000</t>
  </si>
  <si>
    <t>$154,000,000</t>
  </si>
  <si>
    <t>$4,390,000</t>
  </si>
  <si>
    <t>$1,440,000</t>
  </si>
  <si>
    <t>$1,150,000</t>
  </si>
  <si>
    <t>$649,000</t>
  </si>
  <si>
    <t>$714,000</t>
  </si>
  <si>
    <t>$13,400,000</t>
  </si>
  <si>
    <t>EBPR_StR_v2</t>
  </si>
  <si>
    <t>$262,000,000</t>
  </si>
  <si>
    <t>$155,000,000</t>
  </si>
  <si>
    <t>$1,450,000</t>
  </si>
  <si>
    <t>$1,210,000</t>
  </si>
  <si>
    <t>$650,000</t>
  </si>
  <si>
    <t>$13,500,000</t>
  </si>
  <si>
    <t>discount rate=</t>
  </si>
  <si>
    <t>AF=</t>
  </si>
  <si>
    <t>annualized cash</t>
  </si>
  <si>
    <t>Labor cost</t>
  </si>
  <si>
    <t>Material cost</t>
  </si>
  <si>
    <t>Chemical cost</t>
  </si>
  <si>
    <t>Energy cost</t>
  </si>
  <si>
    <t>Amortization cost</t>
  </si>
  <si>
    <t>Sum</t>
  </si>
  <si>
    <t>Activated Sludge</t>
  </si>
  <si>
    <t>ASCP</t>
  </si>
  <si>
    <t>EBPR</t>
  </si>
  <si>
    <t>Electricity ($/yr)</t>
  </si>
  <si>
    <t>Electricity (MJ/yr)</t>
  </si>
  <si>
    <t>Natural gas (MJ/yr)</t>
  </si>
  <si>
    <t>Total energy (MJ/yr)</t>
  </si>
  <si>
    <t>kWh/yr</t>
  </si>
  <si>
    <t>kWh/m3</t>
  </si>
  <si>
    <t xml:space="preserve">Anaerobic Digestion Sludge Holding Tank </t>
  </si>
  <si>
    <t>Anaerobic Digestion</t>
  </si>
  <si>
    <t>EBPR-FBR</t>
  </si>
  <si>
    <t>Electricity cost for anaerobic digestion</t>
  </si>
  <si>
    <t>Natural gas cost</t>
  </si>
  <si>
    <t>Unit price of natural gas</t>
  </si>
  <si>
    <t>$/thousand cbf</t>
  </si>
  <si>
    <t>$11,800,000</t>
  </si>
  <si>
    <t>$4,430,000</t>
  </si>
  <si>
    <t>Sludge handle</t>
  </si>
  <si>
    <t>Capital cost</t>
  </si>
  <si>
    <t>Revenue of struvite recovery</t>
  </si>
  <si>
    <t>Struvite</t>
  </si>
  <si>
    <t>Nutrient reduction</t>
  </si>
  <si>
    <t>Nitrate effluent (kg/yr)</t>
  </si>
  <si>
    <t>TP effluent (kg/yr)</t>
  </si>
  <si>
    <t>TP reduction (delta, kg/yr removal)</t>
  </si>
  <si>
    <t>Nitrate cost efficiency, compared to baseline</t>
  </si>
  <si>
    <t>TP cost efficiency, compared to baseline</t>
  </si>
  <si>
    <t>TP removal efficiency ($/(tp_in - tp_eff))</t>
  </si>
  <si>
    <t>AS</t>
  </si>
  <si>
    <t>EBPR_basic</t>
  </si>
  <si>
    <t>EBPR_acetate</t>
  </si>
  <si>
    <t>EBPR_StR</t>
  </si>
  <si>
    <t>WRRF alternative</t>
  </si>
  <si>
    <t>Fixed cost</t>
  </si>
  <si>
    <t>Sludge handling cost</t>
  </si>
  <si>
    <t>Revenuve of struvite recovery</t>
  </si>
  <si>
    <t>=Cost/TP_eff</t>
  </si>
  <si>
    <t>=(Cost1-Cost_baseline)/(TP_baseline_eff - TP_eff)</t>
  </si>
  <si>
    <t>Sludge</t>
  </si>
  <si>
    <t>Sludge_hauled</t>
  </si>
  <si>
    <t>OLD</t>
  </si>
  <si>
    <t>cost_labor_yr</t>
  </si>
  <si>
    <t>cost_material_yr</t>
  </si>
  <si>
    <t>cost_energy_yr</t>
  </si>
  <si>
    <t>cost_chemical_yr</t>
  </si>
  <si>
    <t>cost_sludge_haul_yr</t>
  </si>
  <si>
    <t>cost_cap_fix</t>
  </si>
  <si>
    <t>Outlet_in-stream sediment (ton/yr)</t>
  </si>
  <si>
    <t>Decatur_in-stream sediment (ton/yr)</t>
  </si>
  <si>
    <t>Outlet_landscape loss sediment (ton/yr)</t>
  </si>
  <si>
    <t>Decatur_landscape loss sediment (ton/yr)</t>
  </si>
  <si>
    <t>Scenario 4</t>
  </si>
  <si>
    <t>25% reduction of sediment reduction (landscape loss)</t>
  </si>
  <si>
    <t>Outlet_landscape_loss_sediment (ton/yr)</t>
  </si>
  <si>
    <t>Decatur_in-stream sediment reduction %</t>
  </si>
  <si>
    <t>BMP48 + EBPR_str</t>
  </si>
  <si>
    <t>kg/yr</t>
  </si>
  <si>
    <t>Nitrate conc. reduction %</t>
  </si>
  <si>
    <t>TP conc. reduction %</t>
  </si>
  <si>
    <t>BMP48 + EBPR_acetate</t>
  </si>
  <si>
    <t>Sum (Million)</t>
  </si>
  <si>
    <t>Baseline Nitrate (1980-1996)</t>
  </si>
  <si>
    <t>Baseline TP (1980-1996)</t>
  </si>
  <si>
    <t>Baseline of point source TP</t>
  </si>
  <si>
    <t>Baseline of point source Nitrate</t>
  </si>
  <si>
    <t>% of total nitrate</t>
  </si>
  <si>
    <t>Cost_GP</t>
  </si>
  <si>
    <t>BMP48 + EBPR_basic</t>
  </si>
  <si>
    <t>BMP37</t>
  </si>
  <si>
    <t>BMP39</t>
  </si>
  <si>
    <t>BMP46</t>
  </si>
  <si>
    <t>BMP47</t>
  </si>
  <si>
    <t>BMP48</t>
  </si>
  <si>
    <t>opt_landuse_S1_1-14</t>
  </si>
  <si>
    <t>opt_landuse_S1_1-13</t>
  </si>
  <si>
    <t>BMPs</t>
  </si>
  <si>
    <t>Cluster</t>
  </si>
  <si>
    <t>opt_landuse_S2_1-13</t>
  </si>
  <si>
    <t>Nitrate load reduction %, compared to 1980-1996 baseline</t>
  </si>
  <si>
    <t>TP load reduction %, compared to 1980-1996 baseline</t>
  </si>
  <si>
    <t>Nitrate load reduction %, compared to model baseline</t>
  </si>
  <si>
    <t>TP load reduction %, compared to model baseline</t>
  </si>
  <si>
    <t>opt_landuse_S2_1-14</t>
  </si>
  <si>
    <t>Nitrate load at Decatur</t>
  </si>
  <si>
    <t>TP load at Decatur</t>
  </si>
  <si>
    <t>Plants</t>
  </si>
  <si>
    <t>Scenario</t>
  </si>
  <si>
    <t>Amount of recovered P, phytin (kg/yr)</t>
  </si>
  <si>
    <t>Recovery P</t>
  </si>
  <si>
    <t>Net profit ($/yr)</t>
  </si>
  <si>
    <t>Annualized cost ($/yr)</t>
  </si>
  <si>
    <t>Operating cost for rP ($/kg P)</t>
  </si>
  <si>
    <t>Additional economic incentive to break even the cost for P recovery ($/yr)</t>
  </si>
  <si>
    <t>WWT</t>
  </si>
  <si>
    <t>GP</t>
  </si>
  <si>
    <t>Labor cost ($/yr)</t>
  </si>
  <si>
    <t>Material cost ($/yr)</t>
  </si>
  <si>
    <t>Energy cost ($/yr)</t>
  </si>
  <si>
    <t>Chemical cost ($/yr)</t>
  </si>
  <si>
    <t>Sludge handle ($/yr)</t>
  </si>
  <si>
    <t>Revenue of struvite recovery ($/yr)</t>
  </si>
  <si>
    <t>Total cost</t>
  </si>
  <si>
    <t>Amount of P recover (kg/yr)</t>
  </si>
  <si>
    <t>Cost for rP ($/kg)</t>
  </si>
  <si>
    <t>$ in 2018</t>
  </si>
  <si>
    <t>$ in 2014</t>
  </si>
  <si>
    <t>S1 (0.5*BMP37+0.5*BMP37) + EBPR_basic</t>
  </si>
  <si>
    <t>Corn production, kg/yr</t>
  </si>
  <si>
    <t>Soybean production, kg/yr</t>
  </si>
  <si>
    <t>BMP37 = 0.5 only</t>
  </si>
  <si>
    <t>Corn revenue ($/yr)</t>
  </si>
  <si>
    <t>Soybean revenue ($/yr)</t>
  </si>
  <si>
    <t>BMP 37=0.5 + BMP48=0.5</t>
  </si>
  <si>
    <t>BMP37 =1</t>
  </si>
  <si>
    <t>BMP48 = 1</t>
  </si>
  <si>
    <t>corn_area</t>
  </si>
  <si>
    <t>soybean_area</t>
  </si>
  <si>
    <t>BMP48 = 0.5</t>
  </si>
  <si>
    <t>BMP 37 =0.7 ; BMP 48=0.3</t>
  </si>
  <si>
    <t>opt_landuse_S1_1-16</t>
  </si>
  <si>
    <t>opt_landuse_S2_1-16</t>
  </si>
  <si>
    <t>BMP31</t>
  </si>
  <si>
    <t>BMP 46</t>
  </si>
  <si>
    <t>BMP 48</t>
  </si>
  <si>
    <t>group</t>
  </si>
  <si>
    <t>N_outlet</t>
  </si>
  <si>
    <t>TP_outlet</t>
  </si>
  <si>
    <t>Sediment_landscape_loss</t>
  </si>
  <si>
    <t>Sediment_instream_outlet</t>
  </si>
  <si>
    <t>Streamflow_outlet</t>
  </si>
  <si>
    <t>Energy_use_DWT</t>
  </si>
  <si>
    <t>Energy_use_GP</t>
  </si>
  <si>
    <t>Energy_use_WWT</t>
  </si>
  <si>
    <t>Cost_DWT</t>
  </si>
  <si>
    <t>Cost_WWT</t>
  </si>
  <si>
    <t>Cost_Crop</t>
  </si>
  <si>
    <t>Revenue_Crop</t>
  </si>
  <si>
    <t>Non_market_benefit</t>
  </si>
  <si>
    <t>Total_benefit</t>
  </si>
  <si>
    <t>Corn_yield</t>
  </si>
  <si>
    <t>Soybean_yield</t>
  </si>
  <si>
    <t>rP_struvite_from WWT</t>
  </si>
  <si>
    <t>S1</t>
  </si>
  <si>
    <t>S2</t>
  </si>
  <si>
    <t>Normalizer</t>
  </si>
  <si>
    <t>Min</t>
  </si>
  <si>
    <t>Max</t>
  </si>
  <si>
    <t>Perforamnce score</t>
  </si>
  <si>
    <t>normarlized to the range</t>
  </si>
  <si>
    <t>Metrics</t>
  </si>
  <si>
    <t>Range</t>
  </si>
  <si>
    <t>[5000,10000]</t>
  </si>
  <si>
    <t>Mg/yr</t>
  </si>
  <si>
    <t>[100, 1000]</t>
  </si>
  <si>
    <t>ton/yr</t>
  </si>
  <si>
    <t>[50,100]</t>
  </si>
  <si>
    <t>Gg/yr</t>
  </si>
  <si>
    <t>[20, 35]</t>
  </si>
  <si>
    <t>m3/yr</t>
  </si>
  <si>
    <t>[500,1500]</t>
  </si>
  <si>
    <r>
      <t>10</t>
    </r>
    <r>
      <rPr>
        <vertAlign val="superscript"/>
        <sz val="11"/>
        <color theme="1"/>
        <rFont val="等线"/>
        <family val="2"/>
        <scheme val="minor"/>
      </rPr>
      <t>6</t>
    </r>
    <r>
      <rPr>
        <sz val="11"/>
        <color theme="1"/>
        <rFont val="等线"/>
        <family val="2"/>
        <scheme val="minor"/>
      </rPr>
      <t xml:space="preserve"> m3/yr</t>
    </r>
  </si>
  <si>
    <t>Million MJ/yr</t>
  </si>
  <si>
    <t>[0,5]</t>
  </si>
  <si>
    <t>TJ/yr</t>
  </si>
  <si>
    <t>[3000,5000]</t>
  </si>
  <si>
    <t>[30,60]</t>
  </si>
  <si>
    <t>[400, 600]</t>
  </si>
  <si>
    <t>$K/yr</t>
  </si>
  <si>
    <t>[15, 20]</t>
  </si>
  <si>
    <t>$M/yr</t>
  </si>
  <si>
    <t>[1000, 2000]</t>
  </si>
  <si>
    <t>[200, 300]</t>
  </si>
  <si>
    <t>[2000, 2500]</t>
  </si>
  <si>
    <t>[400,500]</t>
  </si>
  <si>
    <t>[0,10]</t>
  </si>
  <si>
    <t>[800, 1000]</t>
  </si>
  <si>
    <t>rP_phytin_fromGP</t>
  </si>
  <si>
    <t>[0, 50]</t>
  </si>
  <si>
    <t>[0, 2]</t>
  </si>
  <si>
    <t>[450, 550]</t>
  </si>
  <si>
    <t>Percentage</t>
  </si>
  <si>
    <t>%</t>
  </si>
  <si>
    <t>Sediment_outlet</t>
  </si>
  <si>
    <t>$ 10^7 /yr</t>
  </si>
  <si>
    <t>rP_struvite_fromWWT</t>
  </si>
  <si>
    <t>Million kg/yr</t>
  </si>
  <si>
    <t>% of total TP at outlet</t>
  </si>
  <si>
    <t>% of total TP to the river</t>
  </si>
  <si>
    <t>Baseline of nonpoint soure TP to the river</t>
  </si>
  <si>
    <t>Baseline of nonpoint soure TP  at the outlet</t>
  </si>
  <si>
    <t>45% reduction</t>
  </si>
  <si>
    <t>25% reduction</t>
  </si>
  <si>
    <t>Nitrate_outlet</t>
  </si>
  <si>
    <t>Nitrate_Decatur</t>
  </si>
  <si>
    <t>TP_Decatur</t>
  </si>
  <si>
    <t>BMP48 = 1.0</t>
  </si>
  <si>
    <t>BMP55=1.0</t>
  </si>
  <si>
    <t>1980-1996 Nitrate</t>
  </si>
  <si>
    <t>1980-1996 TP</t>
  </si>
  <si>
    <t>Finding 2:</t>
  </si>
  <si>
    <t>Finding 1:  BMP-only solution will not be able to meet the TP reduction target (both long-term and short-term)</t>
  </si>
  <si>
    <t>g4_P_lake</t>
  </si>
  <si>
    <t>g1_N_outlet</t>
  </si>
  <si>
    <t>g2_P_outlet</t>
  </si>
  <si>
    <t>g3_N_lake</t>
  </si>
  <si>
    <t>g6_Sed_outlet</t>
  </si>
  <si>
    <t>g5_Sed_lake</t>
  </si>
  <si>
    <t>Combined_S1</t>
  </si>
  <si>
    <t>Combined_S2</t>
  </si>
  <si>
    <t>Single_S1</t>
  </si>
  <si>
    <t>Single_S2</t>
  </si>
  <si>
    <t>Constraints</t>
  </si>
  <si>
    <t>km2</t>
  </si>
  <si>
    <t>$/ha</t>
  </si>
  <si>
    <t>Cost_dwt_ave</t>
  </si>
  <si>
    <t>Cost_GP_ave</t>
  </si>
  <si>
    <t>Cost_wwt_acf</t>
  </si>
  <si>
    <t>Cost_crop_acf</t>
  </si>
  <si>
    <t>Envrionmental benefit_acf</t>
  </si>
  <si>
    <t>Profit_GP_acf</t>
  </si>
  <si>
    <t>Revenue_crop_acf</t>
  </si>
  <si>
    <t>Revenue_GP_ave</t>
  </si>
  <si>
    <t>Revenue_total_ave+acf</t>
  </si>
  <si>
    <t>Profit_GP_ave</t>
  </si>
  <si>
    <t>Profit_crop_acf</t>
  </si>
  <si>
    <t>Baseline (0.5) + BMP55 (0.5)</t>
  </si>
  <si>
    <t>BMP55 (1.0)</t>
  </si>
  <si>
    <t>Decatur_N (kg/yr)</t>
  </si>
  <si>
    <t>Decatur_TP (kg/yr)</t>
  </si>
  <si>
    <t>Baseline (0.5) + BMP55 (0.5); All GPs= 2</t>
  </si>
  <si>
    <t xml:space="preserve"> Results simulated on 4-5-2021</t>
  </si>
  <si>
    <t>Crop revenue</t>
  </si>
  <si>
    <t>Crop cost</t>
  </si>
  <si>
    <t>BMP1=1.0</t>
  </si>
  <si>
    <t>Crop profit</t>
  </si>
  <si>
    <t>244074.571497743 (ASCP)</t>
  </si>
  <si>
    <t>Annualized cost</t>
  </si>
  <si>
    <r>
      <t>Total cost</t>
    </r>
    <r>
      <rPr>
        <vertAlign val="superscript"/>
        <sz val="10"/>
        <rFont val="Arial"/>
        <family val="2"/>
      </rPr>
      <t>b</t>
    </r>
  </si>
  <si>
    <t>Cost for removing additional N ($/kg)</t>
  </si>
  <si>
    <t>Cost for removing additional TP ($/kg)</t>
  </si>
  <si>
    <t>EBPR-A</t>
  </si>
  <si>
    <t>EBPR-S</t>
  </si>
  <si>
    <t>Delta_N</t>
  </si>
  <si>
    <t>Delta_TP</t>
  </si>
  <si>
    <t>Removal cost</t>
  </si>
  <si>
    <t>agricultural land (ha)</t>
  </si>
  <si>
    <t>sw</t>
  </si>
  <si>
    <t>Subbasin</t>
  </si>
  <si>
    <t>corn</t>
  </si>
  <si>
    <t>soybean</t>
  </si>
  <si>
    <t>residential</t>
  </si>
  <si>
    <t>forest</t>
  </si>
  <si>
    <t>hay</t>
  </si>
  <si>
    <t>water</t>
  </si>
  <si>
    <t>industrial</t>
  </si>
  <si>
    <t>others</t>
  </si>
  <si>
    <t>Sum (ha)</t>
  </si>
  <si>
    <t>BMP1</t>
  </si>
  <si>
    <t>BMP2</t>
  </si>
  <si>
    <t>BMP3</t>
  </si>
  <si>
    <t>BMP4</t>
  </si>
  <si>
    <t>BMP5</t>
  </si>
  <si>
    <t>BMP6</t>
  </si>
  <si>
    <t>BMPs_T1</t>
  </si>
  <si>
    <t>BMPs_T2</t>
  </si>
  <si>
    <t>BMPs+ET_T1</t>
  </si>
  <si>
    <t>BMPs+ET_T2</t>
  </si>
  <si>
    <t>BMPs+BT_T1</t>
  </si>
  <si>
    <t>BMPs+BT_T2</t>
  </si>
  <si>
    <t>BMPs+ET+BT_T1</t>
  </si>
  <si>
    <t>BMPs+ET+BT_T2</t>
  </si>
  <si>
    <t>Nitrate at outlet</t>
  </si>
  <si>
    <t>TP at outlet</t>
  </si>
  <si>
    <t>baseline</t>
  </si>
  <si>
    <t>BMP7</t>
  </si>
  <si>
    <t>BMP8</t>
  </si>
  <si>
    <t>BMP9</t>
  </si>
  <si>
    <t>BMP10</t>
  </si>
  <si>
    <t>BMP11</t>
  </si>
  <si>
    <t>BMP12</t>
  </si>
  <si>
    <t>BMP13</t>
  </si>
  <si>
    <t>BMP14</t>
  </si>
  <si>
    <t>BMP15</t>
  </si>
  <si>
    <t>BMP16</t>
  </si>
  <si>
    <t>BMP17</t>
  </si>
  <si>
    <t>BMP18</t>
  </si>
  <si>
    <t>BMP19</t>
  </si>
  <si>
    <t>BMP20</t>
  </si>
  <si>
    <t>BMP21</t>
  </si>
  <si>
    <t>BMP22</t>
  </si>
  <si>
    <t>BMP23</t>
  </si>
  <si>
    <t>BMP24</t>
  </si>
  <si>
    <t>BMP25</t>
  </si>
  <si>
    <t>BMP26</t>
  </si>
  <si>
    <t>BMP27</t>
  </si>
  <si>
    <t>BMP28</t>
  </si>
  <si>
    <t>BMP29</t>
  </si>
  <si>
    <t>BMP30</t>
  </si>
  <si>
    <t>BMP32</t>
  </si>
  <si>
    <t>BMP33</t>
  </si>
  <si>
    <t>BMP34</t>
  </si>
  <si>
    <t>BMP35</t>
  </si>
  <si>
    <t>BMP36</t>
  </si>
  <si>
    <t>BMP38</t>
  </si>
  <si>
    <t>BMP40</t>
  </si>
  <si>
    <t>BMP41</t>
  </si>
  <si>
    <t>BMP42</t>
  </si>
  <si>
    <t>BMP43</t>
  </si>
  <si>
    <t>BMP44</t>
  </si>
  <si>
    <t>BMP45</t>
  </si>
  <si>
    <t>BMP49</t>
  </si>
  <si>
    <t>BMP50</t>
  </si>
  <si>
    <t>BMP51</t>
  </si>
  <si>
    <t>BMP52</t>
  </si>
  <si>
    <t>BMP53</t>
  </si>
  <si>
    <t>BMP54</t>
  </si>
  <si>
    <t>Nitrate ($/kg)</t>
  </si>
  <si>
    <t>TP ($/kg)</t>
  </si>
  <si>
    <t>Corn Price</t>
  </si>
  <si>
    <t>Soybean Price</t>
  </si>
  <si>
    <t>Baseline (kg/yr)</t>
  </si>
  <si>
    <t>Biomass (kg/yr)</t>
  </si>
  <si>
    <t>Biomass Price 1</t>
  </si>
  <si>
    <t>Biomass Price 2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</si>
  <si>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</si>
  <si>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</si>
  <si>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</si>
  <si>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</si>
  <si>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</si>
  <si>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</si>
  <si>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</si>
  <si>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</si>
  <si>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</si>
  <si>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</si>
  <si>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3-10</t>
  </si>
  <si>
    <t>Practice costs (including opportunity cost for forgone income of conr and soybean$/ha)</t>
  </si>
  <si>
    <t>Practice costs (excluding opporutnity cost, $/ha)</t>
  </si>
  <si>
    <t>https://www.indexmundi.com/commodities/?commodity=corn</t>
  </si>
  <si>
    <t>https://www.indexmundi.com/commodities/?commodity=soybeans&amp;months=360</t>
  </si>
  <si>
    <t>Seojeong1</t>
  </si>
  <si>
    <t>Seojeong2</t>
  </si>
  <si>
    <t>Crop revenue ($/yr)</t>
  </si>
  <si>
    <t>Crop profit ($/yr)</t>
  </si>
  <si>
    <t>Biomass1</t>
  </si>
  <si>
    <t>Biomass2</t>
  </si>
  <si>
    <t>Crop cost ($/yr)</t>
  </si>
  <si>
    <t>Cost for kg N reduction ($/kg)</t>
  </si>
  <si>
    <t>Cost for kg P reduction ($/kg)</t>
  </si>
  <si>
    <t>Note: Annualized value assuming 7% discount rate; The values below represent the whole watershed overall cost and profit.</t>
  </si>
  <si>
    <t>Year 11</t>
  </si>
  <si>
    <t>Year 12</t>
  </si>
  <si>
    <t>Year 13</t>
  </si>
  <si>
    <t>Year 14</t>
  </si>
  <si>
    <t>Year 15</t>
  </si>
  <si>
    <t>Year 16</t>
  </si>
  <si>
    <t>Biomass 1&amp;2</t>
  </si>
  <si>
    <t>Corn Production (kg/yr)</t>
  </si>
  <si>
    <t>Soybean Production (kg/yr)</t>
  </si>
  <si>
    <t>Biomass Production (kg/yr)</t>
  </si>
  <si>
    <t>A fair number to use for the bulk density of fine-grained (silty to
&gt;&gt; clayey) reservoir sediment is about 0.5 g/mL, which equals 0.5 metric
&gt;&gt; tons per cubic meter.</t>
  </si>
  <si>
    <t xml:space="preserve">Discussion thread: https://groups.google.com/g/swatuser/c/HoOmdZw88Zg </t>
  </si>
  <si>
    <t xml:space="preserve"> sediment bulk density (0.5 g/mL = 0.5 ton/m3) refers to the mass (i.e., dry weight) of the sediment per unit volume of wet sediment.</t>
  </si>
  <si>
    <t xml:space="preserve">Decatur </t>
  </si>
  <si>
    <t>water volumne</t>
  </si>
  <si>
    <t>m3</t>
  </si>
  <si>
    <t>sediment bulk density</t>
  </si>
  <si>
    <t>ton/m3</t>
  </si>
  <si>
    <t>Reference</t>
  </si>
  <si>
    <t>https://en.wikipedia.org/wiki/Lake_Decatur</t>
  </si>
  <si>
    <t>Dreging cost</t>
  </si>
  <si>
    <t>Volume dredged</t>
  </si>
  <si>
    <t>ton</t>
  </si>
  <si>
    <t xml:space="preserve">Total sediment dredged </t>
  </si>
  <si>
    <t>$/ton</t>
  </si>
  <si>
    <t>Cost of sediment dredging</t>
  </si>
  <si>
    <t>Lake Decatur Watershed Management Plan, Feb 28, 2021 from Greg: "The City also recently completed a $92M lake dredging program to increase storage
in the lake as over one-third of the storage capacity was lost due to sedimentation."</t>
  </si>
  <si>
    <t>Volume dredged (from Seojeong)</t>
  </si>
  <si>
    <t>https://herald-review.com/news/local/govt-and-politics/so-much-sediment-nowhere-to-put-it-lake-decatur-dredging-delayed-by-problem-at-storage/article_f64a667a-65d7-5327-929d-d024aee310ed.html</t>
  </si>
  <si>
    <t>Kevin:</t>
  </si>
  <si>
    <t>point source</t>
  </si>
  <si>
    <t>total</t>
  </si>
  <si>
    <t>Objectives</t>
  </si>
  <si>
    <t>Food</t>
  </si>
  <si>
    <t>Energy</t>
  </si>
  <si>
    <t>Water qualtiy</t>
  </si>
  <si>
    <t>Economics</t>
  </si>
  <si>
    <t>rP</t>
  </si>
  <si>
    <t>Energy-GP</t>
  </si>
  <si>
    <t>Energy-WWT</t>
  </si>
  <si>
    <t>Energy-DWT</t>
  </si>
  <si>
    <t>Illinois report</t>
  </si>
  <si>
    <t>Non-point</t>
  </si>
  <si>
    <t>Point</t>
  </si>
  <si>
    <t>Riverine Export</t>
  </si>
  <si>
    <t>Estimated storage</t>
  </si>
  <si>
    <t>Value</t>
    <phoneticPr fontId="20" type="noConversion"/>
  </si>
  <si>
    <t>Unit</t>
    <phoneticPr fontId="20" type="noConversion"/>
  </si>
  <si>
    <t>kg/yr</t>
    <phoneticPr fontId="20" type="noConversion"/>
  </si>
  <si>
    <t>$/yr</t>
    <phoneticPr fontId="20" type="noConversion"/>
  </si>
  <si>
    <t>Category</t>
    <phoneticPr fontId="20" type="noConversion"/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</si>
  <si>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</si>
  <si>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</si>
  <si>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</si>
  <si>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</si>
  <si>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</si>
  <si>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</si>
  <si>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</si>
  <si>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</si>
  <si>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</si>
  <si>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</si>
  <si>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</si>
  <si>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</si>
  <si>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</si>
  <si>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</si>
  <si>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</si>
  <si>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</si>
  <si>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</si>
  <si>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</si>
  <si>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</si>
  <si>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</si>
  <si>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</si>
  <si>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</si>
  <si>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</si>
  <si>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</si>
  <si>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</si>
  <si>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</si>
  <si>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</si>
  <si>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</si>
  <si>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</si>
  <si>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</si>
  <si>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</si>
  <si>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</si>
  <si>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</si>
  <si>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</si>
  <si>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</si>
  <si>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</si>
  <si>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</si>
  <si>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</si>
  <si>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</si>
  <si>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</si>
  <si>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</si>
  <si>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</si>
  <si>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</si>
  <si>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</si>
  <si>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</si>
  <si>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</si>
  <si>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</si>
  <si>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</si>
  <si>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</si>
  <si>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</si>
  <si>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</si>
  <si>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</si>
  <si>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</si>
  <si>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</si>
  <si>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</si>
  <si>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</si>
  <si>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</si>
  <si>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</si>
  <si>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</si>
  <si>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</si>
  <si>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</si>
  <si>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</si>
  <si>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</si>
  <si>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</si>
  <si>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</si>
  <si>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</si>
  <si>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</si>
  <si>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</si>
  <si>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</si>
  <si>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</si>
  <si>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</si>
  <si>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</si>
  <si>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</si>
  <si>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</si>
  <si>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</si>
  <si>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</si>
  <si>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</si>
  <si>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</si>
  <si>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</si>
  <si>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</si>
  <si>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</si>
  <si>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</si>
  <si>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</si>
  <si>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</si>
  <si>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</si>
  <si>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</si>
  <si>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</si>
  <si>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</si>
  <si>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</si>
  <si>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</si>
  <si>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</si>
  <si>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</si>
  <si>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</si>
  <si>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</si>
  <si>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</si>
  <si>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</si>
  <si>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</si>
  <si>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</si>
  <si>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</si>
  <si>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</si>
  <si>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BMP only</t>
    <phoneticPr fontId="20" type="noConversion"/>
  </si>
  <si>
    <t>BMPs+EBTs</t>
    <phoneticPr fontId="20" type="noConversion"/>
  </si>
  <si>
    <t>BMPs only</t>
    <phoneticPr fontId="20" type="noConversion"/>
  </si>
  <si>
    <t>N load</t>
    <phoneticPr fontId="20" type="noConversion"/>
  </si>
  <si>
    <t>P load</t>
    <phoneticPr fontId="20" type="noConversion"/>
  </si>
  <si>
    <t>Total_benefit</t>
    <phoneticPr fontId="20" type="noConversion"/>
  </si>
  <si>
    <t>Baseline</t>
    <phoneticPr fontId="20" type="noConversion"/>
  </si>
  <si>
    <t>Run1</t>
    <phoneticPr fontId="20" type="noConversion"/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</si>
  <si>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</si>
  <si>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</si>
  <si>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</si>
  <si>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</si>
  <si>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</si>
  <si>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</si>
  <si>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</si>
  <si>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</si>
  <si>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</si>
  <si>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</si>
  <si>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</si>
  <si>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</si>
  <si>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</si>
  <si>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</si>
  <si>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</si>
  <si>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</si>
  <si>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</si>
  <si>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</si>
  <si>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</si>
  <si>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</si>
  <si>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</si>
  <si>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</si>
  <si>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</si>
  <si>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</si>
  <si>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</si>
  <si>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</si>
  <si>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</si>
  <si>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</si>
  <si>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</si>
  <si>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</si>
  <si>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</si>
  <si>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</si>
  <si>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</si>
  <si>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</si>
  <si>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</si>
  <si>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</si>
  <si>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</si>
  <si>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</si>
  <si>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</si>
  <si>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</si>
  <si>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</si>
  <si>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</si>
  <si>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</si>
  <si>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</si>
  <si>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</si>
  <si>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</si>
  <si>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</si>
  <si>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</si>
  <si>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</si>
  <si>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</si>
  <si>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</si>
  <si>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</si>
  <si>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</si>
  <si>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</si>
  <si>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</si>
  <si>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</si>
  <si>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</si>
  <si>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</si>
  <si>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</si>
  <si>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</si>
  <si>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</si>
  <si>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</si>
  <si>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</si>
  <si>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</si>
  <si>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</si>
  <si>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</si>
  <si>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</si>
  <si>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</si>
  <si>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</si>
  <si>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</si>
  <si>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</si>
  <si>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</si>
  <si>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</si>
  <si>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</si>
  <si>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</si>
  <si>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</si>
  <si>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</si>
  <si>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</si>
  <si>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</si>
  <si>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</si>
  <si>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</si>
  <si>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</si>
  <si>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</si>
  <si>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</si>
  <si>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</si>
  <si>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</si>
  <si>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</si>
  <si>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</si>
  <si>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</si>
  <si>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</si>
  <si>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</si>
  <si>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</si>
  <si>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</si>
  <si>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</si>
  <si>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</si>
  <si>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</si>
  <si>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</si>
  <si>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</si>
  <si>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</si>
  <si>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Marginal abatement cost for P, $/kg P</t>
  </si>
  <si>
    <t>Marginal abatement cost for P, $/kg P</t>
    <phoneticPr fontId="20" type="noConversion"/>
  </si>
  <si>
    <t>Marginal abatement cost for N, $/kg N</t>
  </si>
  <si>
    <t>Marginal abatement cost for N, $/kg N</t>
    <phoneticPr fontId="20" type="noConversion"/>
  </si>
  <si>
    <t>WTP, $/[hh*yr]</t>
  </si>
  <si>
    <t>WTP, $/[hh*yr]</t>
    <phoneticPr fontId="20" type="noConversion"/>
  </si>
  <si>
    <t>WTP, $/yr</t>
    <phoneticPr fontId="20" type="noConversion"/>
  </si>
  <si>
    <t>class</t>
  </si>
  <si>
    <t>Land use change (%)</t>
  </si>
  <si>
    <t>Land use change (%)</t>
    <phoneticPr fontId="20" type="noConversion"/>
  </si>
  <si>
    <t>WWT_technology</t>
    <phoneticPr fontId="20" type="noConversion"/>
  </si>
  <si>
    <t>59660 </t>
    <phoneticPr fontId="20" type="noConversion"/>
  </si>
  <si>
    <t>WTP, $/kg P</t>
    <phoneticPr fontId="20" type="noConversion"/>
  </si>
  <si>
    <t>BMPs only</t>
  </si>
  <si>
    <t>Land use change to biomass (%) for BMPs + EBTs</t>
    <phoneticPr fontId="20" type="noConversion"/>
  </si>
  <si>
    <t>P reduction %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</si>
</sst>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0.0"/>
    <numFmt numFmtId="177" formatCode="_(&quot;$&quot;* #,##0_);_(&quot;$&quot;* \(#,##0\);_(&quot;$&quot;* &quot;-&quot;??_);_(@_)"/>
    <numFmt numFmtId="178" formatCode="_(* #,##0_);_(* \(#,##0\);_(* &quot;-&quot;??_);_(@_)"/>
    <numFmt numFmtId="179" formatCode="0.0%"/>
    <numFmt numFmtId="180" formatCode="_(* #,##0.0_);_(* \(#,##0.0\);_(* &quot;-&quot;??_);_(@_)"/>
    <numFmt numFmtId="181" formatCode="&quot;$&quot;#,##0"/>
    <numFmt numFmtId="182" formatCode="0.000"/>
    <numFmt numFmtId="183" formatCode="0.0000"/>
    <numFmt numFmtId="184" formatCode="0.00000"/>
    <numFmt numFmtId="185" formatCode="0.0E+00"/>
    <numFmt numFmtId="186" formatCode="_(&quot;$&quot;* #,##0.0000000_);_(&quot;$&quot;* \(#,##0.0000000\);_(&quot;$&quot;* &quot;-&quot;??_);_(@_)"/>
    <numFmt numFmtId="187" formatCode="_(&quot;$&quot;* #,##0.0_);_(&quot;$&quot;* \(#,##0.0\);_(&quot;$&quot;* &quot;-&quot;??_);_(@_)"/>
    <numFmt numFmtId="188" formatCode="0.000000"/>
    <numFmt numFmtId="189" formatCode="_(&quot;$&quot;* #,##0.000_);_(&quot;$&quot;* \(#,##0.000\);_(&quot;$&quot;* &quot;-&quot;??_);_(@_)"/>
    <numFmt numFmtId="190" formatCode="0.000E+00"/>
    <numFmt numFmtId="191" formatCode="0.00000E+00"/>
    <numFmt numFmtId="192" formatCode="0.00000_);[Red]\(0.00000\)"/>
    <numFmt numFmtId="193" formatCode="0.00_);[Red]\(0.00\)"/>
  </numFmts>
  <fonts count="2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等线"/>
      <family val="2"/>
      <scheme val="minor"/>
    </font>
    <font>
      <b/>
      <sz val="10"/>
      <color indexed="16"/>
      <name val="Arial"/>
      <family val="2"/>
    </font>
    <font>
      <b/>
      <sz val="10"/>
      <color rgb="FFFF0000"/>
      <name val="Arial"/>
      <family val="2"/>
    </font>
    <font>
      <b/>
      <sz val="11"/>
      <color rgb="FFFA7D00"/>
      <name val="等线"/>
      <family val="2"/>
      <scheme val="minor"/>
    </font>
    <font>
      <vertAlign val="superscript"/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rgb="FFFF0000"/>
      <name val="Arial"/>
      <family val="2"/>
    </font>
    <font>
      <b/>
      <sz val="11"/>
      <color rgb="FF006100"/>
      <name val="等线"/>
      <family val="2"/>
      <scheme val="minor"/>
    </font>
    <font>
      <vertAlign val="superscript"/>
      <sz val="10"/>
      <name val="Arial"/>
      <family val="2"/>
    </font>
    <font>
      <sz val="8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4"/>
      <color rgb="FF000000"/>
      <name val="Calibri"/>
      <family val="2"/>
    </font>
    <font>
      <sz val="11"/>
      <color rgb="FF9C57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0" fillId="6" borderId="3" applyNumberFormat="0" applyAlignment="0" applyProtection="0"/>
    <xf numFmtId="0" fontId="17" fillId="0" borderId="0" applyNumberFormat="0" applyFill="0" applyBorder="0" applyAlignment="0" applyProtection="0"/>
    <xf numFmtId="0" fontId="19" fillId="14" borderId="0" applyNumberFormat="0" applyBorder="0" applyAlignment="0" applyProtection="0"/>
  </cellStyleXfs>
  <cellXfs count="167">
    <xf numFmtId="0" fontId="0" fillId="0" borderId="0" xfId="0"/>
    <xf numFmtId="0" fontId="5" fillId="3" borderId="0" xfId="0" applyFont="1" applyFill="1"/>
    <xf numFmtId="176" fontId="0" fillId="0" borderId="0" xfId="0" applyNumberFormat="1"/>
    <xf numFmtId="0" fontId="5" fillId="0" borderId="0" xfId="0" applyFont="1"/>
    <xf numFmtId="177" fontId="0" fillId="0" borderId="0" xfId="2" applyNumberFormat="1" applyFont="1" applyFill="1" applyBorder="1" applyAlignment="1"/>
    <xf numFmtId="177" fontId="0" fillId="0" borderId="0" xfId="0" applyNumberFormat="1"/>
    <xf numFmtId="44" fontId="0" fillId="0" borderId="0" xfId="2" applyFont="1" applyFill="1" applyBorder="1" applyAlignment="1"/>
    <xf numFmtId="178" fontId="0" fillId="0" borderId="0" xfId="1" applyNumberFormat="1" applyFont="1" applyFill="1" applyBorder="1" applyAlignment="1"/>
    <xf numFmtId="2" fontId="0" fillId="0" borderId="0" xfId="0" applyNumberFormat="1"/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178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9" fontId="0" fillId="0" borderId="0" xfId="3" applyFont="1"/>
    <xf numFmtId="182" fontId="0" fillId="0" borderId="0" xfId="0" applyNumberFormat="1"/>
    <xf numFmtId="185" fontId="0" fillId="0" borderId="0" xfId="0" applyNumberFormat="1" applyAlignment="1">
      <alignment horizontal="center"/>
    </xf>
    <xf numFmtId="177" fontId="0" fillId="0" borderId="0" xfId="2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1" fontId="0" fillId="0" borderId="0" xfId="0" applyNumberFormat="1"/>
    <xf numFmtId="0" fontId="6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178" fontId="0" fillId="0" borderId="0" xfId="1" applyNumberFormat="1" applyFont="1" applyAlignment="1"/>
    <xf numFmtId="182" fontId="0" fillId="0" borderId="0" xfId="0" applyNumberFormat="1" applyAlignment="1"/>
    <xf numFmtId="0" fontId="8" fillId="0" borderId="0" xfId="0" applyFont="1"/>
    <xf numFmtId="44" fontId="0" fillId="0" borderId="0" xfId="2" applyFont="1" applyFill="1" applyBorder="1" applyAlignment="1">
      <alignment horizontal="left"/>
    </xf>
    <xf numFmtId="6" fontId="0" fillId="0" borderId="0" xfId="2" applyNumberFormat="1" applyFont="1" applyFill="1" applyBorder="1" applyAlignment="1"/>
    <xf numFmtId="44" fontId="0" fillId="0" borderId="0" xfId="0" applyNumberFormat="1"/>
    <xf numFmtId="44" fontId="0" fillId="3" borderId="0" xfId="2" applyFont="1" applyFill="1" applyBorder="1" applyAlignment="1">
      <alignment horizontal="left"/>
    </xf>
    <xf numFmtId="6" fontId="0" fillId="0" borderId="0" xfId="2" applyNumberFormat="1" applyFont="1" applyFill="1" applyBorder="1" applyAlignment="1">
      <alignment horizontal="left"/>
    </xf>
    <xf numFmtId="11" fontId="0" fillId="0" borderId="0" xfId="0" applyNumberFormat="1"/>
    <xf numFmtId="43" fontId="0" fillId="0" borderId="0" xfId="0" applyNumberFormat="1"/>
    <xf numFmtId="0" fontId="0" fillId="3" borderId="0" xfId="0" applyFill="1"/>
    <xf numFmtId="6" fontId="0" fillId="0" borderId="0" xfId="0" applyNumberFormat="1"/>
    <xf numFmtId="182" fontId="0" fillId="3" borderId="0" xfId="0" applyNumberFormat="1" applyFill="1"/>
    <xf numFmtId="181" fontId="0" fillId="0" borderId="0" xfId="2" applyNumberFormat="1" applyFont="1" applyFill="1" applyBorder="1" applyAlignment="1"/>
    <xf numFmtId="181" fontId="9" fillId="0" borderId="0" xfId="2" applyNumberFormat="1" applyFont="1" applyFill="1" applyBorder="1" applyAlignment="1">
      <alignment horizontal="left"/>
    </xf>
    <xf numFmtId="181" fontId="0" fillId="0" borderId="0" xfId="0" applyNumberFormat="1"/>
    <xf numFmtId="0" fontId="0" fillId="5" borderId="0" xfId="0" applyFill="1"/>
    <xf numFmtId="1" fontId="5" fillId="0" borderId="0" xfId="0" applyNumberFormat="1" applyFont="1"/>
    <xf numFmtId="2" fontId="0" fillId="0" borderId="0" xfId="2" applyNumberFormat="1" applyFont="1" applyFill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77" fontId="5" fillId="0" borderId="0" xfId="2" applyNumberFormat="1" applyFont="1" applyFill="1" applyBorder="1" applyAlignment="1">
      <alignment horizontal="center"/>
    </xf>
    <xf numFmtId="0" fontId="5" fillId="0" borderId="0" xfId="0" quotePrefix="1" applyFont="1"/>
    <xf numFmtId="0" fontId="5" fillId="0" borderId="2" xfId="0" applyFont="1" applyBorder="1"/>
    <xf numFmtId="2" fontId="5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2" applyNumberFormat="1" applyFont="1" applyFill="1" applyBorder="1" applyAlignment="1">
      <alignment horizontal="center"/>
    </xf>
    <xf numFmtId="9" fontId="0" fillId="0" borderId="0" xfId="0" applyNumberFormat="1"/>
    <xf numFmtId="0" fontId="5" fillId="0" borderId="0" xfId="0" applyFont="1" applyAlignment="1">
      <alignment horizontal="center"/>
    </xf>
    <xf numFmtId="179" fontId="0" fillId="0" borderId="0" xfId="3" applyNumberFormat="1" applyFont="1"/>
    <xf numFmtId="0" fontId="5" fillId="3" borderId="0" xfId="0" applyFont="1" applyFill="1" applyAlignment="1">
      <alignment horizontal="center"/>
    </xf>
    <xf numFmtId="177" fontId="0" fillId="0" borderId="0" xfId="2" applyNumberFormat="1" applyFont="1" applyFill="1" applyBorder="1" applyAlignment="1">
      <alignment horizontal="center"/>
    </xf>
    <xf numFmtId="178" fontId="0" fillId="0" borderId="0" xfId="1" applyNumberFormat="1" applyFont="1" applyFill="1" applyBorder="1" applyAlignment="1">
      <alignment horizontal="center"/>
    </xf>
    <xf numFmtId="179" fontId="0" fillId="0" borderId="0" xfId="3" applyNumberFormat="1" applyFont="1" applyAlignment="1">
      <alignment horizontal="center"/>
    </xf>
    <xf numFmtId="179" fontId="0" fillId="0" borderId="0" xfId="3" applyNumberFormat="1" applyFont="1" applyFill="1" applyBorder="1" applyAlignment="1">
      <alignment horizontal="center"/>
    </xf>
    <xf numFmtId="0" fontId="2" fillId="2" borderId="0" xfId="4"/>
    <xf numFmtId="178" fontId="2" fillId="2" borderId="0" xfId="4" applyNumberFormat="1"/>
    <xf numFmtId="179" fontId="2" fillId="2" borderId="0" xfId="4" applyNumberFormat="1" applyAlignment="1">
      <alignment horizontal="center"/>
    </xf>
    <xf numFmtId="186" fontId="0" fillId="0" borderId="0" xfId="2" applyNumberFormat="1" applyFont="1" applyFill="1" applyBorder="1" applyAlignment="1"/>
    <xf numFmtId="177" fontId="0" fillId="0" borderId="0" xfId="2" applyNumberFormat="1" applyFont="1"/>
    <xf numFmtId="0" fontId="2" fillId="2" borderId="0" xfId="4" applyAlignment="1">
      <alignment horizontal="center"/>
    </xf>
    <xf numFmtId="177" fontId="2" fillId="2" borderId="0" xfId="4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88" fontId="0" fillId="0" borderId="0" xfId="0" applyNumberFormat="1"/>
    <xf numFmtId="184" fontId="0" fillId="0" borderId="0" xfId="0" applyNumberFormat="1"/>
    <xf numFmtId="183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5" fontId="0" fillId="0" borderId="0" xfId="0" applyNumberFormat="1" applyAlignment="1">
      <alignment vertical="center"/>
    </xf>
    <xf numFmtId="185" fontId="7" fillId="0" borderId="0" xfId="0" applyNumberFormat="1" applyFont="1" applyAlignment="1">
      <alignment vertical="center"/>
    </xf>
    <xf numFmtId="44" fontId="0" fillId="0" borderId="0" xfId="2" applyNumberFormat="1" applyFont="1"/>
    <xf numFmtId="0" fontId="0" fillId="0" borderId="0" xfId="2" applyNumberFormat="1" applyFont="1"/>
    <xf numFmtId="189" fontId="0" fillId="0" borderId="0" xfId="0" applyNumberFormat="1"/>
    <xf numFmtId="43" fontId="0" fillId="0" borderId="0" xfId="1" applyNumberFormat="1" applyFont="1" applyFill="1" applyBorder="1" applyAlignment="1">
      <alignment horizontal="center"/>
    </xf>
    <xf numFmtId="9" fontId="2" fillId="2" borderId="0" xfId="4" applyNumberFormat="1" applyBorder="1" applyAlignment="1">
      <alignment horizontal="center"/>
    </xf>
    <xf numFmtId="43" fontId="0" fillId="0" borderId="0" xfId="0" applyNumberFormat="1" applyAlignment="1">
      <alignment horizontal="center"/>
    </xf>
    <xf numFmtId="178" fontId="0" fillId="0" borderId="0" xfId="0" applyNumberFormat="1" applyAlignment="1">
      <alignment horizontal="left"/>
    </xf>
    <xf numFmtId="0" fontId="10" fillId="6" borderId="3" xfId="5" applyAlignment="1">
      <alignment horizontal="center"/>
    </xf>
    <xf numFmtId="11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85" fontId="0" fillId="0" borderId="0" xfId="0" applyNumberFormat="1"/>
    <xf numFmtId="178" fontId="0" fillId="0" borderId="0" xfId="1" applyNumberFormat="1" applyFont="1" applyFill="1"/>
    <xf numFmtId="0" fontId="0" fillId="10" borderId="0" xfId="0" applyFill="1"/>
    <xf numFmtId="185" fontId="0" fillId="10" borderId="0" xfId="0" applyNumberFormat="1" applyFill="1"/>
    <xf numFmtId="0" fontId="4" fillId="0" borderId="0" xfId="0" applyFont="1" applyAlignment="1">
      <alignment horizontal="center" wrapText="1"/>
    </xf>
    <xf numFmtId="178" fontId="0" fillId="0" borderId="0" xfId="1" applyNumberFormat="1" applyFont="1" applyFill="1" applyAlignment="1">
      <alignment horizontal="center" wrapText="1"/>
    </xf>
    <xf numFmtId="178" fontId="0" fillId="0" borderId="0" xfId="1" applyNumberFormat="1" applyFont="1" applyFill="1" applyAlignment="1">
      <alignment horizontal="center"/>
    </xf>
    <xf numFmtId="178" fontId="0" fillId="0" borderId="0" xfId="1" applyNumberFormat="1" applyFont="1" applyFill="1" applyAlignment="1"/>
    <xf numFmtId="180" fontId="0" fillId="0" borderId="0" xfId="1" applyNumberFormat="1" applyFont="1" applyFill="1" applyAlignment="1">
      <alignment horizontal="center"/>
    </xf>
    <xf numFmtId="178" fontId="1" fillId="0" borderId="0" xfId="1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78" fontId="3" fillId="0" borderId="0" xfId="1" applyNumberFormat="1" applyFont="1" applyFill="1" applyAlignment="1">
      <alignment horizontal="center"/>
    </xf>
    <xf numFmtId="178" fontId="3" fillId="0" borderId="0" xfId="0" applyNumberFormat="1" applyFont="1" applyAlignment="1">
      <alignment horizontal="center"/>
    </xf>
    <xf numFmtId="178" fontId="7" fillId="0" borderId="0" xfId="0" applyNumberFormat="1" applyFont="1" applyAlignment="1">
      <alignment horizontal="center"/>
    </xf>
    <xf numFmtId="9" fontId="0" fillId="0" borderId="0" xfId="3" applyFont="1" applyFill="1" applyAlignment="1">
      <alignment horizontal="center"/>
    </xf>
    <xf numFmtId="187" fontId="0" fillId="0" borderId="0" xfId="2" applyNumberFormat="1" applyFont="1" applyFill="1" applyAlignment="1">
      <alignment horizontal="center" vertical="center"/>
    </xf>
    <xf numFmtId="178" fontId="12" fillId="0" borderId="0" xfId="1" applyNumberFormat="1" applyFont="1"/>
    <xf numFmtId="9" fontId="0" fillId="3" borderId="0" xfId="3" applyFont="1" applyFill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1" fontId="0" fillId="0" borderId="0" xfId="2" applyNumberFormat="1" applyFont="1" applyFill="1" applyBorder="1" applyAlignment="1">
      <alignment horizontal="center"/>
    </xf>
    <xf numFmtId="11" fontId="5" fillId="0" borderId="0" xfId="0" applyNumberFormat="1" applyFont="1" applyAlignment="1">
      <alignment horizontal="center"/>
    </xf>
    <xf numFmtId="0" fontId="13" fillId="0" borderId="0" xfId="0" applyFont="1"/>
    <xf numFmtId="0" fontId="6" fillId="3" borderId="0" xfId="0" applyFont="1" applyFill="1" applyAlignment="1">
      <alignment horizontal="center"/>
    </xf>
    <xf numFmtId="0" fontId="14" fillId="2" borderId="0" xfId="4" applyFont="1" applyAlignment="1">
      <alignment horizontal="center"/>
    </xf>
    <xf numFmtId="0" fontId="10" fillId="6" borderId="3" xfId="5" applyFont="1" applyAlignment="1">
      <alignment horizontal="center"/>
    </xf>
    <xf numFmtId="9" fontId="0" fillId="0" borderId="0" xfId="3" applyFont="1" applyAlignment="1">
      <alignment horizontal="center"/>
    </xf>
    <xf numFmtId="10" fontId="0" fillId="0" borderId="0" xfId="3" applyNumberFormat="1" applyFont="1" applyAlignment="1">
      <alignment horizontal="center"/>
    </xf>
    <xf numFmtId="11" fontId="0" fillId="3" borderId="0" xfId="0" applyNumberFormat="1" applyFill="1" applyAlignment="1">
      <alignment horizontal="center"/>
    </xf>
    <xf numFmtId="0" fontId="4" fillId="0" borderId="0" xfId="0" applyFont="1" applyAlignment="1">
      <alignment horizontal="center" vertical="center"/>
    </xf>
    <xf numFmtId="190" fontId="0" fillId="0" borderId="0" xfId="0" applyNumberFormat="1" applyAlignment="1">
      <alignment horizontal="center"/>
    </xf>
    <xf numFmtId="176" fontId="7" fillId="3" borderId="0" xfId="4" applyNumberFormat="1" applyFont="1" applyFill="1" applyAlignment="1">
      <alignment horizontal="center"/>
    </xf>
    <xf numFmtId="178" fontId="1" fillId="0" borderId="0" xfId="1" applyNumberFormat="1" applyFont="1" applyAlignment="1"/>
    <xf numFmtId="0" fontId="5" fillId="0" borderId="4" xfId="0" applyFont="1" applyBorder="1" applyAlignment="1">
      <alignment horizontal="center" vertical="center" wrapText="1"/>
    </xf>
    <xf numFmtId="178" fontId="5" fillId="0" borderId="0" xfId="1" applyNumberFormat="1" applyFont="1"/>
    <xf numFmtId="178" fontId="0" fillId="0" borderId="0" xfId="0" applyNumberFormat="1" applyAlignment="1">
      <alignment vertical="center"/>
    </xf>
    <xf numFmtId="0" fontId="0" fillId="11" borderId="0" xfId="0" applyFill="1"/>
    <xf numFmtId="9" fontId="0" fillId="3" borderId="0" xfId="3" applyFont="1" applyFill="1"/>
    <xf numFmtId="10" fontId="0" fillId="0" borderId="0" xfId="3" applyNumberFormat="1" applyFont="1"/>
    <xf numFmtId="0" fontId="0" fillId="0" borderId="0" xfId="0" applyNumberFormat="1"/>
    <xf numFmtId="176" fontId="0" fillId="0" borderId="0" xfId="2" applyNumberFormat="1" applyFont="1"/>
    <xf numFmtId="9" fontId="18" fillId="12" borderId="5" xfId="0" applyNumberFormat="1" applyFont="1" applyFill="1" applyBorder="1" applyAlignment="1">
      <alignment horizontal="center" wrapText="1" readingOrder="1"/>
    </xf>
    <xf numFmtId="9" fontId="18" fillId="13" borderId="6" xfId="0" applyNumberFormat="1" applyFont="1" applyFill="1" applyBorder="1" applyAlignment="1">
      <alignment horizontal="center" wrapText="1" readingOrder="1"/>
    </xf>
    <xf numFmtId="9" fontId="18" fillId="13" borderId="7" xfId="0" applyNumberFormat="1" applyFont="1" applyFill="1" applyBorder="1" applyAlignment="1">
      <alignment horizontal="center" wrapText="1" readingOrder="1"/>
    </xf>
    <xf numFmtId="0" fontId="0" fillId="0" borderId="0" xfId="0" applyFont="1"/>
    <xf numFmtId="1" fontId="0" fillId="0" borderId="0" xfId="0" applyNumberFormat="1" applyAlignment="1">
      <alignment horizontal="left"/>
    </xf>
    <xf numFmtId="0" fontId="17" fillId="0" borderId="0" xfId="6"/>
    <xf numFmtId="43" fontId="4" fillId="3" borderId="0" xfId="0" applyNumberFormat="1" applyFont="1" applyFill="1"/>
    <xf numFmtId="178" fontId="4" fillId="3" borderId="0" xfId="0" applyNumberFormat="1" applyFont="1" applyFill="1"/>
    <xf numFmtId="191" fontId="0" fillId="0" borderId="0" xfId="0" applyNumberFormat="1" applyAlignment="1">
      <alignment horizontal="center"/>
    </xf>
    <xf numFmtId="0" fontId="19" fillId="14" borderId="0" xfId="7"/>
    <xf numFmtId="176" fontId="19" fillId="14" borderId="0" xfId="7" applyNumberFormat="1"/>
    <xf numFmtId="0" fontId="0" fillId="0" borderId="0" xfId="0" applyFill="1"/>
    <xf numFmtId="0" fontId="2" fillId="0" borderId="0" xfId="4" applyFill="1"/>
    <xf numFmtId="0" fontId="0" fillId="0" borderId="0" xfId="0" applyFill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193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1" fillId="0" borderId="0" xfId="0" applyFont="1" applyAlignment="1">
      <alignment horizontal="center"/>
    </xf>
    <xf numFmtId="176" fontId="23" fillId="0" borderId="0" xfId="0" applyNumberFormat="1" applyFont="1" applyAlignment="1">
      <alignment horizontal="center"/>
    </xf>
    <xf numFmtId="185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92" fontId="23" fillId="0" borderId="0" xfId="0" applyNumberFormat="1" applyFont="1" applyAlignment="1">
      <alignment horizontal="center"/>
    </xf>
    <xf numFmtId="19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</cellXfs>
  <cellStyles count="8">
    <cellStyle name="Calculation" xfId="5" builtinId="22"/>
    <cellStyle name="Comma" xfId="1" builtinId="3"/>
    <cellStyle name="Currency" xfId="2" builtinId="4"/>
    <cellStyle name="Good" xfId="4" builtinId="26"/>
    <cellStyle name="Hyperlink" xfId="6" builtinId="8"/>
    <cellStyle name="Neutral" xfId="7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 of annual cost</a:t>
            </a:r>
          </a:p>
        </c:rich>
      </c:tx>
      <c:layout>
        <c:manualLayout>
          <c:xMode val="edge"/>
          <c:yMode val="edge"/>
          <c:x val="0.20856494289565153"/>
          <c:y val="1.25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009850120086339"/>
          <c:y val="0.14170013123359579"/>
          <c:w val="0.5423318031192047"/>
          <c:h val="0.7264692030318640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[1]Summary!$F$17</c:f>
              <c:strCache>
                <c:ptCount val="1"/>
                <c:pt idx="0">
                  <c:v>Amortization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[1]Summary!$A$18:$A$20</c:f>
              <c:strCache>
                <c:ptCount val="3"/>
                <c:pt idx="0">
                  <c:v>Activated Sludge</c:v>
                </c:pt>
                <c:pt idx="1">
                  <c:v>ASCP</c:v>
                </c:pt>
                <c:pt idx="2">
                  <c:v>EBPR</c:v>
                </c:pt>
              </c:strCache>
            </c:strRef>
          </c:cat>
          <c:val>
            <c:numRef>
              <c:f>[1]Summary!$F$18:$F$20</c:f>
              <c:numCache>
                <c:formatCode>General</c:formatCode>
                <c:ptCount val="3"/>
                <c:pt idx="0">
                  <c:v>11.8</c:v>
                </c:pt>
                <c:pt idx="1">
                  <c:v>11.9</c:v>
                </c:pt>
                <c:pt idx="2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6-4E0C-9A4A-A8B13E622DE2}"/>
            </c:ext>
          </c:extLst>
        </c:ser>
        <c:ser>
          <c:idx val="1"/>
          <c:order val="1"/>
          <c:tx>
            <c:strRef>
              <c:f>[1]Summary!$B$17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[1]Summary!$A$18:$A$20</c:f>
              <c:strCache>
                <c:ptCount val="3"/>
                <c:pt idx="0">
                  <c:v>Activated Sludge</c:v>
                </c:pt>
                <c:pt idx="1">
                  <c:v>ASCP</c:v>
                </c:pt>
                <c:pt idx="2">
                  <c:v>EBPR</c:v>
                </c:pt>
              </c:strCache>
            </c:strRef>
          </c:cat>
          <c:val>
            <c:numRef>
              <c:f>[1]Summary!$B$18:$B$20</c:f>
              <c:numCache>
                <c:formatCode>General</c:formatCode>
                <c:ptCount val="3"/>
                <c:pt idx="0">
                  <c:v>5.59</c:v>
                </c:pt>
                <c:pt idx="1">
                  <c:v>5.79</c:v>
                </c:pt>
                <c:pt idx="2">
                  <c:v>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6-4E0C-9A4A-A8B13E622DE2}"/>
            </c:ext>
          </c:extLst>
        </c:ser>
        <c:ser>
          <c:idx val="3"/>
          <c:order val="2"/>
          <c:tx>
            <c:strRef>
              <c:f>[1]Summary!$D$17</c:f>
              <c:strCache>
                <c:ptCount val="1"/>
                <c:pt idx="0">
                  <c:v>Chemical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[1]Summary!$A$18:$A$20</c:f>
              <c:strCache>
                <c:ptCount val="3"/>
                <c:pt idx="0">
                  <c:v>Activated Sludge</c:v>
                </c:pt>
                <c:pt idx="1">
                  <c:v>ASCP</c:v>
                </c:pt>
                <c:pt idx="2">
                  <c:v>EBPR</c:v>
                </c:pt>
              </c:strCache>
            </c:strRef>
          </c:cat>
          <c:val>
            <c:numRef>
              <c:f>[1]Summary!$D$18:$D$20</c:f>
              <c:numCache>
                <c:formatCode>General</c:formatCode>
                <c:ptCount val="3"/>
                <c:pt idx="0">
                  <c:v>0.67500000000000004</c:v>
                </c:pt>
                <c:pt idx="1">
                  <c:v>3.72</c:v>
                </c:pt>
                <c:pt idx="2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6-4E0C-9A4A-A8B13E622DE2}"/>
            </c:ext>
          </c:extLst>
        </c:ser>
        <c:ser>
          <c:idx val="2"/>
          <c:order val="3"/>
          <c:tx>
            <c:strRef>
              <c:f>[1]Summary!$C$17</c:f>
              <c:strCache>
                <c:ptCount val="1"/>
                <c:pt idx="0">
                  <c:v>Material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[1]Summary!$A$18:$A$20</c:f>
              <c:strCache>
                <c:ptCount val="3"/>
                <c:pt idx="0">
                  <c:v>Activated Sludge</c:v>
                </c:pt>
                <c:pt idx="1">
                  <c:v>ASCP</c:v>
                </c:pt>
                <c:pt idx="2">
                  <c:v>EBPR</c:v>
                </c:pt>
              </c:strCache>
            </c:strRef>
          </c:cat>
          <c:val>
            <c:numRef>
              <c:f>[1]Summary!$C$18:$C$20</c:f>
              <c:numCache>
                <c:formatCode>General</c:formatCode>
                <c:ptCount val="3"/>
                <c:pt idx="0">
                  <c:v>1.01</c:v>
                </c:pt>
                <c:pt idx="1">
                  <c:v>1.03</c:v>
                </c:pt>
                <c:pt idx="2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6-4E0C-9A4A-A8B13E622DE2}"/>
            </c:ext>
          </c:extLst>
        </c:ser>
        <c:ser>
          <c:idx val="4"/>
          <c:order val="4"/>
          <c:tx>
            <c:strRef>
              <c:f>[1]Summary!$E$17</c:f>
              <c:strCache>
                <c:ptCount val="1"/>
                <c:pt idx="0">
                  <c:v>Energy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[1]Summary!$A$18:$A$20</c:f>
              <c:strCache>
                <c:ptCount val="3"/>
                <c:pt idx="0">
                  <c:v>Activated Sludge</c:v>
                </c:pt>
                <c:pt idx="1">
                  <c:v>ASCP</c:v>
                </c:pt>
                <c:pt idx="2">
                  <c:v>EBPR</c:v>
                </c:pt>
              </c:strCache>
            </c:strRef>
          </c:cat>
          <c:val>
            <c:numRef>
              <c:f>[1]Summary!$E$18:$E$20</c:f>
              <c:numCache>
                <c:formatCode>General</c:formatCode>
                <c:ptCount val="3"/>
                <c:pt idx="0">
                  <c:v>0.27400000000000002</c:v>
                </c:pt>
                <c:pt idx="1">
                  <c:v>0.27400000000000002</c:v>
                </c:pt>
                <c:pt idx="2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6-4E0C-9A4A-A8B13E62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6389839"/>
        <c:axId val="997223551"/>
      </c:barChart>
      <c:catAx>
        <c:axId val="123638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223551"/>
        <c:crosses val="autoZero"/>
        <c:auto val="1"/>
        <c:lblAlgn val="ctr"/>
        <c:lblOffset val="100"/>
        <c:noMultiLvlLbl val="0"/>
      </c:catAx>
      <c:valAx>
        <c:axId val="9972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dollar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38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409807082719985"/>
          <c:y val="0.17771212009713735"/>
          <c:w val="0.33399637125896176"/>
          <c:h val="0.59194152132852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0132022953797"/>
          <c:y val="3.2322411327347436E-2"/>
          <c:w val="0.79698679770462033"/>
          <c:h val="0.6072799791209145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[1]Summary!$G$59</c:f>
              <c:strCache>
                <c:ptCount val="1"/>
                <c:pt idx="0">
                  <c:v>Capital cost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[1]Summary!$G$60:$G$64</c:f>
              <c:numCache>
                <c:formatCode>General</c:formatCode>
                <c:ptCount val="5"/>
                <c:pt idx="0">
                  <c:v>10.126233747937299</c:v>
                </c:pt>
                <c:pt idx="1">
                  <c:v>10.276252025684601</c:v>
                </c:pt>
                <c:pt idx="2">
                  <c:v>11.551407386535899</c:v>
                </c:pt>
                <c:pt idx="3">
                  <c:v>11.551407386535899</c:v>
                </c:pt>
                <c:pt idx="4">
                  <c:v>11.6264165254095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D6E-967C-2AA3B8DD5491}"/>
            </c:ext>
          </c:extLst>
        </c:ser>
        <c:ser>
          <c:idx val="0"/>
          <c:order val="1"/>
          <c:tx>
            <c:strRef>
              <c:f>[1]Summary!$B$59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[1]Summary!$B$60:$B$64</c:f>
              <c:numCache>
                <c:formatCode>General</c:formatCode>
                <c:ptCount val="5"/>
                <c:pt idx="0">
                  <c:v>5.59</c:v>
                </c:pt>
                <c:pt idx="1">
                  <c:v>5.79</c:v>
                </c:pt>
                <c:pt idx="2">
                  <c:v>5.83</c:v>
                </c:pt>
                <c:pt idx="3">
                  <c:v>5.83</c:v>
                </c:pt>
                <c:pt idx="4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0-4D6E-967C-2AA3B8DD5491}"/>
            </c:ext>
          </c:extLst>
        </c:ser>
        <c:ser>
          <c:idx val="2"/>
          <c:order val="2"/>
          <c:tx>
            <c:strRef>
              <c:f>[1]Summary!$D$59</c:f>
              <c:strCache>
                <c:ptCount val="1"/>
                <c:pt idx="0">
                  <c:v>Energy cost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[1]Summary!$D$60:$D$64</c:f>
              <c:numCache>
                <c:formatCode>General</c:formatCode>
                <c:ptCount val="5"/>
                <c:pt idx="0">
                  <c:v>0.85772542270857899</c:v>
                </c:pt>
                <c:pt idx="1">
                  <c:v>0.86002398833470894</c:v>
                </c:pt>
                <c:pt idx="2">
                  <c:v>0.69424503323617992</c:v>
                </c:pt>
                <c:pt idx="3">
                  <c:v>0.76734894700071499</c:v>
                </c:pt>
                <c:pt idx="4">
                  <c:v>0.64898424618591999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0-4D6E-967C-2AA3B8DD5491}"/>
            </c:ext>
          </c:extLst>
        </c:ser>
        <c:ser>
          <c:idx val="1"/>
          <c:order val="3"/>
          <c:tx>
            <c:strRef>
              <c:f>[1]Summary!$C$59</c:f>
              <c:strCache>
                <c:ptCount val="1"/>
                <c:pt idx="0">
                  <c:v>Material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[1]Summary!$C$60:$C$64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0-4D6E-967C-2AA3B8DD5491}"/>
            </c:ext>
          </c:extLst>
        </c:ser>
        <c:ser>
          <c:idx val="3"/>
          <c:order val="4"/>
          <c:tx>
            <c:strRef>
              <c:f>[1]Summary!$E$59</c:f>
              <c:strCache>
                <c:ptCount val="1"/>
                <c:pt idx="0">
                  <c:v>Chemical cost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[1]Summary!$E$60:$E$64</c:f>
              <c:numCache>
                <c:formatCode>General</c:formatCode>
                <c:ptCount val="5"/>
                <c:pt idx="0">
                  <c:v>0.15294291784302327</c:v>
                </c:pt>
                <c:pt idx="1">
                  <c:v>0.49307272667501401</c:v>
                </c:pt>
                <c:pt idx="2">
                  <c:v>0.15287147824315558</c:v>
                </c:pt>
                <c:pt idx="3">
                  <c:v>2.1251793180673828</c:v>
                </c:pt>
                <c:pt idx="4">
                  <c:v>0.84605376072233995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80-4D6E-967C-2AA3B8DD5491}"/>
            </c:ext>
          </c:extLst>
        </c:ser>
        <c:ser>
          <c:idx val="4"/>
          <c:order val="5"/>
          <c:tx>
            <c:strRef>
              <c:f>[1]Summary!$F$59</c:f>
              <c:strCache>
                <c:ptCount val="1"/>
                <c:pt idx="0">
                  <c:v>Sludge handle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[1]Summary!$F$60:$F$64</c:f>
              <c:numCache>
                <c:formatCode>General</c:formatCode>
                <c:ptCount val="5"/>
                <c:pt idx="0">
                  <c:v>4.0191553927153206E-2</c:v>
                </c:pt>
                <c:pt idx="1">
                  <c:v>9.25187139544833E-2</c:v>
                </c:pt>
                <c:pt idx="2">
                  <c:v>8.1665111053382103E-2</c:v>
                </c:pt>
                <c:pt idx="3">
                  <c:v>8.6171109855395098E-2</c:v>
                </c:pt>
                <c:pt idx="4">
                  <c:v>5.3503067017588196E-2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80-4D6E-967C-2AA3B8DD5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61398848"/>
        <c:axId val="1129730320"/>
      </c:barChart>
      <c:catAx>
        <c:axId val="5613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129730320"/>
        <c:crosses val="autoZero"/>
        <c:auto val="1"/>
        <c:lblAlgn val="ctr"/>
        <c:lblOffset val="100"/>
        <c:noMultiLvlLbl val="0"/>
      </c:catAx>
      <c:valAx>
        <c:axId val="11297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Annualized cost ($ MM/yr)</a:t>
                </a:r>
              </a:p>
            </c:rich>
          </c:tx>
          <c:layout>
            <c:manualLayout>
              <c:xMode val="edge"/>
              <c:yMode val="edge"/>
              <c:x val="6.2912229300850483E-2"/>
              <c:y val="0.11105289833781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61398848"/>
        <c:crosses val="autoZero"/>
        <c:crossBetween val="between"/>
        <c:majorUnit val="4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dTable>
      <c:spPr>
        <a:noFill/>
        <a:ln cmpd="thickThin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94825646794152"/>
          <c:y val="9.931642250295869E-2"/>
          <c:w val="0.65282997464300019"/>
          <c:h val="0.4364722604516842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[1]Summary!$G$59</c:f>
              <c:strCache>
                <c:ptCount val="1"/>
                <c:pt idx="0">
                  <c:v>Capital cost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[1]Summary!$G$60:$G$64</c:f>
              <c:numCache>
                <c:formatCode>General</c:formatCode>
                <c:ptCount val="5"/>
                <c:pt idx="0">
                  <c:v>10.126233747937299</c:v>
                </c:pt>
                <c:pt idx="1">
                  <c:v>10.276252025684601</c:v>
                </c:pt>
                <c:pt idx="2">
                  <c:v>11.551407386535899</c:v>
                </c:pt>
                <c:pt idx="3">
                  <c:v>11.551407386535899</c:v>
                </c:pt>
                <c:pt idx="4">
                  <c:v>11.6264165254095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4-41C1-BE4F-49CC7745B63F}"/>
            </c:ext>
          </c:extLst>
        </c:ser>
        <c:ser>
          <c:idx val="0"/>
          <c:order val="1"/>
          <c:tx>
            <c:strRef>
              <c:f>[1]Summary!$B$59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[1]Summary!$B$60:$B$64</c:f>
              <c:numCache>
                <c:formatCode>General</c:formatCode>
                <c:ptCount val="5"/>
                <c:pt idx="0">
                  <c:v>5.59</c:v>
                </c:pt>
                <c:pt idx="1">
                  <c:v>5.79</c:v>
                </c:pt>
                <c:pt idx="2">
                  <c:v>5.83</c:v>
                </c:pt>
                <c:pt idx="3">
                  <c:v>5.83</c:v>
                </c:pt>
                <c:pt idx="4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4-41C1-BE4F-49CC7745B63F}"/>
            </c:ext>
          </c:extLst>
        </c:ser>
        <c:ser>
          <c:idx val="2"/>
          <c:order val="2"/>
          <c:tx>
            <c:strRef>
              <c:f>[1]Summary!$D$59</c:f>
              <c:strCache>
                <c:ptCount val="1"/>
                <c:pt idx="0">
                  <c:v>Energy cost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[1]Summary!$D$60:$D$64</c:f>
              <c:numCache>
                <c:formatCode>General</c:formatCode>
                <c:ptCount val="5"/>
                <c:pt idx="0">
                  <c:v>0.85772542270857899</c:v>
                </c:pt>
                <c:pt idx="1">
                  <c:v>0.86002398833470894</c:v>
                </c:pt>
                <c:pt idx="2">
                  <c:v>0.69424503323617992</c:v>
                </c:pt>
                <c:pt idx="3">
                  <c:v>0.76734894700071499</c:v>
                </c:pt>
                <c:pt idx="4">
                  <c:v>0.64898424618591999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4-41C1-BE4F-49CC7745B63F}"/>
            </c:ext>
          </c:extLst>
        </c:ser>
        <c:ser>
          <c:idx val="1"/>
          <c:order val="3"/>
          <c:tx>
            <c:strRef>
              <c:f>[1]Summary!$C$59</c:f>
              <c:strCache>
                <c:ptCount val="1"/>
                <c:pt idx="0">
                  <c:v>Material cost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[1]Summary!$C$60:$C$64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4-41C1-BE4F-49CC7745B63F}"/>
            </c:ext>
          </c:extLst>
        </c:ser>
        <c:ser>
          <c:idx val="3"/>
          <c:order val="4"/>
          <c:tx>
            <c:strRef>
              <c:f>[1]Summary!$E$59</c:f>
              <c:strCache>
                <c:ptCount val="1"/>
                <c:pt idx="0">
                  <c:v>Chemical cost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[1]Summary!$E$60:$E$64</c:f>
              <c:numCache>
                <c:formatCode>General</c:formatCode>
                <c:ptCount val="5"/>
                <c:pt idx="0">
                  <c:v>0.15294291784302327</c:v>
                </c:pt>
                <c:pt idx="1">
                  <c:v>0.49307272667501401</c:v>
                </c:pt>
                <c:pt idx="2">
                  <c:v>0.15287147824315558</c:v>
                </c:pt>
                <c:pt idx="3">
                  <c:v>2.1251793180673828</c:v>
                </c:pt>
                <c:pt idx="4">
                  <c:v>0.84605376072233995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4-41C1-BE4F-49CC7745B63F}"/>
            </c:ext>
          </c:extLst>
        </c:ser>
        <c:ser>
          <c:idx val="4"/>
          <c:order val="5"/>
          <c:tx>
            <c:strRef>
              <c:f>[1]Summary!$F$59</c:f>
              <c:strCache>
                <c:ptCount val="1"/>
                <c:pt idx="0">
                  <c:v>Sludge handle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[1]Summary!$A$60:$A$64</c:f>
              <c:strCache>
                <c:ptCount val="5"/>
                <c:pt idx="0">
                  <c:v>AS</c:v>
                </c:pt>
                <c:pt idx="1">
                  <c:v>ASCP</c:v>
                </c:pt>
                <c:pt idx="2">
                  <c:v>EBPR_basic</c:v>
                </c:pt>
                <c:pt idx="3">
                  <c:v>EBPR_acetate</c:v>
                </c:pt>
                <c:pt idx="4">
                  <c:v>EBPR_StR</c:v>
                </c:pt>
              </c:strCache>
            </c:strRef>
          </c:cat>
          <c:val>
            <c:numRef>
              <c:f>[1]Summary!$F$60:$F$64</c:f>
              <c:numCache>
                <c:formatCode>General</c:formatCode>
                <c:ptCount val="5"/>
                <c:pt idx="0">
                  <c:v>4.0191553927153206E-2</c:v>
                </c:pt>
                <c:pt idx="1">
                  <c:v>9.25187139544833E-2</c:v>
                </c:pt>
                <c:pt idx="2">
                  <c:v>8.1665111053382103E-2</c:v>
                </c:pt>
                <c:pt idx="3">
                  <c:v>8.6171109855395098E-2</c:v>
                </c:pt>
                <c:pt idx="4">
                  <c:v>5.3503067017588196E-2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4-41C1-BE4F-49CC7745B63F}"/>
            </c:ext>
          </c:extLst>
        </c:ser>
        <c:ser>
          <c:idx val="6"/>
          <c:order val="6"/>
          <c:tx>
            <c:strRef>
              <c:f>[1]Summary!$H$59</c:f>
              <c:strCache>
                <c:ptCount val="1"/>
                <c:pt idx="0">
                  <c:v>Revenue of struvite recovery</c:v>
                </c:pt>
              </c:strCache>
            </c:strRef>
          </c:tx>
          <c:spPr>
            <a:solidFill>
              <a:schemeClr val="accent3">
                <a:tint val="48000"/>
              </a:schemeClr>
            </a:solidFill>
            <a:ln>
              <a:noFill/>
            </a:ln>
            <a:effectLst/>
          </c:spPr>
          <c:invertIfNegative val="0"/>
          <c:val>
            <c:numRef>
              <c:f>[1]Summary!$H$60:$H$64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-0.57325700000000002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14-41C1-BE4F-49CC7745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61398848"/>
        <c:axId val="1129730320"/>
      </c:barChart>
      <c:catAx>
        <c:axId val="5613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129730320"/>
        <c:crosses val="autoZero"/>
        <c:auto val="1"/>
        <c:lblAlgn val="ctr"/>
        <c:lblOffset val="100"/>
        <c:noMultiLvlLbl val="0"/>
      </c:catAx>
      <c:valAx>
        <c:axId val="11297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Annualized cost ($ MM/yr)</a:t>
                </a:r>
              </a:p>
            </c:rich>
          </c:tx>
          <c:layout>
            <c:manualLayout>
              <c:xMode val="edge"/>
              <c:yMode val="edge"/>
              <c:x val="0.10282525418785929"/>
              <c:y val="6.87128578841684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61398848"/>
        <c:crosses val="autoZero"/>
        <c:crossBetween val="between"/>
        <c:majorUnit val="4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dTable>
      <c:spPr>
        <a:noFill/>
        <a:ln cmpd="thickThin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38740693490842"/>
          <c:y val="0.1881749453050798"/>
          <c:w val="0.72022293766752554"/>
          <c:h val="0.61510958603932997"/>
        </c:manualLayout>
      </c:layout>
      <c:scatterChart>
        <c:scatterStyle val="lineMarker"/>
        <c:varyColors val="0"/>
        <c:ser>
          <c:idx val="1"/>
          <c:order val="0"/>
          <c:tx>
            <c:v>BMPs only portfolios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ITEEM_opt_Nov2021!$P$3:$P$102</c:f>
              <c:numCache>
                <c:formatCode>0.0</c:formatCode>
                <c:ptCount val="100"/>
                <c:pt idx="0">
                  <c:v>706.27497886517938</c:v>
                </c:pt>
                <c:pt idx="1">
                  <c:v>697.85835023674701</c:v>
                </c:pt>
                <c:pt idx="2">
                  <c:v>556.58960623707651</c:v>
                </c:pt>
                <c:pt idx="3">
                  <c:v>683.52258282267212</c:v>
                </c:pt>
                <c:pt idx="4">
                  <c:v>682.34218866466313</c:v>
                </c:pt>
                <c:pt idx="5">
                  <c:v>659.34264188171028</c:v>
                </c:pt>
                <c:pt idx="6">
                  <c:v>561.63631979282252</c:v>
                </c:pt>
                <c:pt idx="7">
                  <c:v>589.01331486853996</c:v>
                </c:pt>
                <c:pt idx="8">
                  <c:v>577.58976049649709</c:v>
                </c:pt>
                <c:pt idx="9">
                  <c:v>574.80738095688173</c:v>
                </c:pt>
                <c:pt idx="10">
                  <c:v>656.79146175553558</c:v>
                </c:pt>
                <c:pt idx="11">
                  <c:v>560.530179771039</c:v>
                </c:pt>
                <c:pt idx="12">
                  <c:v>678.08449998887204</c:v>
                </c:pt>
                <c:pt idx="13">
                  <c:v>680.869384120066</c:v>
                </c:pt>
                <c:pt idx="14">
                  <c:v>665.64703507083289</c:v>
                </c:pt>
                <c:pt idx="15">
                  <c:v>614.1679986262252</c:v>
                </c:pt>
                <c:pt idx="16">
                  <c:v>627.58235942015017</c:v>
                </c:pt>
                <c:pt idx="17">
                  <c:v>663.06776470892783</c:v>
                </c:pt>
                <c:pt idx="18">
                  <c:v>591.8294130909843</c:v>
                </c:pt>
                <c:pt idx="19">
                  <c:v>617.45013774118092</c:v>
                </c:pt>
                <c:pt idx="20">
                  <c:v>559.7387257913839</c:v>
                </c:pt>
                <c:pt idx="21">
                  <c:v>629.33246671091183</c:v>
                </c:pt>
                <c:pt idx="22">
                  <c:v>640.17641214522939</c:v>
                </c:pt>
                <c:pt idx="23">
                  <c:v>634.76801763940773</c:v>
                </c:pt>
                <c:pt idx="24" formatCode="0.0E+00">
                  <c:v>671.33328638736782</c:v>
                </c:pt>
                <c:pt idx="25" formatCode="0.0E+00">
                  <c:v>623.46767665538073</c:v>
                </c:pt>
                <c:pt idx="26" formatCode="0.0E+00">
                  <c:v>675.68248819160033</c:v>
                </c:pt>
                <c:pt idx="27" formatCode="0.0E+00">
                  <c:v>621.85453945714562</c:v>
                </c:pt>
                <c:pt idx="28" formatCode="0.0E+00">
                  <c:v>591.82678068153973</c:v>
                </c:pt>
                <c:pt idx="29" formatCode="0.0E+00">
                  <c:v>624.82602941522555</c:v>
                </c:pt>
                <c:pt idx="30" formatCode="0.0E+00">
                  <c:v>571.49436467676526</c:v>
                </c:pt>
                <c:pt idx="31" formatCode="0.0E+00">
                  <c:v>566.18544205316505</c:v>
                </c:pt>
                <c:pt idx="32" formatCode="0.0E+00">
                  <c:v>570.31311761715472</c:v>
                </c:pt>
                <c:pt idx="33" formatCode="0.0E+00">
                  <c:v>566.65183556645343</c:v>
                </c:pt>
                <c:pt idx="34" formatCode="0.0E+00">
                  <c:v>670.64774692967615</c:v>
                </c:pt>
                <c:pt idx="35" formatCode="0.0E+00">
                  <c:v>644.37310584783972</c:v>
                </c:pt>
                <c:pt idx="36" formatCode="0.0E+00">
                  <c:v>613.76019971121002</c:v>
                </c:pt>
                <c:pt idx="37" formatCode="0.0E+00">
                  <c:v>631.37511907077476</c:v>
                </c:pt>
                <c:pt idx="38" formatCode="0.0E+00">
                  <c:v>573.21552987617099</c:v>
                </c:pt>
                <c:pt idx="39" formatCode="0.0E+00">
                  <c:v>623.62167919981721</c:v>
                </c:pt>
                <c:pt idx="40" formatCode="0.0E+00">
                  <c:v>634.66192034158507</c:v>
                </c:pt>
                <c:pt idx="41" formatCode="0.0E+00">
                  <c:v>660.73089861823905</c:v>
                </c:pt>
                <c:pt idx="42" formatCode="0.0E+00">
                  <c:v>648.86963565627741</c:v>
                </c:pt>
                <c:pt idx="43" formatCode="0.0E+00">
                  <c:v>617.06854803254043</c:v>
                </c:pt>
                <c:pt idx="44" formatCode="0.0E+00">
                  <c:v>558.20540582260719</c:v>
                </c:pt>
                <c:pt idx="45" formatCode="0.0E+00">
                  <c:v>654.11112267061651</c:v>
                </c:pt>
                <c:pt idx="46" formatCode="0.0E+00">
                  <c:v>611.44745381125438</c:v>
                </c:pt>
                <c:pt idx="47" formatCode="0.0E+00">
                  <c:v>587.0192090703365</c:v>
                </c:pt>
                <c:pt idx="48" formatCode="0.0E+00">
                  <c:v>568.3037898729857</c:v>
                </c:pt>
                <c:pt idx="49" formatCode="0.0E+00">
                  <c:v>639.96118696355961</c:v>
                </c:pt>
                <c:pt idx="50" formatCode="0.0E+00">
                  <c:v>572.19222179457677</c:v>
                </c:pt>
                <c:pt idx="51" formatCode="0.0E+00">
                  <c:v>647.86492857805513</c:v>
                </c:pt>
                <c:pt idx="52" formatCode="0.0E+00">
                  <c:v>652.83152721461249</c:v>
                </c:pt>
                <c:pt idx="53" formatCode="0.0E+00">
                  <c:v>673.51215736104928</c:v>
                </c:pt>
                <c:pt idx="54" formatCode="0.0E+00">
                  <c:v>615.82584121240575</c:v>
                </c:pt>
                <c:pt idx="55" formatCode="0.0E+00">
                  <c:v>675.37201570958825</c:v>
                </c:pt>
                <c:pt idx="56" formatCode="0.0E+00">
                  <c:v>581.95401848234508</c:v>
                </c:pt>
                <c:pt idx="57" formatCode="0.0E+00">
                  <c:v>669.82022279469527</c:v>
                </c:pt>
                <c:pt idx="58" formatCode="0.0E+00">
                  <c:v>632.79707264564763</c:v>
                </c:pt>
                <c:pt idx="59" formatCode="0.0E+00">
                  <c:v>666.8386925495131</c:v>
                </c:pt>
                <c:pt idx="60" formatCode="0.0E+00">
                  <c:v>599.37267555530786</c:v>
                </c:pt>
                <c:pt idx="61" formatCode="0.0E+00">
                  <c:v>652.34930234773174</c:v>
                </c:pt>
                <c:pt idx="62" formatCode="0.0E+00">
                  <c:v>608.61853188306884</c:v>
                </c:pt>
                <c:pt idx="63" formatCode="0.0E+00">
                  <c:v>601.87071099187483</c:v>
                </c:pt>
                <c:pt idx="64" formatCode="0.0E+00">
                  <c:v>582.98124608077308</c:v>
                </c:pt>
                <c:pt idx="65" formatCode="0.0E+00">
                  <c:v>655.16513822788727</c:v>
                </c:pt>
                <c:pt idx="66" formatCode="0.0E+00">
                  <c:v>607.42580127943427</c:v>
                </c:pt>
                <c:pt idx="67" formatCode="0.0E+00">
                  <c:v>599.19033538735994</c:v>
                </c:pt>
                <c:pt idx="68" formatCode="0.0E+00">
                  <c:v>646.63750927613705</c:v>
                </c:pt>
                <c:pt idx="69" formatCode="0.0E+00">
                  <c:v>579.18413995740877</c:v>
                </c:pt>
                <c:pt idx="70" formatCode="0.0E+00">
                  <c:v>651.0282388881451</c:v>
                </c:pt>
                <c:pt idx="71" formatCode="0.0E+00">
                  <c:v>610.43759277105721</c:v>
                </c:pt>
                <c:pt idx="72" formatCode="0.0E+00">
                  <c:v>673.81811052797696</c:v>
                </c:pt>
                <c:pt idx="73" formatCode="0.0E+00">
                  <c:v>603.33709996329583</c:v>
                </c:pt>
                <c:pt idx="74" formatCode="0.0E+00">
                  <c:v>642.5652258082531</c:v>
                </c:pt>
                <c:pt idx="75" formatCode="0.0E+00">
                  <c:v>604.53235493850889</c:v>
                </c:pt>
                <c:pt idx="76" formatCode="0.0E+00">
                  <c:v>597.03138254705698</c:v>
                </c:pt>
                <c:pt idx="77" formatCode="0.0E+00">
                  <c:v>642.33747093102124</c:v>
                </c:pt>
                <c:pt idx="78" formatCode="0.0E+00">
                  <c:v>632.51558383272197</c:v>
                </c:pt>
                <c:pt idx="79" formatCode="0.0E+00">
                  <c:v>594.49213889635848</c:v>
                </c:pt>
                <c:pt idx="80" formatCode="0.0E+00">
                  <c:v>614.74307483853374</c:v>
                </c:pt>
                <c:pt idx="81" formatCode="0.0E+00">
                  <c:v>607.49901831798093</c:v>
                </c:pt>
                <c:pt idx="82" formatCode="0.0E+00">
                  <c:v>579.76329500120266</c:v>
                </c:pt>
                <c:pt idx="83" formatCode="0.0E+00">
                  <c:v>668.1546778779832</c:v>
                </c:pt>
                <c:pt idx="84" formatCode="0.0E+00">
                  <c:v>635.42464077130774</c:v>
                </c:pt>
                <c:pt idx="85" formatCode="0.0E+00">
                  <c:v>662.56191599246893</c:v>
                </c:pt>
                <c:pt idx="86" formatCode="0.0E+00">
                  <c:v>607.73595050192046</c:v>
                </c:pt>
                <c:pt idx="87" formatCode="0.0E+00">
                  <c:v>604.13386382492331</c:v>
                </c:pt>
                <c:pt idx="88" formatCode="0.0E+00">
                  <c:v>604.19112596459331</c:v>
                </c:pt>
                <c:pt idx="89" formatCode="0.0E+00">
                  <c:v>595.3581314553079</c:v>
                </c:pt>
                <c:pt idx="90" formatCode="0.0E+00">
                  <c:v>584.5012174608878</c:v>
                </c:pt>
                <c:pt idx="91" formatCode="0.0E+00">
                  <c:v>593.66586813015181</c:v>
                </c:pt>
                <c:pt idx="92" formatCode="0.0E+00">
                  <c:v>645.20876185566794</c:v>
                </c:pt>
                <c:pt idx="93" formatCode="0.0E+00">
                  <c:v>669.56983172680509</c:v>
                </c:pt>
                <c:pt idx="94" formatCode="0.0E+00">
                  <c:v>640.72340217866099</c:v>
                </c:pt>
                <c:pt idx="95" formatCode="0.0E+00">
                  <c:v>583.52380912239585</c:v>
                </c:pt>
                <c:pt idx="96" formatCode="0.0E+00">
                  <c:v>649.88743115284683</c:v>
                </c:pt>
                <c:pt idx="97" formatCode="0.0E+00">
                  <c:v>595.94198054420997</c:v>
                </c:pt>
                <c:pt idx="98" formatCode="0.0E+00">
                  <c:v>650.37722248522618</c:v>
                </c:pt>
                <c:pt idx="99" formatCode="0.0E+00">
                  <c:v>631.30594288321879</c:v>
                </c:pt>
              </c:numCache>
            </c:numRef>
          </c:xVal>
          <c:yVal>
            <c:numRef>
              <c:f>ITEEM_opt_Nov2021!$R$3:$R$102</c:f>
              <c:numCache>
                <c:formatCode>0.0</c:formatCode>
                <c:ptCount val="100"/>
                <c:pt idx="0">
                  <c:v>4.1133921581292743</c:v>
                </c:pt>
                <c:pt idx="1">
                  <c:v>3.6669202720659984</c:v>
                </c:pt>
                <c:pt idx="2">
                  <c:v>3.1607675733056273</c:v>
                </c:pt>
                <c:pt idx="3">
                  <c:v>4.3377159641569349</c:v>
                </c:pt>
                <c:pt idx="4">
                  <c:v>4.0256986625121396</c:v>
                </c:pt>
                <c:pt idx="5">
                  <c:v>3.7513973385106421</c:v>
                </c:pt>
                <c:pt idx="6">
                  <c:v>3.4913874152892732</c:v>
                </c:pt>
                <c:pt idx="7">
                  <c:v>4.1780781590172387</c:v>
                </c:pt>
                <c:pt idx="8">
                  <c:v>3.3574951846482892</c:v>
                </c:pt>
                <c:pt idx="9">
                  <c:v>3.2417916198599688</c:v>
                </c:pt>
                <c:pt idx="10">
                  <c:v>3.5304929850135913</c:v>
                </c:pt>
                <c:pt idx="11">
                  <c:v>3.5676250154871276</c:v>
                </c:pt>
                <c:pt idx="12">
                  <c:v>4.0979869661456014</c:v>
                </c:pt>
                <c:pt idx="13">
                  <c:v>3.9143596960356262</c:v>
                </c:pt>
                <c:pt idx="14">
                  <c:v>3.8104449448114566</c:v>
                </c:pt>
                <c:pt idx="15">
                  <c:v>3.6597120985797473</c:v>
                </c:pt>
                <c:pt idx="16">
                  <c:v>3.533726557438337</c:v>
                </c:pt>
                <c:pt idx="17">
                  <c:v>3.8039710659367572</c:v>
                </c:pt>
                <c:pt idx="18">
                  <c:v>4.144814300728715</c:v>
                </c:pt>
                <c:pt idx="19">
                  <c:v>3.4414960237821304</c:v>
                </c:pt>
                <c:pt idx="20">
                  <c:v>3.1930699085004846</c:v>
                </c:pt>
                <c:pt idx="21">
                  <c:v>3.4401689448823216</c:v>
                </c:pt>
                <c:pt idx="22">
                  <c:v>3.5355723057555659</c:v>
                </c:pt>
                <c:pt idx="23">
                  <c:v>3.465533407021574</c:v>
                </c:pt>
                <c:pt idx="24" formatCode="0.0E+00">
                  <c:v>3.8893597776309048</c:v>
                </c:pt>
                <c:pt idx="25" formatCode="0.0E+00">
                  <c:v>4.1692281721285553</c:v>
                </c:pt>
                <c:pt idx="26" formatCode="0.0E+00">
                  <c:v>3.9549583862414353</c:v>
                </c:pt>
                <c:pt idx="27" formatCode="0.0E+00">
                  <c:v>4.2965360176106797</c:v>
                </c:pt>
                <c:pt idx="28" formatCode="0.0E+00">
                  <c:v>3.3388993655113288</c:v>
                </c:pt>
                <c:pt idx="29" formatCode="0.0E+00">
                  <c:v>3.5066079639000942</c:v>
                </c:pt>
                <c:pt idx="30" formatCode="0.0E+00">
                  <c:v>3.2382828290407009</c:v>
                </c:pt>
                <c:pt idx="31" formatCode="0.0E+00">
                  <c:v>3.347073883250983</c:v>
                </c:pt>
                <c:pt idx="32" formatCode="0.0E+00">
                  <c:v>3.4464267856700435</c:v>
                </c:pt>
                <c:pt idx="33" formatCode="0.0E+00">
                  <c:v>3.4726464758750462</c:v>
                </c:pt>
                <c:pt idx="34" formatCode="0.0E+00">
                  <c:v>4.2833747721446231</c:v>
                </c:pt>
                <c:pt idx="35" formatCode="0.0E+00">
                  <c:v>3.6855914755742827</c:v>
                </c:pt>
                <c:pt idx="36" formatCode="0.0E+00">
                  <c:v>3.4629775240231795</c:v>
                </c:pt>
                <c:pt idx="37" formatCode="0.0E+00">
                  <c:v>3.5173537003230781</c:v>
                </c:pt>
                <c:pt idx="38" formatCode="0.0E+00">
                  <c:v>3.37503131690233</c:v>
                </c:pt>
                <c:pt idx="39" formatCode="0.0E+00">
                  <c:v>3.4948229610646999</c:v>
                </c:pt>
                <c:pt idx="40" formatCode="0.0E+00">
                  <c:v>4.2106884211893174</c:v>
                </c:pt>
                <c:pt idx="41" formatCode="0.0E+00">
                  <c:v>3.6358671379384027</c:v>
                </c:pt>
                <c:pt idx="42" formatCode="0.0E+00">
                  <c:v>3.5234017975029777</c:v>
                </c:pt>
                <c:pt idx="43" formatCode="0.0E+00">
                  <c:v>3.7958530084740545</c:v>
                </c:pt>
                <c:pt idx="44" formatCode="0.0E+00">
                  <c:v>3.35539352082644</c:v>
                </c:pt>
                <c:pt idx="45" formatCode="0.0E+00">
                  <c:v>3.632693791768951</c:v>
                </c:pt>
                <c:pt idx="46" formatCode="0.0E+00">
                  <c:v>3.7169946939176661</c:v>
                </c:pt>
                <c:pt idx="47" formatCode="0.0E+00">
                  <c:v>3.4236949895830544</c:v>
                </c:pt>
                <c:pt idx="48" formatCode="0.0E+00">
                  <c:v>3.3890506237478046</c:v>
                </c:pt>
                <c:pt idx="49" formatCode="0.0E+00">
                  <c:v>3.7994414101728959</c:v>
                </c:pt>
                <c:pt idx="50" formatCode="0.0E+00">
                  <c:v>3.2559733790589656</c:v>
                </c:pt>
                <c:pt idx="51" formatCode="0.0E+00">
                  <c:v>3.611188007555409</c:v>
                </c:pt>
                <c:pt idx="52" formatCode="0.0E+00">
                  <c:v>3.5274205754564143</c:v>
                </c:pt>
                <c:pt idx="53" formatCode="0.0E+00">
                  <c:v>3.6846491612881156</c:v>
                </c:pt>
                <c:pt idx="54" formatCode="0.0E+00">
                  <c:v>3.4779881786484701</c:v>
                </c:pt>
                <c:pt idx="55" formatCode="0.0E+00">
                  <c:v>3.6436936146202155</c:v>
                </c:pt>
                <c:pt idx="56" formatCode="0.0E+00">
                  <c:v>3.6522649076032101</c:v>
                </c:pt>
                <c:pt idx="57" formatCode="0.0E+00">
                  <c:v>3.5731647075103661</c:v>
                </c:pt>
                <c:pt idx="58" formatCode="0.0E+00">
                  <c:v>3.5172833084144961</c:v>
                </c:pt>
                <c:pt idx="59" formatCode="0.0E+00">
                  <c:v>3.7956450133675985</c:v>
                </c:pt>
                <c:pt idx="60" formatCode="0.0E+00">
                  <c:v>3.5788041160146671</c:v>
                </c:pt>
                <c:pt idx="61" formatCode="0.0E+00">
                  <c:v>3.5272443673196245</c:v>
                </c:pt>
                <c:pt idx="62" formatCode="0.0E+00">
                  <c:v>3.656671853694295</c:v>
                </c:pt>
                <c:pt idx="63" formatCode="0.0E+00">
                  <c:v>3.4399821683666891</c:v>
                </c:pt>
                <c:pt idx="64" formatCode="0.0E+00">
                  <c:v>3.3349890963356201</c:v>
                </c:pt>
                <c:pt idx="65" formatCode="0.0E+00">
                  <c:v>3.6585027907903727</c:v>
                </c:pt>
                <c:pt idx="66" formatCode="0.0E+00">
                  <c:v>3.6578532657677423</c:v>
                </c:pt>
                <c:pt idx="67" formatCode="0.0E+00">
                  <c:v>3.3974791057502252</c:v>
                </c:pt>
                <c:pt idx="68" formatCode="0.0E+00">
                  <c:v>3.6915690811492103</c:v>
                </c:pt>
                <c:pt idx="69" formatCode="0.0E+00">
                  <c:v>3.476443202718273</c:v>
                </c:pt>
                <c:pt idx="70" formatCode="0.0E+00">
                  <c:v>3.6607094712261072</c:v>
                </c:pt>
                <c:pt idx="71" formatCode="0.0E+00">
                  <c:v>3.4700332085621977</c:v>
                </c:pt>
                <c:pt idx="72" formatCode="0.0E+00">
                  <c:v>3.6218032956854174</c:v>
                </c:pt>
                <c:pt idx="73" formatCode="0.0E+00">
                  <c:v>3.4554012700501811</c:v>
                </c:pt>
                <c:pt idx="74" formatCode="0.0E+00">
                  <c:v>3.5471792948818734</c:v>
                </c:pt>
                <c:pt idx="75" formatCode="0.0E+00">
                  <c:v>3.4394952735277116</c:v>
                </c:pt>
                <c:pt idx="76" formatCode="0.0E+00">
                  <c:v>3.6066308945252801</c:v>
                </c:pt>
                <c:pt idx="77" formatCode="0.0E+00">
                  <c:v>3.7036039666121292</c:v>
                </c:pt>
                <c:pt idx="78" formatCode="0.0E+00">
                  <c:v>3.5507345651931059</c:v>
                </c:pt>
                <c:pt idx="79" formatCode="0.0E+00">
                  <c:v>4.1556953046989635</c:v>
                </c:pt>
                <c:pt idx="80" formatCode="0.0E+00">
                  <c:v>3.4998976985008587</c:v>
                </c:pt>
                <c:pt idx="81" formatCode="0.0E+00">
                  <c:v>4.1590188253819802</c:v>
                </c:pt>
                <c:pt idx="82" formatCode="0.0E+00">
                  <c:v>3.2796080397872793</c:v>
                </c:pt>
                <c:pt idx="83" formatCode="0.0E+00">
                  <c:v>3.7459032508753509</c:v>
                </c:pt>
                <c:pt idx="84" formatCode="0.0E+00">
                  <c:v>3.7983666658556268</c:v>
                </c:pt>
                <c:pt idx="85" formatCode="0.0E+00">
                  <c:v>3.5905749351111265</c:v>
                </c:pt>
                <c:pt idx="86" formatCode="0.0E+00">
                  <c:v>3.4618325238603997</c:v>
                </c:pt>
                <c:pt idx="87" formatCode="0.0E+00">
                  <c:v>3.6580510713467933</c:v>
                </c:pt>
                <c:pt idx="88" formatCode="0.0E+00">
                  <c:v>3.3686578452056395</c:v>
                </c:pt>
                <c:pt idx="89" formatCode="0.0E+00">
                  <c:v>3.345249764773309</c:v>
                </c:pt>
                <c:pt idx="90" formatCode="0.0E+00">
                  <c:v>3.5014945492984162</c:v>
                </c:pt>
                <c:pt idx="91" formatCode="0.0E+00">
                  <c:v>4.0996384409845046</c:v>
                </c:pt>
                <c:pt idx="92" formatCode="0.0E+00">
                  <c:v>4.1629472801666472</c:v>
                </c:pt>
                <c:pt idx="93" formatCode="0.0E+00">
                  <c:v>4.3997996593901103</c:v>
                </c:pt>
                <c:pt idx="94" formatCode="0.0E+00">
                  <c:v>3.7085513764179039</c:v>
                </c:pt>
                <c:pt idx="95" formatCode="0.0E+00">
                  <c:v>3.5541541268050776</c:v>
                </c:pt>
                <c:pt idx="96" formatCode="0.0E+00">
                  <c:v>4.3131593371256081</c:v>
                </c:pt>
                <c:pt idx="97" formatCode="0.0E+00">
                  <c:v>3.6218143226602142</c:v>
                </c:pt>
                <c:pt idx="98" formatCode="0.0E+00">
                  <c:v>4.017535270547282</c:v>
                </c:pt>
                <c:pt idx="99" formatCode="0.0E+00">
                  <c:v>4.3092241250936265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5-43EA-BC4C-826B1BA43B4C}"/>
            </c:ext>
          </c:extLst>
        </c:ser>
        <c:ser>
          <c:idx val="3"/>
          <c:order val="1"/>
          <c:tx>
            <c:v>BMPs + EBTs portfolios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ITEEM_opt_Nov2021!$W$3:$W$102</c:f>
              <c:numCache>
                <c:formatCode>0.00_);[Red]\(0.00\)</c:formatCode>
                <c:ptCount val="100"/>
                <c:pt idx="0">
                  <c:v>3.838760448407879</c:v>
                </c:pt>
                <c:pt idx="1">
                  <c:v>103.47640406996054</c:v>
                </c:pt>
                <c:pt idx="2">
                  <c:v>102.74488407316636</c:v>
                </c:pt>
                <c:pt idx="3">
                  <c:v>10.170378530529071</c:v>
                </c:pt>
                <c:pt idx="4">
                  <c:v>4.4238963965372804</c:v>
                </c:pt>
                <c:pt idx="5">
                  <c:v>20.696135125353308</c:v>
                </c:pt>
                <c:pt idx="6">
                  <c:v>49.848429814752265</c:v>
                </c:pt>
                <c:pt idx="7">
                  <c:v>5.7582919845176379</c:v>
                </c:pt>
                <c:pt idx="8">
                  <c:v>47.135165705076034</c:v>
                </c:pt>
                <c:pt idx="9">
                  <c:v>102.81952001075507</c:v>
                </c:pt>
                <c:pt idx="10">
                  <c:v>103.36457258453662</c:v>
                </c:pt>
                <c:pt idx="11">
                  <c:v>4.2440938717383965</c:v>
                </c:pt>
                <c:pt idx="12">
                  <c:v>69.905987262480807</c:v>
                </c:pt>
                <c:pt idx="13">
                  <c:v>11.269162028815622</c:v>
                </c:pt>
                <c:pt idx="14">
                  <c:v>20.939096609563283</c:v>
                </c:pt>
                <c:pt idx="15">
                  <c:v>18.035221663246261</c:v>
                </c:pt>
                <c:pt idx="16">
                  <c:v>43.383707480386448</c:v>
                </c:pt>
                <c:pt idx="17">
                  <c:v>83.789717456287903</c:v>
                </c:pt>
                <c:pt idx="18">
                  <c:v>8.2829753423990589</c:v>
                </c:pt>
                <c:pt idx="19">
                  <c:v>85.974006722365544</c:v>
                </c:pt>
                <c:pt idx="20">
                  <c:v>81.551103797732779</c:v>
                </c:pt>
                <c:pt idx="21">
                  <c:v>97.087574688185413</c:v>
                </c:pt>
                <c:pt idx="22">
                  <c:v>71.793350806843506</c:v>
                </c:pt>
                <c:pt idx="23">
                  <c:v>87.836080016265512</c:v>
                </c:pt>
                <c:pt idx="24">
                  <c:v>14.57291752587561</c:v>
                </c:pt>
                <c:pt idx="25">
                  <c:v>19.778454633263195</c:v>
                </c:pt>
                <c:pt idx="26">
                  <c:v>16.553948485852182</c:v>
                </c:pt>
                <c:pt idx="27">
                  <c:v>7.3719748997516303</c:v>
                </c:pt>
                <c:pt idx="28">
                  <c:v>89.632254345422453</c:v>
                </c:pt>
                <c:pt idx="29">
                  <c:v>66.170775935442947</c:v>
                </c:pt>
                <c:pt idx="30">
                  <c:v>99.693022818359296</c:v>
                </c:pt>
                <c:pt idx="31">
                  <c:v>43.990012993821018</c:v>
                </c:pt>
                <c:pt idx="32">
                  <c:v>18.953278510452531</c:v>
                </c:pt>
                <c:pt idx="33">
                  <c:v>56.286606974333147</c:v>
                </c:pt>
                <c:pt idx="34">
                  <c:v>29.552330237362462</c:v>
                </c:pt>
                <c:pt idx="35">
                  <c:v>21.56956738814165</c:v>
                </c:pt>
                <c:pt idx="36">
                  <c:v>66.4652840366319</c:v>
                </c:pt>
                <c:pt idx="37">
                  <c:v>70.408470871054689</c:v>
                </c:pt>
                <c:pt idx="38">
                  <c:v>51.624692567852705</c:v>
                </c:pt>
                <c:pt idx="39">
                  <c:v>62.937580154880045</c:v>
                </c:pt>
                <c:pt idx="40">
                  <c:v>24.097615554680885</c:v>
                </c:pt>
                <c:pt idx="41">
                  <c:v>60.405360074005401</c:v>
                </c:pt>
                <c:pt idx="42">
                  <c:v>91.150777413234749</c:v>
                </c:pt>
                <c:pt idx="43">
                  <c:v>39.012520607658999</c:v>
                </c:pt>
                <c:pt idx="44">
                  <c:v>31.642692925024281</c:v>
                </c:pt>
                <c:pt idx="45">
                  <c:v>62.624425380648979</c:v>
                </c:pt>
                <c:pt idx="46">
                  <c:v>42.605250877135177</c:v>
                </c:pt>
                <c:pt idx="47">
                  <c:v>36.323119053553761</c:v>
                </c:pt>
                <c:pt idx="48">
                  <c:v>35.38071037998585</c:v>
                </c:pt>
                <c:pt idx="49">
                  <c:v>47.909543448998001</c:v>
                </c:pt>
                <c:pt idx="50">
                  <c:v>92.242552714678254</c:v>
                </c:pt>
                <c:pt idx="51">
                  <c:v>57.153811926163449</c:v>
                </c:pt>
                <c:pt idx="52">
                  <c:v>96.159187712792516</c:v>
                </c:pt>
                <c:pt idx="53">
                  <c:v>59.250521950971446</c:v>
                </c:pt>
                <c:pt idx="54">
                  <c:v>70.707209321177913</c:v>
                </c:pt>
                <c:pt idx="55">
                  <c:v>80.736665818035632</c:v>
                </c:pt>
                <c:pt idx="56">
                  <c:v>40.74732601814199</c:v>
                </c:pt>
                <c:pt idx="57">
                  <c:v>100.44566825702238</c:v>
                </c:pt>
                <c:pt idx="58">
                  <c:v>75.90150494765065</c:v>
                </c:pt>
                <c:pt idx="59">
                  <c:v>23.014055860696814</c:v>
                </c:pt>
                <c:pt idx="60">
                  <c:v>29.880941307063949</c:v>
                </c:pt>
                <c:pt idx="61">
                  <c:v>93.146806802962558</c:v>
                </c:pt>
                <c:pt idx="62">
                  <c:v>49.165027475731371</c:v>
                </c:pt>
                <c:pt idx="63">
                  <c:v>69.555503599481739</c:v>
                </c:pt>
                <c:pt idx="64">
                  <c:v>77.714773087539314</c:v>
                </c:pt>
                <c:pt idx="65">
                  <c:v>52.704595591284829</c:v>
                </c:pt>
                <c:pt idx="66">
                  <c:v>52.350376418729709</c:v>
                </c:pt>
                <c:pt idx="67">
                  <c:v>75.134667316403423</c:v>
                </c:pt>
                <c:pt idx="68">
                  <c:v>28.507674921618939</c:v>
                </c:pt>
                <c:pt idx="69">
                  <c:v>35.680112196739358</c:v>
                </c:pt>
                <c:pt idx="70">
                  <c:v>35.162623994823491</c:v>
                </c:pt>
                <c:pt idx="71">
                  <c:v>52.090328802149095</c:v>
                </c:pt>
                <c:pt idx="72">
                  <c:v>86.868530016031627</c:v>
                </c:pt>
                <c:pt idx="73">
                  <c:v>48.098676398930735</c:v>
                </c:pt>
                <c:pt idx="74">
                  <c:v>74.175423248463858</c:v>
                </c:pt>
                <c:pt idx="75">
                  <c:v>58.302024710576532</c:v>
                </c:pt>
                <c:pt idx="76">
                  <c:v>16.104187872380407</c:v>
                </c:pt>
                <c:pt idx="77">
                  <c:v>39.939231358852794</c:v>
                </c:pt>
                <c:pt idx="78">
                  <c:v>54.82562296086089</c:v>
                </c:pt>
                <c:pt idx="79">
                  <c:v>9.3960647759430795</c:v>
                </c:pt>
                <c:pt idx="80">
                  <c:v>51.823352138174513</c:v>
                </c:pt>
                <c:pt idx="81">
                  <c:v>15.35816893107093</c:v>
                </c:pt>
                <c:pt idx="82">
                  <c:v>102.64636296101722</c:v>
                </c:pt>
                <c:pt idx="83">
                  <c:v>41.315935433575092</c:v>
                </c:pt>
                <c:pt idx="84">
                  <c:v>11.219568563731116</c:v>
                </c:pt>
                <c:pt idx="85">
                  <c:v>79.42585212860152</c:v>
                </c:pt>
                <c:pt idx="86">
                  <c:v>49.971556061732819</c:v>
                </c:pt>
                <c:pt idx="87">
                  <c:v>41.067420583498695</c:v>
                </c:pt>
                <c:pt idx="88">
                  <c:v>95.124211999071449</c:v>
                </c:pt>
                <c:pt idx="89">
                  <c:v>95.111339386312906</c:v>
                </c:pt>
                <c:pt idx="90">
                  <c:v>23.760777236364028</c:v>
                </c:pt>
                <c:pt idx="91">
                  <c:v>14.179593284029757</c:v>
                </c:pt>
                <c:pt idx="92">
                  <c:v>27.619048247616572</c:v>
                </c:pt>
                <c:pt idx="93">
                  <c:v>13.11896352439576</c:v>
                </c:pt>
                <c:pt idx="94">
                  <c:v>35.881349965819908</c:v>
                </c:pt>
                <c:pt idx="95">
                  <c:v>50.16320683206763</c:v>
                </c:pt>
                <c:pt idx="96">
                  <c:v>15.568574654305376</c:v>
                </c:pt>
                <c:pt idx="97">
                  <c:v>59.342647273989449</c:v>
                </c:pt>
                <c:pt idx="98">
                  <c:v>19.064122406885499</c:v>
                </c:pt>
                <c:pt idx="99">
                  <c:v>8.8444877507848663</c:v>
                </c:pt>
              </c:numCache>
            </c:numRef>
          </c:xVal>
          <c:yVal>
            <c:numRef>
              <c:f>ITEEM_opt_Nov2021!$Y$3:$Y$102</c:f>
              <c:numCache>
                <c:formatCode>0.00000_);[Red]\(0.00000\)</c:formatCode>
                <c:ptCount val="100"/>
                <c:pt idx="0">
                  <c:v>5.1927604538788952</c:v>
                </c:pt>
                <c:pt idx="1">
                  <c:v>8.7200512500010436</c:v>
                </c:pt>
                <c:pt idx="2">
                  <c:v>8.6979440979580538</c:v>
                </c:pt>
                <c:pt idx="3">
                  <c:v>4.2330129520325093</c:v>
                </c:pt>
                <c:pt idx="4">
                  <c:v>5.2265910231112089</c:v>
                </c:pt>
                <c:pt idx="5">
                  <c:v>6.4027037269777294</c:v>
                </c:pt>
                <c:pt idx="6">
                  <c:v>7.6360572169135583</c:v>
                </c:pt>
                <c:pt idx="7">
                  <c:v>3.0771197936944019</c:v>
                </c:pt>
                <c:pt idx="8">
                  <c:v>7.3033573703528347</c:v>
                </c:pt>
                <c:pt idx="9">
                  <c:v>8.6750203851084891</c:v>
                </c:pt>
                <c:pt idx="10">
                  <c:v>8.7200512500010436</c:v>
                </c:pt>
                <c:pt idx="11">
                  <c:v>5.1611268440630473</c:v>
                </c:pt>
                <c:pt idx="12">
                  <c:v>7.4030211004054145</c:v>
                </c:pt>
                <c:pt idx="13">
                  <c:v>5.5002195375515628</c:v>
                </c:pt>
                <c:pt idx="14">
                  <c:v>6.8582955247249817</c:v>
                </c:pt>
                <c:pt idx="15">
                  <c:v>5.9227802087772323</c:v>
                </c:pt>
                <c:pt idx="16">
                  <c:v>7.0616668021695794</c:v>
                </c:pt>
                <c:pt idx="17">
                  <c:v>8.5348980300896109</c:v>
                </c:pt>
                <c:pt idx="18">
                  <c:v>3.4462392588442325</c:v>
                </c:pt>
                <c:pt idx="19">
                  <c:v>8.4781732241045997</c:v>
                </c:pt>
                <c:pt idx="20">
                  <c:v>8.3828113821385113</c:v>
                </c:pt>
                <c:pt idx="21">
                  <c:v>8.6289464527796031</c:v>
                </c:pt>
                <c:pt idx="22">
                  <c:v>8.2078832396860104</c:v>
                </c:pt>
                <c:pt idx="23">
                  <c:v>8.4251146210250649</c:v>
                </c:pt>
                <c:pt idx="24">
                  <c:v>6.2027208688706477</c:v>
                </c:pt>
                <c:pt idx="25">
                  <c:v>4.4672184927498861</c:v>
                </c:pt>
                <c:pt idx="26">
                  <c:v>5.8140037661743023</c:v>
                </c:pt>
                <c:pt idx="27">
                  <c:v>3.2519574481939642</c:v>
                </c:pt>
                <c:pt idx="28">
                  <c:v>8.3935750729452732</c:v>
                </c:pt>
                <c:pt idx="29">
                  <c:v>8.1324400648834327</c:v>
                </c:pt>
                <c:pt idx="30">
                  <c:v>8.6662593686270988</c:v>
                </c:pt>
                <c:pt idx="31">
                  <c:v>7.6017041665605785</c:v>
                </c:pt>
                <c:pt idx="32">
                  <c:v>6.6722196886880818</c:v>
                </c:pt>
                <c:pt idx="33">
                  <c:v>7.8190603843989432</c:v>
                </c:pt>
                <c:pt idx="34">
                  <c:v>5.1649124176923005</c:v>
                </c:pt>
                <c:pt idx="35">
                  <c:v>6.5402996761591217</c:v>
                </c:pt>
                <c:pt idx="36">
                  <c:v>8.1360598303627754</c:v>
                </c:pt>
                <c:pt idx="37">
                  <c:v>8.2034352452998665</c:v>
                </c:pt>
                <c:pt idx="38">
                  <c:v>7.7878715586172129</c:v>
                </c:pt>
                <c:pt idx="39">
                  <c:v>8.0611433178285132</c:v>
                </c:pt>
                <c:pt idx="40">
                  <c:v>4.7451259548270572</c:v>
                </c:pt>
                <c:pt idx="41">
                  <c:v>8.0269248394080499</c:v>
                </c:pt>
                <c:pt idx="42">
                  <c:v>8.5693060073269987</c:v>
                </c:pt>
                <c:pt idx="43">
                  <c:v>6.6312290660022786</c:v>
                </c:pt>
                <c:pt idx="44">
                  <c:v>7.1879745672117918</c:v>
                </c:pt>
                <c:pt idx="45">
                  <c:v>8.05697588996434</c:v>
                </c:pt>
                <c:pt idx="46">
                  <c:v>7.3144675570093645</c:v>
                </c:pt>
                <c:pt idx="47">
                  <c:v>6.9027739962243633</c:v>
                </c:pt>
                <c:pt idx="48">
                  <c:v>7.4166208932444961</c:v>
                </c:pt>
                <c:pt idx="49">
                  <c:v>7.4233039076263241</c:v>
                </c:pt>
                <c:pt idx="50">
                  <c:v>8.545621664330918</c:v>
                </c:pt>
                <c:pt idx="51">
                  <c:v>7.921178929373804</c:v>
                </c:pt>
                <c:pt idx="52">
                  <c:v>8.5996607876492881</c:v>
                </c:pt>
                <c:pt idx="53">
                  <c:v>7.9112579539762242</c:v>
                </c:pt>
                <c:pt idx="54">
                  <c:v>8.2247359541052347</c:v>
                </c:pt>
                <c:pt idx="55">
                  <c:v>8.4232094823854169</c:v>
                </c:pt>
                <c:pt idx="56">
                  <c:v>6.764730859803044</c:v>
                </c:pt>
                <c:pt idx="57">
                  <c:v>8.6736568058242334</c:v>
                </c:pt>
                <c:pt idx="58">
                  <c:v>8.2961841643501124</c:v>
                </c:pt>
                <c:pt idx="59">
                  <c:v>6.8506559853607492</c:v>
                </c:pt>
                <c:pt idx="60">
                  <c:v>6.8963411427382137</c:v>
                </c:pt>
                <c:pt idx="61">
                  <c:v>8.5855061965701545</c:v>
                </c:pt>
                <c:pt idx="62">
                  <c:v>7.7623530744502647</c:v>
                </c:pt>
                <c:pt idx="63">
                  <c:v>8.013745283265461</c:v>
                </c:pt>
                <c:pt idx="64">
                  <c:v>8.3407381612783897</c:v>
                </c:pt>
                <c:pt idx="65">
                  <c:v>7.8615020292551323</c:v>
                </c:pt>
                <c:pt idx="66">
                  <c:v>7.7102448540523794</c:v>
                </c:pt>
                <c:pt idx="67">
                  <c:v>8.2879744896650891</c:v>
                </c:pt>
                <c:pt idx="68">
                  <c:v>7.2538095431642713</c:v>
                </c:pt>
                <c:pt idx="69">
                  <c:v>7.334780289370368</c:v>
                </c:pt>
                <c:pt idx="70">
                  <c:v>7.0331473718084156</c:v>
                </c:pt>
                <c:pt idx="71">
                  <c:v>7.3747181631437586</c:v>
                </c:pt>
                <c:pt idx="72">
                  <c:v>8.3871125138522533</c:v>
                </c:pt>
                <c:pt idx="73">
                  <c:v>7.7537664100154053</c:v>
                </c:pt>
                <c:pt idx="74">
                  <c:v>8.2942052212349484</c:v>
                </c:pt>
                <c:pt idx="75">
                  <c:v>7.9590146190360258</c:v>
                </c:pt>
                <c:pt idx="76">
                  <c:v>6.4276270102519284</c:v>
                </c:pt>
                <c:pt idx="77">
                  <c:v>7.5513034977849776</c:v>
                </c:pt>
                <c:pt idx="78">
                  <c:v>7.900812921631263</c:v>
                </c:pt>
                <c:pt idx="79">
                  <c:v>3.4962071817594382</c:v>
                </c:pt>
                <c:pt idx="80">
                  <c:v>7.8860923630733053</c:v>
                </c:pt>
                <c:pt idx="81">
                  <c:v>3.9747768795259986</c:v>
                </c:pt>
                <c:pt idx="82">
                  <c:v>8.7075896917880602</c:v>
                </c:pt>
                <c:pt idx="83">
                  <c:v>7.4430816513692974</c:v>
                </c:pt>
                <c:pt idx="84">
                  <c:v>6.0204600085456015</c:v>
                </c:pt>
                <c:pt idx="85">
                  <c:v>8.3152118520788463</c:v>
                </c:pt>
                <c:pt idx="86">
                  <c:v>7.9682071862644879</c:v>
                </c:pt>
                <c:pt idx="87">
                  <c:v>7.5335811943515489</c:v>
                </c:pt>
                <c:pt idx="88">
                  <c:v>8.5795386506611084</c:v>
                </c:pt>
                <c:pt idx="89">
                  <c:v>8.5766115056250456</c:v>
                </c:pt>
                <c:pt idx="90">
                  <c:v>7.0870690534087428</c:v>
                </c:pt>
                <c:pt idx="91">
                  <c:v>3.9728281419199716</c:v>
                </c:pt>
                <c:pt idx="92">
                  <c:v>5.364044278014843</c:v>
                </c:pt>
                <c:pt idx="93">
                  <c:v>3.9328290078190147</c:v>
                </c:pt>
                <c:pt idx="94">
                  <c:v>7.4446213238421866</c:v>
                </c:pt>
                <c:pt idx="95">
                  <c:v>7.8392287020518028</c:v>
                </c:pt>
                <c:pt idx="96">
                  <c:v>4.1203206930309779</c:v>
                </c:pt>
                <c:pt idx="97">
                  <c:v>7.8178061428565488</c:v>
                </c:pt>
                <c:pt idx="98">
                  <c:v>5.5256771944653966</c:v>
                </c:pt>
                <c:pt idx="99">
                  <c:v>3.4194415230448576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05-43EA-BC4C-826B1BA43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23423"/>
        <c:axId val="1914332991"/>
      </c:scatterChart>
      <c:valAx>
        <c:axId val="19143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0" i="0" baseline="0">
                    <a:effectLst/>
                  </a:rPr>
                  <a:t>Marginal abatement cost of P ($/kg P)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14332991"/>
        <c:crosses val="autoZero"/>
        <c:crossBetween val="midCat"/>
        <c:majorUnit val="200"/>
      </c:valAx>
      <c:valAx>
        <c:axId val="19143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0" i="0" baseline="0">
                    <a:effectLst/>
                  </a:rPr>
                  <a:t>Willingneess to pay, ($/kg P)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143234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1054178753777011"/>
          <c:y val="5.0163933194875832E-2"/>
          <c:w val="0.63858704617044681"/>
          <c:h val="0.11941288177795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38740693490842"/>
          <c:y val="0.1881749453050798"/>
          <c:w val="0.72022293766752554"/>
          <c:h val="0.61510958603932997"/>
        </c:manualLayout>
      </c:layout>
      <c:scatterChart>
        <c:scatterStyle val="lineMarker"/>
        <c:varyColors val="0"/>
        <c:ser>
          <c:idx val="1"/>
          <c:order val="0"/>
          <c:tx>
            <c:v>BMPs only portfolios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ITEEM_opt_Nov2021!$P$3:$P$102</c:f>
              <c:numCache>
                <c:formatCode>0.0</c:formatCode>
                <c:ptCount val="100"/>
                <c:pt idx="0">
                  <c:v>706.27497886517938</c:v>
                </c:pt>
                <c:pt idx="1">
                  <c:v>697.85835023674701</c:v>
                </c:pt>
                <c:pt idx="2">
                  <c:v>556.58960623707651</c:v>
                </c:pt>
                <c:pt idx="3">
                  <c:v>683.52258282267212</c:v>
                </c:pt>
                <c:pt idx="4">
                  <c:v>682.34218866466313</c:v>
                </c:pt>
                <c:pt idx="5">
                  <c:v>659.34264188171028</c:v>
                </c:pt>
                <c:pt idx="6">
                  <c:v>561.63631979282252</c:v>
                </c:pt>
                <c:pt idx="7">
                  <c:v>589.01331486853996</c:v>
                </c:pt>
                <c:pt idx="8">
                  <c:v>577.58976049649709</c:v>
                </c:pt>
                <c:pt idx="9">
                  <c:v>574.80738095688173</c:v>
                </c:pt>
                <c:pt idx="10">
                  <c:v>656.79146175553558</c:v>
                </c:pt>
                <c:pt idx="11">
                  <c:v>560.530179771039</c:v>
                </c:pt>
                <c:pt idx="12">
                  <c:v>678.08449998887204</c:v>
                </c:pt>
                <c:pt idx="13">
                  <c:v>680.869384120066</c:v>
                </c:pt>
                <c:pt idx="14">
                  <c:v>665.64703507083289</c:v>
                </c:pt>
                <c:pt idx="15">
                  <c:v>614.1679986262252</c:v>
                </c:pt>
                <c:pt idx="16">
                  <c:v>627.58235942015017</c:v>
                </c:pt>
                <c:pt idx="17">
                  <c:v>663.06776470892783</c:v>
                </c:pt>
                <c:pt idx="18">
                  <c:v>591.8294130909843</c:v>
                </c:pt>
                <c:pt idx="19">
                  <c:v>617.45013774118092</c:v>
                </c:pt>
                <c:pt idx="20">
                  <c:v>559.7387257913839</c:v>
                </c:pt>
                <c:pt idx="21">
                  <c:v>629.33246671091183</c:v>
                </c:pt>
                <c:pt idx="22">
                  <c:v>640.17641214522939</c:v>
                </c:pt>
                <c:pt idx="23">
                  <c:v>634.76801763940773</c:v>
                </c:pt>
                <c:pt idx="24" formatCode="0.0E+00">
                  <c:v>671.33328638736782</c:v>
                </c:pt>
                <c:pt idx="25" formatCode="0.0E+00">
                  <c:v>623.46767665538073</c:v>
                </c:pt>
                <c:pt idx="26" formatCode="0.0E+00">
                  <c:v>675.68248819160033</c:v>
                </c:pt>
                <c:pt idx="27" formatCode="0.0E+00">
                  <c:v>621.85453945714562</c:v>
                </c:pt>
                <c:pt idx="28" formatCode="0.0E+00">
                  <c:v>591.82678068153973</c:v>
                </c:pt>
                <c:pt idx="29" formatCode="0.0E+00">
                  <c:v>624.82602941522555</c:v>
                </c:pt>
                <c:pt idx="30" formatCode="0.0E+00">
                  <c:v>571.49436467676526</c:v>
                </c:pt>
                <c:pt idx="31" formatCode="0.0E+00">
                  <c:v>566.18544205316505</c:v>
                </c:pt>
                <c:pt idx="32" formatCode="0.0E+00">
                  <c:v>570.31311761715472</c:v>
                </c:pt>
                <c:pt idx="33" formatCode="0.0E+00">
                  <c:v>566.65183556645343</c:v>
                </c:pt>
                <c:pt idx="34" formatCode="0.0E+00">
                  <c:v>670.64774692967615</c:v>
                </c:pt>
                <c:pt idx="35" formatCode="0.0E+00">
                  <c:v>644.37310584783972</c:v>
                </c:pt>
                <c:pt idx="36" formatCode="0.0E+00">
                  <c:v>613.76019971121002</c:v>
                </c:pt>
                <c:pt idx="37" formatCode="0.0E+00">
                  <c:v>631.37511907077476</c:v>
                </c:pt>
                <c:pt idx="38" formatCode="0.0E+00">
                  <c:v>573.21552987617099</c:v>
                </c:pt>
                <c:pt idx="39" formatCode="0.0E+00">
                  <c:v>623.62167919981721</c:v>
                </c:pt>
                <c:pt idx="40" formatCode="0.0E+00">
                  <c:v>634.66192034158507</c:v>
                </c:pt>
                <c:pt idx="41" formatCode="0.0E+00">
                  <c:v>660.73089861823905</c:v>
                </c:pt>
                <c:pt idx="42" formatCode="0.0E+00">
                  <c:v>648.86963565627741</c:v>
                </c:pt>
                <c:pt idx="43" formatCode="0.0E+00">
                  <c:v>617.06854803254043</c:v>
                </c:pt>
                <c:pt idx="44" formatCode="0.0E+00">
                  <c:v>558.20540582260719</c:v>
                </c:pt>
                <c:pt idx="45" formatCode="0.0E+00">
                  <c:v>654.11112267061651</c:v>
                </c:pt>
                <c:pt idx="46" formatCode="0.0E+00">
                  <c:v>611.44745381125438</c:v>
                </c:pt>
                <c:pt idx="47" formatCode="0.0E+00">
                  <c:v>587.0192090703365</c:v>
                </c:pt>
                <c:pt idx="48" formatCode="0.0E+00">
                  <c:v>568.3037898729857</c:v>
                </c:pt>
                <c:pt idx="49" formatCode="0.0E+00">
                  <c:v>639.96118696355961</c:v>
                </c:pt>
                <c:pt idx="50" formatCode="0.0E+00">
                  <c:v>572.19222179457677</c:v>
                </c:pt>
                <c:pt idx="51" formatCode="0.0E+00">
                  <c:v>647.86492857805513</c:v>
                </c:pt>
                <c:pt idx="52" formatCode="0.0E+00">
                  <c:v>652.83152721461249</c:v>
                </c:pt>
                <c:pt idx="53" formatCode="0.0E+00">
                  <c:v>673.51215736104928</c:v>
                </c:pt>
                <c:pt idx="54" formatCode="0.0E+00">
                  <c:v>615.82584121240575</c:v>
                </c:pt>
                <c:pt idx="55" formatCode="0.0E+00">
                  <c:v>675.37201570958825</c:v>
                </c:pt>
                <c:pt idx="56" formatCode="0.0E+00">
                  <c:v>581.95401848234508</c:v>
                </c:pt>
                <c:pt idx="57" formatCode="0.0E+00">
                  <c:v>669.82022279469527</c:v>
                </c:pt>
                <c:pt idx="58" formatCode="0.0E+00">
                  <c:v>632.79707264564763</c:v>
                </c:pt>
                <c:pt idx="59" formatCode="0.0E+00">
                  <c:v>666.8386925495131</c:v>
                </c:pt>
                <c:pt idx="60" formatCode="0.0E+00">
                  <c:v>599.37267555530786</c:v>
                </c:pt>
                <c:pt idx="61" formatCode="0.0E+00">
                  <c:v>652.34930234773174</c:v>
                </c:pt>
                <c:pt idx="62" formatCode="0.0E+00">
                  <c:v>608.61853188306884</c:v>
                </c:pt>
                <c:pt idx="63" formatCode="0.0E+00">
                  <c:v>601.87071099187483</c:v>
                </c:pt>
                <c:pt idx="64" formatCode="0.0E+00">
                  <c:v>582.98124608077308</c:v>
                </c:pt>
                <c:pt idx="65" formatCode="0.0E+00">
                  <c:v>655.16513822788727</c:v>
                </c:pt>
                <c:pt idx="66" formatCode="0.0E+00">
                  <c:v>607.42580127943427</c:v>
                </c:pt>
                <c:pt idx="67" formatCode="0.0E+00">
                  <c:v>599.19033538735994</c:v>
                </c:pt>
                <c:pt idx="68" formatCode="0.0E+00">
                  <c:v>646.63750927613705</c:v>
                </c:pt>
                <c:pt idx="69" formatCode="0.0E+00">
                  <c:v>579.18413995740877</c:v>
                </c:pt>
                <c:pt idx="70" formatCode="0.0E+00">
                  <c:v>651.0282388881451</c:v>
                </c:pt>
                <c:pt idx="71" formatCode="0.0E+00">
                  <c:v>610.43759277105721</c:v>
                </c:pt>
                <c:pt idx="72" formatCode="0.0E+00">
                  <c:v>673.81811052797696</c:v>
                </c:pt>
                <c:pt idx="73" formatCode="0.0E+00">
                  <c:v>603.33709996329583</c:v>
                </c:pt>
                <c:pt idx="74" formatCode="0.0E+00">
                  <c:v>642.5652258082531</c:v>
                </c:pt>
                <c:pt idx="75" formatCode="0.0E+00">
                  <c:v>604.53235493850889</c:v>
                </c:pt>
                <c:pt idx="76" formatCode="0.0E+00">
                  <c:v>597.03138254705698</c:v>
                </c:pt>
                <c:pt idx="77" formatCode="0.0E+00">
                  <c:v>642.33747093102124</c:v>
                </c:pt>
                <c:pt idx="78" formatCode="0.0E+00">
                  <c:v>632.51558383272197</c:v>
                </c:pt>
                <c:pt idx="79" formatCode="0.0E+00">
                  <c:v>594.49213889635848</c:v>
                </c:pt>
                <c:pt idx="80" formatCode="0.0E+00">
                  <c:v>614.74307483853374</c:v>
                </c:pt>
                <c:pt idx="81" formatCode="0.0E+00">
                  <c:v>607.49901831798093</c:v>
                </c:pt>
                <c:pt idx="82" formatCode="0.0E+00">
                  <c:v>579.76329500120266</c:v>
                </c:pt>
                <c:pt idx="83" formatCode="0.0E+00">
                  <c:v>668.1546778779832</c:v>
                </c:pt>
                <c:pt idx="84" formatCode="0.0E+00">
                  <c:v>635.42464077130774</c:v>
                </c:pt>
                <c:pt idx="85" formatCode="0.0E+00">
                  <c:v>662.56191599246893</c:v>
                </c:pt>
                <c:pt idx="86" formatCode="0.0E+00">
                  <c:v>607.73595050192046</c:v>
                </c:pt>
                <c:pt idx="87" formatCode="0.0E+00">
                  <c:v>604.13386382492331</c:v>
                </c:pt>
                <c:pt idx="88" formatCode="0.0E+00">
                  <c:v>604.19112596459331</c:v>
                </c:pt>
                <c:pt idx="89" formatCode="0.0E+00">
                  <c:v>595.3581314553079</c:v>
                </c:pt>
                <c:pt idx="90" formatCode="0.0E+00">
                  <c:v>584.5012174608878</c:v>
                </c:pt>
                <c:pt idx="91" formatCode="0.0E+00">
                  <c:v>593.66586813015181</c:v>
                </c:pt>
                <c:pt idx="92" formatCode="0.0E+00">
                  <c:v>645.20876185566794</c:v>
                </c:pt>
                <c:pt idx="93" formatCode="0.0E+00">
                  <c:v>669.56983172680509</c:v>
                </c:pt>
                <c:pt idx="94" formatCode="0.0E+00">
                  <c:v>640.72340217866099</c:v>
                </c:pt>
                <c:pt idx="95" formatCode="0.0E+00">
                  <c:v>583.52380912239585</c:v>
                </c:pt>
                <c:pt idx="96" formatCode="0.0E+00">
                  <c:v>649.88743115284683</c:v>
                </c:pt>
                <c:pt idx="97" formatCode="0.0E+00">
                  <c:v>595.94198054420997</c:v>
                </c:pt>
                <c:pt idx="98" formatCode="0.0E+00">
                  <c:v>650.37722248522618</c:v>
                </c:pt>
                <c:pt idx="99" formatCode="0.0E+00">
                  <c:v>631.30594288321879</c:v>
                </c:pt>
              </c:numCache>
            </c:numRef>
          </c:xVal>
          <c:yVal>
            <c:numRef>
              <c:f>ITEEM_opt_Nov2021!$R$3:$R$102</c:f>
              <c:numCache>
                <c:formatCode>0.0</c:formatCode>
                <c:ptCount val="100"/>
                <c:pt idx="0">
                  <c:v>4.1133921581292743</c:v>
                </c:pt>
                <c:pt idx="1">
                  <c:v>3.6669202720659984</c:v>
                </c:pt>
                <c:pt idx="2">
                  <c:v>3.1607675733056273</c:v>
                </c:pt>
                <c:pt idx="3">
                  <c:v>4.3377159641569349</c:v>
                </c:pt>
                <c:pt idx="4">
                  <c:v>4.0256986625121396</c:v>
                </c:pt>
                <c:pt idx="5">
                  <c:v>3.7513973385106421</c:v>
                </c:pt>
                <c:pt idx="6">
                  <c:v>3.4913874152892732</c:v>
                </c:pt>
                <c:pt idx="7">
                  <c:v>4.1780781590172387</c:v>
                </c:pt>
                <c:pt idx="8">
                  <c:v>3.3574951846482892</c:v>
                </c:pt>
                <c:pt idx="9">
                  <c:v>3.2417916198599688</c:v>
                </c:pt>
                <c:pt idx="10">
                  <c:v>3.5304929850135913</c:v>
                </c:pt>
                <c:pt idx="11">
                  <c:v>3.5676250154871276</c:v>
                </c:pt>
                <c:pt idx="12">
                  <c:v>4.0979869661456014</c:v>
                </c:pt>
                <c:pt idx="13">
                  <c:v>3.9143596960356262</c:v>
                </c:pt>
                <c:pt idx="14">
                  <c:v>3.8104449448114566</c:v>
                </c:pt>
                <c:pt idx="15">
                  <c:v>3.6597120985797473</c:v>
                </c:pt>
                <c:pt idx="16">
                  <c:v>3.533726557438337</c:v>
                </c:pt>
                <c:pt idx="17">
                  <c:v>3.8039710659367572</c:v>
                </c:pt>
                <c:pt idx="18">
                  <c:v>4.144814300728715</c:v>
                </c:pt>
                <c:pt idx="19">
                  <c:v>3.4414960237821304</c:v>
                </c:pt>
                <c:pt idx="20">
                  <c:v>3.1930699085004846</c:v>
                </c:pt>
                <c:pt idx="21">
                  <c:v>3.4401689448823216</c:v>
                </c:pt>
                <c:pt idx="22">
                  <c:v>3.5355723057555659</c:v>
                </c:pt>
                <c:pt idx="23">
                  <c:v>3.465533407021574</c:v>
                </c:pt>
                <c:pt idx="24" formatCode="0.0E+00">
                  <c:v>3.8893597776309048</c:v>
                </c:pt>
                <c:pt idx="25" formatCode="0.0E+00">
                  <c:v>4.1692281721285553</c:v>
                </c:pt>
                <c:pt idx="26" formatCode="0.0E+00">
                  <c:v>3.9549583862414353</c:v>
                </c:pt>
                <c:pt idx="27" formatCode="0.0E+00">
                  <c:v>4.2965360176106797</c:v>
                </c:pt>
                <c:pt idx="28" formatCode="0.0E+00">
                  <c:v>3.3388993655113288</c:v>
                </c:pt>
                <c:pt idx="29" formatCode="0.0E+00">
                  <c:v>3.5066079639000942</c:v>
                </c:pt>
                <c:pt idx="30" formatCode="0.0E+00">
                  <c:v>3.2382828290407009</c:v>
                </c:pt>
                <c:pt idx="31" formatCode="0.0E+00">
                  <c:v>3.347073883250983</c:v>
                </c:pt>
                <c:pt idx="32" formatCode="0.0E+00">
                  <c:v>3.4464267856700435</c:v>
                </c:pt>
                <c:pt idx="33" formatCode="0.0E+00">
                  <c:v>3.4726464758750462</c:v>
                </c:pt>
                <c:pt idx="34" formatCode="0.0E+00">
                  <c:v>4.2833747721446231</c:v>
                </c:pt>
                <c:pt idx="35" formatCode="0.0E+00">
                  <c:v>3.6855914755742827</c:v>
                </c:pt>
                <c:pt idx="36" formatCode="0.0E+00">
                  <c:v>3.4629775240231795</c:v>
                </c:pt>
                <c:pt idx="37" formatCode="0.0E+00">
                  <c:v>3.5173537003230781</c:v>
                </c:pt>
                <c:pt idx="38" formatCode="0.0E+00">
                  <c:v>3.37503131690233</c:v>
                </c:pt>
                <c:pt idx="39" formatCode="0.0E+00">
                  <c:v>3.4948229610646999</c:v>
                </c:pt>
                <c:pt idx="40" formatCode="0.0E+00">
                  <c:v>4.2106884211893174</c:v>
                </c:pt>
                <c:pt idx="41" formatCode="0.0E+00">
                  <c:v>3.6358671379384027</c:v>
                </c:pt>
                <c:pt idx="42" formatCode="0.0E+00">
                  <c:v>3.5234017975029777</c:v>
                </c:pt>
                <c:pt idx="43" formatCode="0.0E+00">
                  <c:v>3.7958530084740545</c:v>
                </c:pt>
                <c:pt idx="44" formatCode="0.0E+00">
                  <c:v>3.35539352082644</c:v>
                </c:pt>
                <c:pt idx="45" formatCode="0.0E+00">
                  <c:v>3.632693791768951</c:v>
                </c:pt>
                <c:pt idx="46" formatCode="0.0E+00">
                  <c:v>3.7169946939176661</c:v>
                </c:pt>
                <c:pt idx="47" formatCode="0.0E+00">
                  <c:v>3.4236949895830544</c:v>
                </c:pt>
                <c:pt idx="48" formatCode="0.0E+00">
                  <c:v>3.3890506237478046</c:v>
                </c:pt>
                <c:pt idx="49" formatCode="0.0E+00">
                  <c:v>3.7994414101728959</c:v>
                </c:pt>
                <c:pt idx="50" formatCode="0.0E+00">
                  <c:v>3.2559733790589656</c:v>
                </c:pt>
                <c:pt idx="51" formatCode="0.0E+00">
                  <c:v>3.611188007555409</c:v>
                </c:pt>
                <c:pt idx="52" formatCode="0.0E+00">
                  <c:v>3.5274205754564143</c:v>
                </c:pt>
                <c:pt idx="53" formatCode="0.0E+00">
                  <c:v>3.6846491612881156</c:v>
                </c:pt>
                <c:pt idx="54" formatCode="0.0E+00">
                  <c:v>3.4779881786484701</c:v>
                </c:pt>
                <c:pt idx="55" formatCode="0.0E+00">
                  <c:v>3.6436936146202155</c:v>
                </c:pt>
                <c:pt idx="56" formatCode="0.0E+00">
                  <c:v>3.6522649076032101</c:v>
                </c:pt>
                <c:pt idx="57" formatCode="0.0E+00">
                  <c:v>3.5731647075103661</c:v>
                </c:pt>
                <c:pt idx="58" formatCode="0.0E+00">
                  <c:v>3.5172833084144961</c:v>
                </c:pt>
                <c:pt idx="59" formatCode="0.0E+00">
                  <c:v>3.7956450133675985</c:v>
                </c:pt>
                <c:pt idx="60" formatCode="0.0E+00">
                  <c:v>3.5788041160146671</c:v>
                </c:pt>
                <c:pt idx="61" formatCode="0.0E+00">
                  <c:v>3.5272443673196245</c:v>
                </c:pt>
                <c:pt idx="62" formatCode="0.0E+00">
                  <c:v>3.656671853694295</c:v>
                </c:pt>
                <c:pt idx="63" formatCode="0.0E+00">
                  <c:v>3.4399821683666891</c:v>
                </c:pt>
                <c:pt idx="64" formatCode="0.0E+00">
                  <c:v>3.3349890963356201</c:v>
                </c:pt>
                <c:pt idx="65" formatCode="0.0E+00">
                  <c:v>3.6585027907903727</c:v>
                </c:pt>
                <c:pt idx="66" formatCode="0.0E+00">
                  <c:v>3.6578532657677423</c:v>
                </c:pt>
                <c:pt idx="67" formatCode="0.0E+00">
                  <c:v>3.3974791057502252</c:v>
                </c:pt>
                <c:pt idx="68" formatCode="0.0E+00">
                  <c:v>3.6915690811492103</c:v>
                </c:pt>
                <c:pt idx="69" formatCode="0.0E+00">
                  <c:v>3.476443202718273</c:v>
                </c:pt>
                <c:pt idx="70" formatCode="0.0E+00">
                  <c:v>3.6607094712261072</c:v>
                </c:pt>
                <c:pt idx="71" formatCode="0.0E+00">
                  <c:v>3.4700332085621977</c:v>
                </c:pt>
                <c:pt idx="72" formatCode="0.0E+00">
                  <c:v>3.6218032956854174</c:v>
                </c:pt>
                <c:pt idx="73" formatCode="0.0E+00">
                  <c:v>3.4554012700501811</c:v>
                </c:pt>
                <c:pt idx="74" formatCode="0.0E+00">
                  <c:v>3.5471792948818734</c:v>
                </c:pt>
                <c:pt idx="75" formatCode="0.0E+00">
                  <c:v>3.4394952735277116</c:v>
                </c:pt>
                <c:pt idx="76" formatCode="0.0E+00">
                  <c:v>3.6066308945252801</c:v>
                </c:pt>
                <c:pt idx="77" formatCode="0.0E+00">
                  <c:v>3.7036039666121292</c:v>
                </c:pt>
                <c:pt idx="78" formatCode="0.0E+00">
                  <c:v>3.5507345651931059</c:v>
                </c:pt>
                <c:pt idx="79" formatCode="0.0E+00">
                  <c:v>4.1556953046989635</c:v>
                </c:pt>
                <c:pt idx="80" formatCode="0.0E+00">
                  <c:v>3.4998976985008587</c:v>
                </c:pt>
                <c:pt idx="81" formatCode="0.0E+00">
                  <c:v>4.1590188253819802</c:v>
                </c:pt>
                <c:pt idx="82" formatCode="0.0E+00">
                  <c:v>3.2796080397872793</c:v>
                </c:pt>
                <c:pt idx="83" formatCode="0.0E+00">
                  <c:v>3.7459032508753509</c:v>
                </c:pt>
                <c:pt idx="84" formatCode="0.0E+00">
                  <c:v>3.7983666658556268</c:v>
                </c:pt>
                <c:pt idx="85" formatCode="0.0E+00">
                  <c:v>3.5905749351111265</c:v>
                </c:pt>
                <c:pt idx="86" formatCode="0.0E+00">
                  <c:v>3.4618325238603997</c:v>
                </c:pt>
                <c:pt idx="87" formatCode="0.0E+00">
                  <c:v>3.6580510713467933</c:v>
                </c:pt>
                <c:pt idx="88" formatCode="0.0E+00">
                  <c:v>3.3686578452056395</c:v>
                </c:pt>
                <c:pt idx="89" formatCode="0.0E+00">
                  <c:v>3.345249764773309</c:v>
                </c:pt>
                <c:pt idx="90" formatCode="0.0E+00">
                  <c:v>3.5014945492984162</c:v>
                </c:pt>
                <c:pt idx="91" formatCode="0.0E+00">
                  <c:v>4.0996384409845046</c:v>
                </c:pt>
                <c:pt idx="92" formatCode="0.0E+00">
                  <c:v>4.1629472801666472</c:v>
                </c:pt>
                <c:pt idx="93" formatCode="0.0E+00">
                  <c:v>4.3997996593901103</c:v>
                </c:pt>
                <c:pt idx="94" formatCode="0.0E+00">
                  <c:v>3.7085513764179039</c:v>
                </c:pt>
                <c:pt idx="95" formatCode="0.0E+00">
                  <c:v>3.5541541268050776</c:v>
                </c:pt>
                <c:pt idx="96" formatCode="0.0E+00">
                  <c:v>4.3131593371256081</c:v>
                </c:pt>
                <c:pt idx="97" formatCode="0.0E+00">
                  <c:v>3.6218143226602142</c:v>
                </c:pt>
                <c:pt idx="98" formatCode="0.0E+00">
                  <c:v>4.017535270547282</c:v>
                </c:pt>
                <c:pt idx="99" formatCode="0.0E+00">
                  <c:v>4.3092241250936265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2-4855-BA86-B2ACCB146DD8}"/>
            </c:ext>
          </c:extLst>
        </c:ser>
        <c:ser>
          <c:idx val="3"/>
          <c:order val="1"/>
          <c:tx>
            <c:v>BMPs + EBTs portfolios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ITEEM_opt_Nov2021!$W$3:$W$102</c:f>
              <c:numCache>
                <c:formatCode>0.00_);[Red]\(0.00\)</c:formatCode>
                <c:ptCount val="100"/>
                <c:pt idx="0">
                  <c:v>3.838760448407879</c:v>
                </c:pt>
                <c:pt idx="1">
                  <c:v>103.47640406996054</c:v>
                </c:pt>
                <c:pt idx="2">
                  <c:v>102.74488407316636</c:v>
                </c:pt>
                <c:pt idx="3">
                  <c:v>10.170378530529071</c:v>
                </c:pt>
                <c:pt idx="4">
                  <c:v>4.4238963965372804</c:v>
                </c:pt>
                <c:pt idx="5">
                  <c:v>20.696135125353308</c:v>
                </c:pt>
                <c:pt idx="6">
                  <c:v>49.848429814752265</c:v>
                </c:pt>
                <c:pt idx="7">
                  <c:v>5.7582919845176379</c:v>
                </c:pt>
                <c:pt idx="8">
                  <c:v>47.135165705076034</c:v>
                </c:pt>
                <c:pt idx="9">
                  <c:v>102.81952001075507</c:v>
                </c:pt>
                <c:pt idx="10">
                  <c:v>103.36457258453662</c:v>
                </c:pt>
                <c:pt idx="11">
                  <c:v>4.2440938717383965</c:v>
                </c:pt>
                <c:pt idx="12">
                  <c:v>69.905987262480807</c:v>
                </c:pt>
                <c:pt idx="13">
                  <c:v>11.269162028815622</c:v>
                </c:pt>
                <c:pt idx="14">
                  <c:v>20.939096609563283</c:v>
                </c:pt>
                <c:pt idx="15">
                  <c:v>18.035221663246261</c:v>
                </c:pt>
                <c:pt idx="16">
                  <c:v>43.383707480386448</c:v>
                </c:pt>
                <c:pt idx="17">
                  <c:v>83.789717456287903</c:v>
                </c:pt>
                <c:pt idx="18">
                  <c:v>8.2829753423990589</c:v>
                </c:pt>
                <c:pt idx="19">
                  <c:v>85.974006722365544</c:v>
                </c:pt>
                <c:pt idx="20">
                  <c:v>81.551103797732779</c:v>
                </c:pt>
                <c:pt idx="21">
                  <c:v>97.087574688185413</c:v>
                </c:pt>
                <c:pt idx="22">
                  <c:v>71.793350806843506</c:v>
                </c:pt>
                <c:pt idx="23">
                  <c:v>87.836080016265512</c:v>
                </c:pt>
                <c:pt idx="24">
                  <c:v>14.57291752587561</c:v>
                </c:pt>
                <c:pt idx="25">
                  <c:v>19.778454633263195</c:v>
                </c:pt>
                <c:pt idx="26">
                  <c:v>16.553948485852182</c:v>
                </c:pt>
                <c:pt idx="27">
                  <c:v>7.3719748997516303</c:v>
                </c:pt>
                <c:pt idx="28">
                  <c:v>89.632254345422453</c:v>
                </c:pt>
                <c:pt idx="29">
                  <c:v>66.170775935442947</c:v>
                </c:pt>
                <c:pt idx="30">
                  <c:v>99.693022818359296</c:v>
                </c:pt>
                <c:pt idx="31">
                  <c:v>43.990012993821018</c:v>
                </c:pt>
                <c:pt idx="32">
                  <c:v>18.953278510452531</c:v>
                </c:pt>
                <c:pt idx="33">
                  <c:v>56.286606974333147</c:v>
                </c:pt>
                <c:pt idx="34">
                  <c:v>29.552330237362462</c:v>
                </c:pt>
                <c:pt idx="35">
                  <c:v>21.56956738814165</c:v>
                </c:pt>
                <c:pt idx="36">
                  <c:v>66.4652840366319</c:v>
                </c:pt>
                <c:pt idx="37">
                  <c:v>70.408470871054689</c:v>
                </c:pt>
                <c:pt idx="38">
                  <c:v>51.624692567852705</c:v>
                </c:pt>
                <c:pt idx="39">
                  <c:v>62.937580154880045</c:v>
                </c:pt>
                <c:pt idx="40">
                  <c:v>24.097615554680885</c:v>
                </c:pt>
                <c:pt idx="41">
                  <c:v>60.405360074005401</c:v>
                </c:pt>
                <c:pt idx="42">
                  <c:v>91.150777413234749</c:v>
                </c:pt>
                <c:pt idx="43">
                  <c:v>39.012520607658999</c:v>
                </c:pt>
                <c:pt idx="44">
                  <c:v>31.642692925024281</c:v>
                </c:pt>
                <c:pt idx="45">
                  <c:v>62.624425380648979</c:v>
                </c:pt>
                <c:pt idx="46">
                  <c:v>42.605250877135177</c:v>
                </c:pt>
                <c:pt idx="47">
                  <c:v>36.323119053553761</c:v>
                </c:pt>
                <c:pt idx="48">
                  <c:v>35.38071037998585</c:v>
                </c:pt>
                <c:pt idx="49">
                  <c:v>47.909543448998001</c:v>
                </c:pt>
                <c:pt idx="50">
                  <c:v>92.242552714678254</c:v>
                </c:pt>
                <c:pt idx="51">
                  <c:v>57.153811926163449</c:v>
                </c:pt>
                <c:pt idx="52">
                  <c:v>96.159187712792516</c:v>
                </c:pt>
                <c:pt idx="53">
                  <c:v>59.250521950971446</c:v>
                </c:pt>
                <c:pt idx="54">
                  <c:v>70.707209321177913</c:v>
                </c:pt>
                <c:pt idx="55">
                  <c:v>80.736665818035632</c:v>
                </c:pt>
                <c:pt idx="56">
                  <c:v>40.74732601814199</c:v>
                </c:pt>
                <c:pt idx="57">
                  <c:v>100.44566825702238</c:v>
                </c:pt>
                <c:pt idx="58">
                  <c:v>75.90150494765065</c:v>
                </c:pt>
                <c:pt idx="59">
                  <c:v>23.014055860696814</c:v>
                </c:pt>
                <c:pt idx="60">
                  <c:v>29.880941307063949</c:v>
                </c:pt>
                <c:pt idx="61">
                  <c:v>93.146806802962558</c:v>
                </c:pt>
                <c:pt idx="62">
                  <c:v>49.165027475731371</c:v>
                </c:pt>
                <c:pt idx="63">
                  <c:v>69.555503599481739</c:v>
                </c:pt>
                <c:pt idx="64">
                  <c:v>77.714773087539314</c:v>
                </c:pt>
                <c:pt idx="65">
                  <c:v>52.704595591284829</c:v>
                </c:pt>
                <c:pt idx="66">
                  <c:v>52.350376418729709</c:v>
                </c:pt>
                <c:pt idx="67">
                  <c:v>75.134667316403423</c:v>
                </c:pt>
                <c:pt idx="68">
                  <c:v>28.507674921618939</c:v>
                </c:pt>
                <c:pt idx="69">
                  <c:v>35.680112196739358</c:v>
                </c:pt>
                <c:pt idx="70">
                  <c:v>35.162623994823491</c:v>
                </c:pt>
                <c:pt idx="71">
                  <c:v>52.090328802149095</c:v>
                </c:pt>
                <c:pt idx="72">
                  <c:v>86.868530016031627</c:v>
                </c:pt>
                <c:pt idx="73">
                  <c:v>48.098676398930735</c:v>
                </c:pt>
                <c:pt idx="74">
                  <c:v>74.175423248463858</c:v>
                </c:pt>
                <c:pt idx="75">
                  <c:v>58.302024710576532</c:v>
                </c:pt>
                <c:pt idx="76">
                  <c:v>16.104187872380407</c:v>
                </c:pt>
                <c:pt idx="77">
                  <c:v>39.939231358852794</c:v>
                </c:pt>
                <c:pt idx="78">
                  <c:v>54.82562296086089</c:v>
                </c:pt>
                <c:pt idx="79">
                  <c:v>9.3960647759430795</c:v>
                </c:pt>
                <c:pt idx="80">
                  <c:v>51.823352138174513</c:v>
                </c:pt>
                <c:pt idx="81">
                  <c:v>15.35816893107093</c:v>
                </c:pt>
                <c:pt idx="82">
                  <c:v>102.64636296101722</c:v>
                </c:pt>
                <c:pt idx="83">
                  <c:v>41.315935433575092</c:v>
                </c:pt>
                <c:pt idx="84">
                  <c:v>11.219568563731116</c:v>
                </c:pt>
                <c:pt idx="85">
                  <c:v>79.42585212860152</c:v>
                </c:pt>
                <c:pt idx="86">
                  <c:v>49.971556061732819</c:v>
                </c:pt>
                <c:pt idx="87">
                  <c:v>41.067420583498695</c:v>
                </c:pt>
                <c:pt idx="88">
                  <c:v>95.124211999071449</c:v>
                </c:pt>
                <c:pt idx="89">
                  <c:v>95.111339386312906</c:v>
                </c:pt>
                <c:pt idx="90">
                  <c:v>23.760777236364028</c:v>
                </c:pt>
                <c:pt idx="91">
                  <c:v>14.179593284029757</c:v>
                </c:pt>
                <c:pt idx="92">
                  <c:v>27.619048247616572</c:v>
                </c:pt>
                <c:pt idx="93">
                  <c:v>13.11896352439576</c:v>
                </c:pt>
                <c:pt idx="94">
                  <c:v>35.881349965819908</c:v>
                </c:pt>
                <c:pt idx="95">
                  <c:v>50.16320683206763</c:v>
                </c:pt>
                <c:pt idx="96">
                  <c:v>15.568574654305376</c:v>
                </c:pt>
                <c:pt idx="97">
                  <c:v>59.342647273989449</c:v>
                </c:pt>
                <c:pt idx="98">
                  <c:v>19.064122406885499</c:v>
                </c:pt>
                <c:pt idx="99">
                  <c:v>8.8444877507848663</c:v>
                </c:pt>
              </c:numCache>
            </c:numRef>
          </c:xVal>
          <c:yVal>
            <c:numRef>
              <c:f>ITEEM_opt_Nov2021!$Y$3:$Y$102</c:f>
              <c:numCache>
                <c:formatCode>0.00000_);[Red]\(0.00000\)</c:formatCode>
                <c:ptCount val="100"/>
                <c:pt idx="0">
                  <c:v>5.1927604538788952</c:v>
                </c:pt>
                <c:pt idx="1">
                  <c:v>8.7200512500010436</c:v>
                </c:pt>
                <c:pt idx="2">
                  <c:v>8.6979440979580538</c:v>
                </c:pt>
                <c:pt idx="3">
                  <c:v>4.2330129520325093</c:v>
                </c:pt>
                <c:pt idx="4">
                  <c:v>5.2265910231112089</c:v>
                </c:pt>
                <c:pt idx="5">
                  <c:v>6.4027037269777294</c:v>
                </c:pt>
                <c:pt idx="6">
                  <c:v>7.6360572169135583</c:v>
                </c:pt>
                <c:pt idx="7">
                  <c:v>3.0771197936944019</c:v>
                </c:pt>
                <c:pt idx="8">
                  <c:v>7.3033573703528347</c:v>
                </c:pt>
                <c:pt idx="9">
                  <c:v>8.6750203851084891</c:v>
                </c:pt>
                <c:pt idx="10">
                  <c:v>8.7200512500010436</c:v>
                </c:pt>
                <c:pt idx="11">
                  <c:v>5.1611268440630473</c:v>
                </c:pt>
                <c:pt idx="12">
                  <c:v>7.4030211004054145</c:v>
                </c:pt>
                <c:pt idx="13">
                  <c:v>5.5002195375515628</c:v>
                </c:pt>
                <c:pt idx="14">
                  <c:v>6.8582955247249817</c:v>
                </c:pt>
                <c:pt idx="15">
                  <c:v>5.9227802087772323</c:v>
                </c:pt>
                <c:pt idx="16">
                  <c:v>7.0616668021695794</c:v>
                </c:pt>
                <c:pt idx="17">
                  <c:v>8.5348980300896109</c:v>
                </c:pt>
                <c:pt idx="18">
                  <c:v>3.4462392588442325</c:v>
                </c:pt>
                <c:pt idx="19">
                  <c:v>8.4781732241045997</c:v>
                </c:pt>
                <c:pt idx="20">
                  <c:v>8.3828113821385113</c:v>
                </c:pt>
                <c:pt idx="21">
                  <c:v>8.6289464527796031</c:v>
                </c:pt>
                <c:pt idx="22">
                  <c:v>8.2078832396860104</c:v>
                </c:pt>
                <c:pt idx="23">
                  <c:v>8.4251146210250649</c:v>
                </c:pt>
                <c:pt idx="24">
                  <c:v>6.2027208688706477</c:v>
                </c:pt>
                <c:pt idx="25">
                  <c:v>4.4672184927498861</c:v>
                </c:pt>
                <c:pt idx="26">
                  <c:v>5.8140037661743023</c:v>
                </c:pt>
                <c:pt idx="27">
                  <c:v>3.2519574481939642</c:v>
                </c:pt>
                <c:pt idx="28">
                  <c:v>8.3935750729452732</c:v>
                </c:pt>
                <c:pt idx="29">
                  <c:v>8.1324400648834327</c:v>
                </c:pt>
                <c:pt idx="30">
                  <c:v>8.6662593686270988</c:v>
                </c:pt>
                <c:pt idx="31">
                  <c:v>7.6017041665605785</c:v>
                </c:pt>
                <c:pt idx="32">
                  <c:v>6.6722196886880818</c:v>
                </c:pt>
                <c:pt idx="33">
                  <c:v>7.8190603843989432</c:v>
                </c:pt>
                <c:pt idx="34">
                  <c:v>5.1649124176923005</c:v>
                </c:pt>
                <c:pt idx="35">
                  <c:v>6.5402996761591217</c:v>
                </c:pt>
                <c:pt idx="36">
                  <c:v>8.1360598303627754</c:v>
                </c:pt>
                <c:pt idx="37">
                  <c:v>8.2034352452998665</c:v>
                </c:pt>
                <c:pt idx="38">
                  <c:v>7.7878715586172129</c:v>
                </c:pt>
                <c:pt idx="39">
                  <c:v>8.0611433178285132</c:v>
                </c:pt>
                <c:pt idx="40">
                  <c:v>4.7451259548270572</c:v>
                </c:pt>
                <c:pt idx="41">
                  <c:v>8.0269248394080499</c:v>
                </c:pt>
                <c:pt idx="42">
                  <c:v>8.5693060073269987</c:v>
                </c:pt>
                <c:pt idx="43">
                  <c:v>6.6312290660022786</c:v>
                </c:pt>
                <c:pt idx="44">
                  <c:v>7.1879745672117918</c:v>
                </c:pt>
                <c:pt idx="45">
                  <c:v>8.05697588996434</c:v>
                </c:pt>
                <c:pt idx="46">
                  <c:v>7.3144675570093645</c:v>
                </c:pt>
                <c:pt idx="47">
                  <c:v>6.9027739962243633</c:v>
                </c:pt>
                <c:pt idx="48">
                  <c:v>7.4166208932444961</c:v>
                </c:pt>
                <c:pt idx="49">
                  <c:v>7.4233039076263241</c:v>
                </c:pt>
                <c:pt idx="50">
                  <c:v>8.545621664330918</c:v>
                </c:pt>
                <c:pt idx="51">
                  <c:v>7.921178929373804</c:v>
                </c:pt>
                <c:pt idx="52">
                  <c:v>8.5996607876492881</c:v>
                </c:pt>
                <c:pt idx="53">
                  <c:v>7.9112579539762242</c:v>
                </c:pt>
                <c:pt idx="54">
                  <c:v>8.2247359541052347</c:v>
                </c:pt>
                <c:pt idx="55">
                  <c:v>8.4232094823854169</c:v>
                </c:pt>
                <c:pt idx="56">
                  <c:v>6.764730859803044</c:v>
                </c:pt>
                <c:pt idx="57">
                  <c:v>8.6736568058242334</c:v>
                </c:pt>
                <c:pt idx="58">
                  <c:v>8.2961841643501124</c:v>
                </c:pt>
                <c:pt idx="59">
                  <c:v>6.8506559853607492</c:v>
                </c:pt>
                <c:pt idx="60">
                  <c:v>6.8963411427382137</c:v>
                </c:pt>
                <c:pt idx="61">
                  <c:v>8.5855061965701545</c:v>
                </c:pt>
                <c:pt idx="62">
                  <c:v>7.7623530744502647</c:v>
                </c:pt>
                <c:pt idx="63">
                  <c:v>8.013745283265461</c:v>
                </c:pt>
                <c:pt idx="64">
                  <c:v>8.3407381612783897</c:v>
                </c:pt>
                <c:pt idx="65">
                  <c:v>7.8615020292551323</c:v>
                </c:pt>
                <c:pt idx="66">
                  <c:v>7.7102448540523794</c:v>
                </c:pt>
                <c:pt idx="67">
                  <c:v>8.2879744896650891</c:v>
                </c:pt>
                <c:pt idx="68">
                  <c:v>7.2538095431642713</c:v>
                </c:pt>
                <c:pt idx="69">
                  <c:v>7.334780289370368</c:v>
                </c:pt>
                <c:pt idx="70">
                  <c:v>7.0331473718084156</c:v>
                </c:pt>
                <c:pt idx="71">
                  <c:v>7.3747181631437586</c:v>
                </c:pt>
                <c:pt idx="72">
                  <c:v>8.3871125138522533</c:v>
                </c:pt>
                <c:pt idx="73">
                  <c:v>7.7537664100154053</c:v>
                </c:pt>
                <c:pt idx="74">
                  <c:v>8.2942052212349484</c:v>
                </c:pt>
                <c:pt idx="75">
                  <c:v>7.9590146190360258</c:v>
                </c:pt>
                <c:pt idx="76">
                  <c:v>6.4276270102519284</c:v>
                </c:pt>
                <c:pt idx="77">
                  <c:v>7.5513034977849776</c:v>
                </c:pt>
                <c:pt idx="78">
                  <c:v>7.900812921631263</c:v>
                </c:pt>
                <c:pt idx="79">
                  <c:v>3.4962071817594382</c:v>
                </c:pt>
                <c:pt idx="80">
                  <c:v>7.8860923630733053</c:v>
                </c:pt>
                <c:pt idx="81">
                  <c:v>3.9747768795259986</c:v>
                </c:pt>
                <c:pt idx="82">
                  <c:v>8.7075896917880602</c:v>
                </c:pt>
                <c:pt idx="83">
                  <c:v>7.4430816513692974</c:v>
                </c:pt>
                <c:pt idx="84">
                  <c:v>6.0204600085456015</c:v>
                </c:pt>
                <c:pt idx="85">
                  <c:v>8.3152118520788463</c:v>
                </c:pt>
                <c:pt idx="86">
                  <c:v>7.9682071862644879</c:v>
                </c:pt>
                <c:pt idx="87">
                  <c:v>7.5335811943515489</c:v>
                </c:pt>
                <c:pt idx="88">
                  <c:v>8.5795386506611084</c:v>
                </c:pt>
                <c:pt idx="89">
                  <c:v>8.5766115056250456</c:v>
                </c:pt>
                <c:pt idx="90">
                  <c:v>7.0870690534087428</c:v>
                </c:pt>
                <c:pt idx="91">
                  <c:v>3.9728281419199716</c:v>
                </c:pt>
                <c:pt idx="92">
                  <c:v>5.364044278014843</c:v>
                </c:pt>
                <c:pt idx="93">
                  <c:v>3.9328290078190147</c:v>
                </c:pt>
                <c:pt idx="94">
                  <c:v>7.4446213238421866</c:v>
                </c:pt>
                <c:pt idx="95">
                  <c:v>7.8392287020518028</c:v>
                </c:pt>
                <c:pt idx="96">
                  <c:v>4.1203206930309779</c:v>
                </c:pt>
                <c:pt idx="97">
                  <c:v>7.8178061428565488</c:v>
                </c:pt>
                <c:pt idx="98">
                  <c:v>5.5256771944653966</c:v>
                </c:pt>
                <c:pt idx="99">
                  <c:v>3.4194415230448576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2-4855-BA86-B2ACCB14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23423"/>
        <c:axId val="1914332991"/>
      </c:scatterChart>
      <c:valAx>
        <c:axId val="19143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0" i="0" baseline="0">
                    <a:effectLst/>
                  </a:rPr>
                  <a:t>Marginal abatement cost of P ($/kg P)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14332991"/>
        <c:crosses val="autoZero"/>
        <c:crossBetween val="midCat"/>
        <c:majorUnit val="200"/>
      </c:valAx>
      <c:valAx>
        <c:axId val="19143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 b="0" i="0" baseline="0">
                    <a:effectLst/>
                  </a:rPr>
                  <a:t>Willingneess to pay, ($/kg P)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143234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1054178753777011"/>
          <c:y val="5.0163933194875832E-2"/>
          <c:w val="0.63858704617044681"/>
          <c:h val="0.11941288177795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1200150</xdr:colOff>
      <xdr:row>4</xdr:row>
      <xdr:rowOff>9525</xdr:rowOff>
    </xdr:from>
    <xdr:to>
      <xdr:col>16</xdr:col>
      <xdr:colOff>371475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3E281-65AE-4A56-AD46-2D950E117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93</xdr:row>
      <xdr:rowOff>0</xdr:rowOff>
    </xdr:from>
    <xdr:to>
      <xdr:col>11</xdr:col>
      <xdr:colOff>1990726</xdr:colOff>
      <xdr:row>117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6F9B7-0D5B-47E7-AABC-56AE524EB8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73</xdr:row>
      <xdr:rowOff>47625</xdr:rowOff>
    </xdr:from>
    <xdr:to>
      <xdr:col>11</xdr:col>
      <xdr:colOff>1533525</xdr:colOff>
      <xdr:row>91</xdr:row>
      <xdr:rowOff>152827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BB646-13A1-4B18-9390-9E9CD9658CE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312965</xdr:colOff>
      <xdr:row>6</xdr:row>
      <xdr:rowOff>119062</xdr:rowOff>
    </xdr:from>
    <xdr:to>
      <xdr:col>21</xdr:col>
      <xdr:colOff>496661</xdr:colOff>
      <xdr:row>23</xdr:row>
      <xdr:rowOff>59530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348E3-CFB2-464C-AD15-5B661E8F3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123825</xdr:rowOff>
    </xdr:from>
    <xdr:to>
      <xdr:col>13</xdr:col>
      <xdr:colOff>542925</xdr:colOff>
      <xdr:row>19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B97AA-5A04-4646-B908-0BAFC1EA1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obin/Google%20Drive/Postdoc_Research/Submodel-%20WWT/Techno-economics%20analysis/AS_ASCP_EBPR_StR_c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TEEM/Submodel_SWAT/land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S"/>
      <sheetName val="ASCP"/>
      <sheetName val="EBPR_v1"/>
      <sheetName val="EBPR"/>
      <sheetName val="StR"/>
      <sheetName val="AS_v2"/>
      <sheetName val="ASCP_v2"/>
      <sheetName val="EBPR_v2"/>
      <sheetName val="StR_v2"/>
      <sheetName val="Appendices"/>
    </sheetNames>
    <sheetDataSet>
      <sheetData sheetId="0">
        <row r="17">
          <cell r="B17" t="str">
            <v>Labor cost</v>
          </cell>
          <cell r="C17" t="str">
            <v>Material cost</v>
          </cell>
          <cell r="D17" t="str">
            <v>Chemical cost</v>
          </cell>
          <cell r="E17" t="str">
            <v>Energy cost</v>
          </cell>
          <cell r="F17" t="str">
            <v>Amortization cost</v>
          </cell>
        </row>
        <row r="18">
          <cell r="A18" t="str">
            <v>Activated Sludge</v>
          </cell>
          <cell r="B18">
            <v>5.59</v>
          </cell>
          <cell r="C18">
            <v>1.01</v>
          </cell>
          <cell r="D18">
            <v>0.67500000000000004</v>
          </cell>
          <cell r="E18">
            <v>0.27400000000000002</v>
          </cell>
          <cell r="F18">
            <v>11.8</v>
          </cell>
        </row>
        <row r="19">
          <cell r="A19" t="str">
            <v>ASCP</v>
          </cell>
          <cell r="B19">
            <v>5.79</v>
          </cell>
          <cell r="C19">
            <v>1.03</v>
          </cell>
          <cell r="D19">
            <v>3.72</v>
          </cell>
          <cell r="E19">
            <v>0.27400000000000002</v>
          </cell>
          <cell r="F19">
            <v>11.9</v>
          </cell>
        </row>
        <row r="20">
          <cell r="A20" t="str">
            <v>EBPR</v>
          </cell>
          <cell r="B20">
            <v>5.83</v>
          </cell>
          <cell r="C20">
            <v>1.1499999999999999</v>
          </cell>
          <cell r="D20">
            <v>0.64900000000000002</v>
          </cell>
          <cell r="E20">
            <v>0.71399999999999997</v>
          </cell>
          <cell r="F20">
            <v>13.4</v>
          </cell>
        </row>
        <row r="59">
          <cell r="B59" t="str">
            <v>Labor cost</v>
          </cell>
          <cell r="C59" t="str">
            <v>Material cost</v>
          </cell>
          <cell r="D59" t="str">
            <v>Energy cost</v>
          </cell>
          <cell r="E59" t="str">
            <v>Chemical cost</v>
          </cell>
          <cell r="F59" t="str">
            <v>Sludge handle</v>
          </cell>
          <cell r="G59" t="str">
            <v>Capital cost</v>
          </cell>
          <cell r="H59" t="str">
            <v>Revenue of struvite recovery</v>
          </cell>
        </row>
        <row r="60">
          <cell r="A60" t="str">
            <v>AS</v>
          </cell>
          <cell r="B60">
            <v>5.59</v>
          </cell>
          <cell r="C60">
            <v>1.01</v>
          </cell>
          <cell r="D60">
            <v>0.85772542270857899</v>
          </cell>
          <cell r="E60">
            <v>0.15294291784302327</v>
          </cell>
          <cell r="F60">
            <v>4.0191553927153206E-2</v>
          </cell>
          <cell r="G60">
            <v>10.126233747937299</v>
          </cell>
          <cell r="H60">
            <v>0</v>
          </cell>
        </row>
        <row r="61">
          <cell r="A61" t="str">
            <v>ASCP</v>
          </cell>
          <cell r="B61">
            <v>5.79</v>
          </cell>
          <cell r="C61">
            <v>1.03</v>
          </cell>
          <cell r="D61">
            <v>0.86002398833470894</v>
          </cell>
          <cell r="E61">
            <v>0.49307272667501401</v>
          </cell>
          <cell r="F61">
            <v>9.25187139544833E-2</v>
          </cell>
          <cell r="G61">
            <v>10.276252025684601</v>
          </cell>
          <cell r="H61">
            <v>0</v>
          </cell>
        </row>
        <row r="62">
          <cell r="A62" t="str">
            <v>EBPR_basic</v>
          </cell>
          <cell r="B62">
            <v>5.83</v>
          </cell>
          <cell r="C62">
            <v>1.1499999999999999</v>
          </cell>
          <cell r="D62">
            <v>0.69424503323617992</v>
          </cell>
          <cell r="E62">
            <v>0.15287147824315558</v>
          </cell>
          <cell r="F62">
            <v>8.1665111053382103E-2</v>
          </cell>
          <cell r="G62">
            <v>11.551407386535899</v>
          </cell>
          <cell r="H62">
            <v>0</v>
          </cell>
        </row>
        <row r="63">
          <cell r="A63" t="str">
            <v>EBPR_acetate</v>
          </cell>
          <cell r="B63">
            <v>5.83</v>
          </cell>
          <cell r="C63">
            <v>1.1499999999999999</v>
          </cell>
          <cell r="D63">
            <v>0.76734894700071499</v>
          </cell>
          <cell r="E63">
            <v>2.1251793180673828</v>
          </cell>
          <cell r="F63">
            <v>8.6171109855395098E-2</v>
          </cell>
          <cell r="G63">
            <v>11.551407386535899</v>
          </cell>
          <cell r="H63">
            <v>0</v>
          </cell>
        </row>
        <row r="64">
          <cell r="A64" t="str">
            <v>EBPR_StR</v>
          </cell>
          <cell r="B64">
            <v>5.88</v>
          </cell>
          <cell r="C64">
            <v>1.21</v>
          </cell>
          <cell r="D64">
            <v>0.64898424618591999</v>
          </cell>
          <cell r="E64">
            <v>0.84605376072233995</v>
          </cell>
          <cell r="F64">
            <v>5.3503067017588196E-2</v>
          </cell>
          <cell r="G64">
            <v>11.6264165254095</v>
          </cell>
          <cell r="H64">
            <v>-0.57325700000000002</v>
          </cell>
        </row>
      </sheetData>
      <sheetData sheetId="1">
        <row r="1144">
          <cell r="B1144">
            <v>1260000</v>
          </cell>
        </row>
        <row r="1148">
          <cell r="B1148">
            <v>104000</v>
          </cell>
        </row>
        <row r="1178">
          <cell r="B1178">
            <v>31900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duse"/>
      <sheetName val="landuse_unlinked"/>
      <sheetName val="landuse_raw"/>
      <sheetName val="landuse2"/>
    </sheetNames>
    <sheetDataSet>
      <sheetData sheetId="0"/>
      <sheetData sheetId="1"/>
      <sheetData sheetId="2">
        <row r="220">
          <cell r="E220">
            <v>3905.4416999999999</v>
          </cell>
        </row>
        <row r="221">
          <cell r="E221">
            <v>3599.7226999999998</v>
          </cell>
        </row>
        <row r="222">
          <cell r="E222">
            <v>2199.4704000000002</v>
          </cell>
        </row>
        <row r="223">
          <cell r="E223">
            <v>2015.4340999999999</v>
          </cell>
        </row>
        <row r="252">
          <cell r="E252">
            <v>716.20069999999998</v>
          </cell>
        </row>
        <row r="253">
          <cell r="E253">
            <v>1684.4287999999999</v>
          </cell>
        </row>
        <row r="254">
          <cell r="E254">
            <v>1746.4453000000001</v>
          </cell>
        </row>
        <row r="255">
          <cell r="E255">
            <v>948.63080000000002</v>
          </cell>
        </row>
        <row r="256">
          <cell r="E256">
            <v>989.66660000000002</v>
          </cell>
        </row>
        <row r="297">
          <cell r="E297">
            <v>176.69300000000001</v>
          </cell>
        </row>
        <row r="298">
          <cell r="E298">
            <v>447.92250000000001</v>
          </cell>
        </row>
        <row r="299">
          <cell r="E299">
            <v>551.38580000000002</v>
          </cell>
        </row>
        <row r="300">
          <cell r="E300">
            <v>251.28630000000001</v>
          </cell>
        </row>
        <row r="301">
          <cell r="E301">
            <v>311.214</v>
          </cell>
        </row>
        <row r="336">
          <cell r="E336">
            <v>908.60569999999996</v>
          </cell>
        </row>
        <row r="356">
          <cell r="E356">
            <v>2289.2249999999999</v>
          </cell>
        </row>
        <row r="357">
          <cell r="E357">
            <v>2016.1025</v>
          </cell>
        </row>
        <row r="358">
          <cell r="E358">
            <v>1295.6677</v>
          </cell>
        </row>
        <row r="359">
          <cell r="E359">
            <v>1130.8219999999999</v>
          </cell>
        </row>
        <row r="397">
          <cell r="E397">
            <v>1216.711</v>
          </cell>
        </row>
        <row r="398">
          <cell r="E398">
            <v>1538.4448</v>
          </cell>
        </row>
        <row r="399">
          <cell r="E399">
            <v>679.44470000000001</v>
          </cell>
        </row>
        <row r="400">
          <cell r="E400">
            <v>868.9248</v>
          </cell>
        </row>
        <row r="424">
          <cell r="E424">
            <v>1912.1413</v>
          </cell>
        </row>
        <row r="425">
          <cell r="E425">
            <v>1344.3574000000001</v>
          </cell>
        </row>
        <row r="426">
          <cell r="E426">
            <v>1074.0115000000001</v>
          </cell>
        </row>
        <row r="427">
          <cell r="E427">
            <v>757.36739999999998</v>
          </cell>
        </row>
        <row r="461">
          <cell r="E461">
            <v>2037.5369000000001</v>
          </cell>
        </row>
        <row r="462">
          <cell r="E462">
            <v>1954.1042</v>
          </cell>
        </row>
        <row r="463">
          <cell r="E463">
            <v>1146.1990000000001</v>
          </cell>
        </row>
        <row r="464">
          <cell r="E464">
            <v>1091.1801</v>
          </cell>
        </row>
        <row r="497">
          <cell r="E497">
            <v>825.44719999999995</v>
          </cell>
        </row>
        <row r="498">
          <cell r="E498">
            <v>952.77829999999994</v>
          </cell>
        </row>
        <row r="499">
          <cell r="E499">
            <v>2372.1273999999999</v>
          </cell>
        </row>
        <row r="500">
          <cell r="E500">
            <v>2577.0549000000001</v>
          </cell>
        </row>
        <row r="501">
          <cell r="E501">
            <v>1322.7325000000001</v>
          </cell>
        </row>
        <row r="502">
          <cell r="E502">
            <v>1454.3902</v>
          </cell>
        </row>
        <row r="557">
          <cell r="E557">
            <v>2001.0269000000001</v>
          </cell>
        </row>
        <row r="558">
          <cell r="E558">
            <v>2136.2755000000002</v>
          </cell>
        </row>
        <row r="559">
          <cell r="E559">
            <v>1124.2374</v>
          </cell>
        </row>
        <row r="560">
          <cell r="E560">
            <v>1198.7998</v>
          </cell>
        </row>
        <row r="598">
          <cell r="E598">
            <v>638.94730000000004</v>
          </cell>
        </row>
        <row r="599">
          <cell r="E599">
            <v>2259.7228</v>
          </cell>
        </row>
        <row r="600">
          <cell r="E600">
            <v>1657.6393</v>
          </cell>
        </row>
        <row r="601">
          <cell r="E601">
            <v>1271.4003</v>
          </cell>
        </row>
        <row r="602">
          <cell r="E602">
            <v>936.31859999999995</v>
          </cell>
        </row>
        <row r="634">
          <cell r="E634">
            <v>4402.38</v>
          </cell>
        </row>
        <row r="635">
          <cell r="E635">
            <v>4570.4776000000002</v>
          </cell>
        </row>
        <row r="636">
          <cell r="E636">
            <v>2477.7141999999999</v>
          </cell>
        </row>
        <row r="637">
          <cell r="E637">
            <v>2568.1244000000002</v>
          </cell>
        </row>
        <row r="666">
          <cell r="E666">
            <v>1220.1469999999999</v>
          </cell>
        </row>
        <row r="667">
          <cell r="E667">
            <v>1573.6575</v>
          </cell>
        </row>
        <row r="668">
          <cell r="E668">
            <v>2623.9007999999999</v>
          </cell>
        </row>
        <row r="669">
          <cell r="E669">
            <v>3485.5634</v>
          </cell>
        </row>
        <row r="670">
          <cell r="E670">
            <v>1473.3008</v>
          </cell>
        </row>
        <row r="671">
          <cell r="E671">
            <v>1974.9966999999999</v>
          </cell>
        </row>
        <row r="718">
          <cell r="E718">
            <v>2124.7298999999998</v>
          </cell>
        </row>
        <row r="719">
          <cell r="E719">
            <v>2393.2318</v>
          </cell>
        </row>
        <row r="720">
          <cell r="E720">
            <v>1195.0455999999999</v>
          </cell>
        </row>
        <row r="721">
          <cell r="E721">
            <v>1347.5235</v>
          </cell>
        </row>
        <row r="752">
          <cell r="E752">
            <v>156.83109999999999</v>
          </cell>
        </row>
        <row r="753">
          <cell r="E753">
            <v>154.55619999999999</v>
          </cell>
        </row>
        <row r="754">
          <cell r="E754">
            <v>76.6036</v>
          </cell>
        </row>
        <row r="755">
          <cell r="E755">
            <v>95.820300000000003</v>
          </cell>
        </row>
        <row r="756">
          <cell r="E756">
            <v>55.043500000000002</v>
          </cell>
        </row>
        <row r="794">
          <cell r="E794">
            <v>1718.1143</v>
          </cell>
        </row>
        <row r="795">
          <cell r="E795">
            <v>1567.7642000000001</v>
          </cell>
        </row>
        <row r="796">
          <cell r="E796">
            <v>959.48479999999995</v>
          </cell>
        </row>
        <row r="797">
          <cell r="E797">
            <v>884.69299999999998</v>
          </cell>
        </row>
        <row r="826">
          <cell r="E826">
            <v>4333.4454999999998</v>
          </cell>
        </row>
        <row r="827">
          <cell r="E827">
            <v>3094.3371000000002</v>
          </cell>
        </row>
        <row r="828">
          <cell r="E828">
            <v>2446.6043</v>
          </cell>
        </row>
        <row r="829">
          <cell r="E829">
            <v>1734.1014</v>
          </cell>
        </row>
        <row r="858">
          <cell r="E858">
            <v>3918.9524999999999</v>
          </cell>
        </row>
        <row r="859">
          <cell r="E859">
            <v>2814.4454000000001</v>
          </cell>
        </row>
        <row r="860">
          <cell r="E860">
            <v>2205.6025</v>
          </cell>
        </row>
        <row r="861">
          <cell r="E861">
            <v>1587.5934</v>
          </cell>
        </row>
        <row r="886">
          <cell r="E886">
            <v>1614.4163000000001</v>
          </cell>
        </row>
        <row r="887">
          <cell r="E887">
            <v>1990.2592999999999</v>
          </cell>
        </row>
        <row r="888">
          <cell r="E888">
            <v>912.87030000000004</v>
          </cell>
        </row>
        <row r="889">
          <cell r="E889">
            <v>1114.741</v>
          </cell>
        </row>
        <row r="918">
          <cell r="E918">
            <v>2876.5446999999999</v>
          </cell>
        </row>
        <row r="919">
          <cell r="E919">
            <v>1905.0427999999999</v>
          </cell>
        </row>
        <row r="920">
          <cell r="E920">
            <v>1619.5007000000001</v>
          </cell>
        </row>
        <row r="921">
          <cell r="E921">
            <v>1074.3820000000001</v>
          </cell>
        </row>
        <row r="950">
          <cell r="E950">
            <v>695.16909999999996</v>
          </cell>
        </row>
        <row r="951">
          <cell r="E951">
            <v>551.89290000000005</v>
          </cell>
        </row>
        <row r="952">
          <cell r="E952">
            <v>1681.2814000000001</v>
          </cell>
        </row>
        <row r="953">
          <cell r="E953">
            <v>1621.5599</v>
          </cell>
        </row>
        <row r="954">
          <cell r="E954">
            <v>946.86199999999997</v>
          </cell>
        </row>
        <row r="955">
          <cell r="E955">
            <v>909.63559999999995</v>
          </cell>
        </row>
        <row r="993">
          <cell r="E993">
            <v>1731.5741</v>
          </cell>
        </row>
        <row r="994">
          <cell r="E994">
            <v>1151.7764</v>
          </cell>
        </row>
        <row r="995">
          <cell r="E995">
            <v>4297.0941999999995</v>
          </cell>
        </row>
        <row r="996">
          <cell r="E996">
            <v>3644.1363000000001</v>
          </cell>
        </row>
        <row r="997">
          <cell r="E997">
            <v>2422.8132999999998</v>
          </cell>
        </row>
        <row r="998">
          <cell r="E998">
            <v>2047.5872999999999</v>
          </cell>
        </row>
        <row r="1041">
          <cell r="E1041">
            <v>1230.2438</v>
          </cell>
        </row>
        <row r="1042">
          <cell r="E1042">
            <v>2352.5083</v>
          </cell>
        </row>
        <row r="1043">
          <cell r="E1043">
            <v>2747.7534999999998</v>
          </cell>
        </row>
        <row r="1044">
          <cell r="E1044">
            <v>1317.1264000000001</v>
          </cell>
        </row>
        <row r="1045">
          <cell r="E1045">
            <v>1542.2954</v>
          </cell>
        </row>
        <row r="1089">
          <cell r="E1089">
            <v>630.22400000000005</v>
          </cell>
        </row>
        <row r="1090">
          <cell r="E1090">
            <v>1084.8434999999999</v>
          </cell>
        </row>
        <row r="1091">
          <cell r="E1091">
            <v>705.05029999999999</v>
          </cell>
        </row>
        <row r="1092">
          <cell r="E1092">
            <v>624.73249999999996</v>
          </cell>
        </row>
        <row r="1093">
          <cell r="E1093">
            <v>1547.4919</v>
          </cell>
        </row>
        <row r="1094">
          <cell r="E1094">
            <v>1146.973</v>
          </cell>
        </row>
        <row r="1095">
          <cell r="E1095">
            <v>867.49419999999998</v>
          </cell>
        </row>
        <row r="1096">
          <cell r="E1096">
            <v>647.66420000000005</v>
          </cell>
        </row>
        <row r="1143">
          <cell r="E1143">
            <v>2369.9432000000002</v>
          </cell>
        </row>
        <row r="1144">
          <cell r="E1144">
            <v>2019.6125999999999</v>
          </cell>
        </row>
        <row r="1145">
          <cell r="E1145">
            <v>1332.0866000000001</v>
          </cell>
        </row>
        <row r="1146">
          <cell r="E1146">
            <v>1139.2388000000001</v>
          </cell>
        </row>
        <row r="1184">
          <cell r="E1184">
            <v>1139.8574000000001</v>
          </cell>
        </row>
        <row r="1185">
          <cell r="E1185">
            <v>1437.3068000000001</v>
          </cell>
        </row>
        <row r="1186">
          <cell r="E1186">
            <v>1962.7747999999999</v>
          </cell>
        </row>
        <row r="1187">
          <cell r="E1187">
            <v>1451.7686000000001</v>
          </cell>
        </row>
        <row r="1188">
          <cell r="E1188">
            <v>1103.3855000000001</v>
          </cell>
        </row>
        <row r="1189">
          <cell r="E1189">
            <v>817.99099999999999</v>
          </cell>
        </row>
        <row r="1243">
          <cell r="E1243">
            <v>159.45089999999999</v>
          </cell>
        </row>
        <row r="1244">
          <cell r="E1244">
            <v>471.15359999999998</v>
          </cell>
        </row>
        <row r="1245">
          <cell r="E1245">
            <v>189.25040000000001</v>
          </cell>
        </row>
        <row r="1246">
          <cell r="E1246">
            <v>73.429699999999997</v>
          </cell>
        </row>
        <row r="1247">
          <cell r="E1247">
            <v>129.0744</v>
          </cell>
        </row>
        <row r="1292">
          <cell r="E1292">
            <v>493.83679999999998</v>
          </cell>
        </row>
        <row r="1293">
          <cell r="E1293">
            <v>904.22559999999999</v>
          </cell>
        </row>
        <row r="1294">
          <cell r="E1294">
            <v>495.85300000000001</v>
          </cell>
        </row>
        <row r="1295">
          <cell r="E1295">
            <v>320.17770000000002</v>
          </cell>
        </row>
        <row r="1296">
          <cell r="E1296">
            <v>305.86840000000001</v>
          </cell>
        </row>
        <row r="1297">
          <cell r="E1297">
            <v>386.8304</v>
          </cell>
        </row>
        <row r="1298">
          <cell r="E1298">
            <v>495.06029999999998</v>
          </cell>
        </row>
        <row r="1299">
          <cell r="E1299">
            <v>279.68689999999998</v>
          </cell>
        </row>
        <row r="1359">
          <cell r="E1359">
            <v>1511.1106</v>
          </cell>
        </row>
        <row r="1360">
          <cell r="E1360">
            <v>2133.6561000000002</v>
          </cell>
        </row>
        <row r="1361">
          <cell r="E1361">
            <v>2496.5331000000001</v>
          </cell>
        </row>
        <row r="1362">
          <cell r="E1362">
            <v>1684.4177999999999</v>
          </cell>
        </row>
        <row r="1363">
          <cell r="E1363">
            <v>2823.3452000000002</v>
          </cell>
        </row>
        <row r="1364">
          <cell r="E1364">
            <v>2512.7957999999999</v>
          </cell>
        </row>
        <row r="1365">
          <cell r="E1365">
            <v>1599.0826</v>
          </cell>
        </row>
        <row r="1366">
          <cell r="E1366">
            <v>1412.4472000000001</v>
          </cell>
        </row>
        <row r="1406">
          <cell r="E1406">
            <v>1975.9339</v>
          </cell>
        </row>
        <row r="1407">
          <cell r="E1407">
            <v>1152.4493</v>
          </cell>
        </row>
        <row r="1408">
          <cell r="E1408">
            <v>2092.6109999999999</v>
          </cell>
        </row>
        <row r="1409">
          <cell r="E1409">
            <v>3944.7067999999999</v>
          </cell>
        </row>
        <row r="1410">
          <cell r="E1410">
            <v>1186.3596</v>
          </cell>
        </row>
        <row r="1411">
          <cell r="E1411">
            <v>2212.9780999999998</v>
          </cell>
        </row>
        <row r="1461">
          <cell r="E1461">
            <v>6279.4213</v>
          </cell>
        </row>
        <row r="1462">
          <cell r="E1462">
            <v>5230.8162000000002</v>
          </cell>
        </row>
        <row r="1463">
          <cell r="E1463">
            <v>3534.9762000000001</v>
          </cell>
        </row>
        <row r="1464">
          <cell r="E1464">
            <v>2937.8955000000001</v>
          </cell>
        </row>
        <row r="1488">
          <cell r="E1488">
            <v>1231.0228999999999</v>
          </cell>
        </row>
        <row r="1489">
          <cell r="E1489">
            <v>4416.8643000000002</v>
          </cell>
        </row>
        <row r="1490">
          <cell r="E1490">
            <v>4167.3440000000001</v>
          </cell>
        </row>
        <row r="1491">
          <cell r="E1491">
            <v>2479.5693999999999</v>
          </cell>
        </row>
        <row r="1492">
          <cell r="E1492">
            <v>2341.9085</v>
          </cell>
        </row>
        <row r="1512">
          <cell r="E1512">
            <v>671.88409999999999</v>
          </cell>
        </row>
        <row r="1513">
          <cell r="E1513">
            <v>619.77139999999997</v>
          </cell>
        </row>
        <row r="1514">
          <cell r="E1514">
            <v>1384.9758999999999</v>
          </cell>
        </row>
        <row r="1515">
          <cell r="E1515">
            <v>774.22349999999994</v>
          </cell>
        </row>
        <row r="1516">
          <cell r="E1516">
            <v>827.85860000000002</v>
          </cell>
        </row>
        <row r="1517">
          <cell r="E1517">
            <v>950.01670000000001</v>
          </cell>
        </row>
        <row r="1518">
          <cell r="E1518">
            <v>467.45429999999999</v>
          </cell>
        </row>
        <row r="1519">
          <cell r="E1519">
            <v>532.971</v>
          </cell>
        </row>
        <row r="1582">
          <cell r="E1582">
            <v>401.02589999999998</v>
          </cell>
        </row>
        <row r="1583">
          <cell r="E1583">
            <v>391.35129999999998</v>
          </cell>
        </row>
        <row r="1584">
          <cell r="E1584">
            <v>1310.2294999999999</v>
          </cell>
        </row>
        <row r="1585">
          <cell r="E1585">
            <v>1410.9282000000001</v>
          </cell>
        </row>
        <row r="1586">
          <cell r="E1586">
            <v>740.25900000000001</v>
          </cell>
        </row>
        <row r="1587">
          <cell r="E1587">
            <v>793.67179999999996</v>
          </cell>
        </row>
        <row r="1641">
          <cell r="E1641">
            <v>4227.6944000000003</v>
          </cell>
        </row>
        <row r="1642">
          <cell r="E1642">
            <v>3606.8843999999999</v>
          </cell>
        </row>
        <row r="1643">
          <cell r="E1643">
            <v>2377.5882000000001</v>
          </cell>
        </row>
        <row r="1644">
          <cell r="E1644">
            <v>2025.646</v>
          </cell>
        </row>
        <row r="1663">
          <cell r="E1663">
            <v>531.43420000000003</v>
          </cell>
        </row>
        <row r="1664">
          <cell r="E1664">
            <v>341.79640000000001</v>
          </cell>
        </row>
        <row r="1665">
          <cell r="E1665">
            <v>1065.9417000000001</v>
          </cell>
        </row>
        <row r="1666">
          <cell r="E1666">
            <v>1078.3400999999999</v>
          </cell>
        </row>
        <row r="1667">
          <cell r="E1667">
            <v>605.61379999999997</v>
          </cell>
        </row>
        <row r="1668">
          <cell r="E1668">
            <v>608.61339999999996</v>
          </cell>
        </row>
        <row r="1708">
          <cell r="E1708">
            <v>1232.9467</v>
          </cell>
        </row>
        <row r="1709">
          <cell r="E1709">
            <v>2243.5162</v>
          </cell>
        </row>
        <row r="1710">
          <cell r="E1710">
            <v>2104.7840000000001</v>
          </cell>
        </row>
        <row r="1711">
          <cell r="E1711">
            <v>695.78380000000004</v>
          </cell>
        </row>
        <row r="1712">
          <cell r="E1712">
            <v>1265.4390000000001</v>
          </cell>
        </row>
        <row r="1713">
          <cell r="E1713">
            <v>1189.5786000000001</v>
          </cell>
        </row>
        <row r="1743">
          <cell r="E1743">
            <v>3109.1084000000001</v>
          </cell>
        </row>
        <row r="1744">
          <cell r="E1744">
            <v>2740.6224000000002</v>
          </cell>
        </row>
        <row r="1745">
          <cell r="E1745">
            <v>1754.9903999999999</v>
          </cell>
        </row>
        <row r="1746">
          <cell r="E1746">
            <v>1545.9443000000001</v>
          </cell>
        </row>
        <row r="1783">
          <cell r="E1783">
            <v>717.53679999999997</v>
          </cell>
        </row>
        <row r="1784">
          <cell r="E1784">
            <v>1940.9217000000001</v>
          </cell>
        </row>
        <row r="1785">
          <cell r="E1785">
            <v>2067.9899</v>
          </cell>
        </row>
        <row r="1786">
          <cell r="E1786">
            <v>1087.1478</v>
          </cell>
        </row>
        <row r="1787">
          <cell r="E1787">
            <v>1170.9045000000001</v>
          </cell>
        </row>
        <row r="1807">
          <cell r="E1807">
            <v>1892.8031000000001</v>
          </cell>
        </row>
        <row r="1808">
          <cell r="E1808">
            <v>1965.6555000000001</v>
          </cell>
        </row>
        <row r="1809">
          <cell r="E1809">
            <v>1060.2707</v>
          </cell>
        </row>
        <row r="1810">
          <cell r="E1810">
            <v>1101.1724999999999</v>
          </cell>
        </row>
        <row r="1839">
          <cell r="E1839">
            <v>694.73689999999999</v>
          </cell>
        </row>
        <row r="1840">
          <cell r="E1840">
            <v>2819.5745000000002</v>
          </cell>
        </row>
        <row r="1841">
          <cell r="E1841">
            <v>2850.0594999999998</v>
          </cell>
        </row>
        <row r="1842">
          <cell r="E1842">
            <v>1586.4576</v>
          </cell>
        </row>
        <row r="1843">
          <cell r="E1843">
            <v>1595.9061999999999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herald-review.com/news/local/govt-and-politics/so-much-sediment-nowhere-to-put-it-lake-decatur-dredging-delayed-by-problem-at-storage/article_f64a667a-65d7-5327-929d-d024aee310ed.html" TargetMode="External"/><Relationship Id="rId1" Type="http://schemas.openxmlformats.org/officeDocument/2006/relationships/hyperlink" Target="https://en.wikipedia.org/wiki/Lake_Decatu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ndexmundi.com/commodities/?commodity=soybeans&amp;months=360" TargetMode="External"/><Relationship Id="rId1" Type="http://schemas.openxmlformats.org/officeDocument/2006/relationships/hyperlink" Target="https://www.indexmundi.com/commodities/?commodity=cor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1890-6EFC-46BF-8B6E-69F4C1E9C8EE}">
  <dimension ref="C4:F12"/>
  <sheetViews>
    <sheetView workbookViewId="0">
      <selection activeCell="C9" sqref="C9:F9"/>
    </sheetView>
  </sheetViews>
  <sheetFormatPr defaultRowHeight="14.25" x14ac:dyDescent="0.2"/>
  <cols>
    <col min="3" max="3" width="13.125" bestFit="1" customWidth="1"/>
  </cols>
  <sheetData>
    <row r="4" spans="3:6" x14ac:dyDescent="0.2">
      <c r="C4" t="s">
        <v>500</v>
      </c>
      <c r="D4" t="s">
        <v>264</v>
      </c>
      <c r="E4" t="s">
        <v>265</v>
      </c>
      <c r="F4" t="s">
        <v>43</v>
      </c>
    </row>
    <row r="5" spans="3:6" x14ac:dyDescent="0.2">
      <c r="C5" t="s">
        <v>501</v>
      </c>
    </row>
    <row r="6" spans="3:6" x14ac:dyDescent="0.2">
      <c r="C6" t="s">
        <v>502</v>
      </c>
    </row>
    <row r="7" spans="3:6" x14ac:dyDescent="0.2">
      <c r="C7" t="s">
        <v>503</v>
      </c>
    </row>
    <row r="8" spans="3:6" x14ac:dyDescent="0.2">
      <c r="C8" t="s">
        <v>504</v>
      </c>
    </row>
    <row r="9" spans="3:6" x14ac:dyDescent="0.2">
      <c r="C9" t="s">
        <v>505</v>
      </c>
      <c r="D9">
        <v>0</v>
      </c>
      <c r="E9">
        <v>12880652.639999999</v>
      </c>
      <c r="F9" t="s">
        <v>175</v>
      </c>
    </row>
    <row r="10" spans="3:6" x14ac:dyDescent="0.2">
      <c r="C10" t="s">
        <v>506</v>
      </c>
    </row>
    <row r="11" spans="3:6" x14ac:dyDescent="0.2">
      <c r="C11" t="s">
        <v>507</v>
      </c>
    </row>
    <row r="12" spans="3:6" x14ac:dyDescent="0.2">
      <c r="C12" t="s">
        <v>508</v>
      </c>
    </row>
  </sheetData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550D-5DED-44B3-846C-F2735765C582}">
  <dimension ref="C1:F14"/>
  <sheetViews>
    <sheetView topLeftCell="A7" zoomScale="90" zoomScaleNormal="90" workbookViewId="0">
      <selection activeCell="J27" sqref="J27"/>
    </sheetView>
  </sheetViews>
  <sheetFormatPr defaultRowHeight="14.25" x14ac:dyDescent="0.2"/>
  <cols>
    <col min="3" max="3" width="24.625" bestFit="1" customWidth="1"/>
    <col min="4" max="4" width="12.125" customWidth="1"/>
    <col min="5" max="5" width="7.5" bestFit="1" customWidth="1"/>
  </cols>
  <sheetData>
    <row r="1" spans="3:6" x14ac:dyDescent="0.2">
      <c r="D1" t="s">
        <v>479</v>
      </c>
    </row>
    <row r="2" spans="3:6" x14ac:dyDescent="0.2">
      <c r="D2" s="12" t="s">
        <v>478</v>
      </c>
    </row>
    <row r="3" spans="3:6" x14ac:dyDescent="0.2">
      <c r="D3" t="s">
        <v>480</v>
      </c>
    </row>
    <row r="5" spans="3:6" x14ac:dyDescent="0.2">
      <c r="C5" t="s">
        <v>481</v>
      </c>
      <c r="D5" t="s">
        <v>51</v>
      </c>
      <c r="E5" t="s">
        <v>43</v>
      </c>
      <c r="F5" t="s">
        <v>486</v>
      </c>
    </row>
    <row r="6" spans="3:6" x14ac:dyDescent="0.2">
      <c r="C6" t="s">
        <v>482</v>
      </c>
      <c r="D6">
        <f>26*10^6</f>
        <v>26000000</v>
      </c>
      <c r="E6" t="s">
        <v>483</v>
      </c>
      <c r="F6" s="145" t="s">
        <v>487</v>
      </c>
    </row>
    <row r="7" spans="3:6" x14ac:dyDescent="0.2">
      <c r="C7" t="s">
        <v>484</v>
      </c>
      <c r="D7">
        <v>0.5</v>
      </c>
      <c r="E7" t="s">
        <v>485</v>
      </c>
      <c r="F7" t="s">
        <v>480</v>
      </c>
    </row>
    <row r="9" spans="3:6" x14ac:dyDescent="0.2">
      <c r="C9" t="s">
        <v>488</v>
      </c>
      <c r="D9" s="13">
        <f>92*10^6</f>
        <v>92000000</v>
      </c>
      <c r="E9" t="s">
        <v>68</v>
      </c>
    </row>
    <row r="10" spans="3:6" x14ac:dyDescent="0.2">
      <c r="C10" t="s">
        <v>489</v>
      </c>
      <c r="D10" s="13">
        <f>D6*1/3</f>
        <v>8666666.666666666</v>
      </c>
      <c r="E10" t="s">
        <v>483</v>
      </c>
      <c r="F10" s="12" t="s">
        <v>494</v>
      </c>
    </row>
    <row r="11" spans="3:6" x14ac:dyDescent="0.2">
      <c r="C11" t="s">
        <v>491</v>
      </c>
      <c r="D11" s="13">
        <f>D10*D7</f>
        <v>4333333.333333333</v>
      </c>
      <c r="E11" t="s">
        <v>490</v>
      </c>
    </row>
    <row r="12" spans="3:6" x14ac:dyDescent="0.2">
      <c r="C12" t="s">
        <v>495</v>
      </c>
      <c r="D12" s="13">
        <v>8180736.9803999998</v>
      </c>
      <c r="E12" t="s">
        <v>483</v>
      </c>
      <c r="F12" s="145" t="s">
        <v>496</v>
      </c>
    </row>
    <row r="13" spans="3:6" x14ac:dyDescent="0.2">
      <c r="C13" t="s">
        <v>493</v>
      </c>
      <c r="D13" s="150">
        <f>D9/D11</f>
        <v>21.230769230769234</v>
      </c>
      <c r="E13" s="149" t="s">
        <v>492</v>
      </c>
    </row>
    <row r="14" spans="3:6" x14ac:dyDescent="0.2">
      <c r="D14" s="13"/>
    </row>
  </sheetData>
  <phoneticPr fontId="20" type="noConversion"/>
  <hyperlinks>
    <hyperlink ref="F6" r:id="rId1" xr:uid="{466D3A2F-889C-4FCC-A371-A30D19BA6534}"/>
    <hyperlink ref="F12" r:id="rId2" xr:uid="{968723DA-0714-4C82-AD45-B99C54F5FBA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567F-1FD4-419D-81DE-DDB62F738225}">
  <dimension ref="A1:CW47"/>
  <sheetViews>
    <sheetView topLeftCell="A22" workbookViewId="0">
      <selection activeCell="C60" sqref="C60"/>
    </sheetView>
  </sheetViews>
  <sheetFormatPr defaultRowHeight="14.25" x14ac:dyDescent="0.2"/>
  <sheetData>
    <row r="1" spans="1:101" x14ac:dyDescent="0.2">
      <c r="B1" t="s">
        <v>619</v>
      </c>
    </row>
    <row r="2" spans="1:101" x14ac:dyDescent="0.2">
      <c r="B2" t="s">
        <v>519</v>
      </c>
      <c r="C2" t="s">
        <v>520</v>
      </c>
      <c r="D2" t="s">
        <v>521</v>
      </c>
      <c r="E2" t="s">
        <v>522</v>
      </c>
      <c r="F2" t="s">
        <v>523</v>
      </c>
      <c r="G2" t="s">
        <v>524</v>
      </c>
      <c r="H2" t="s">
        <v>525</v>
      </c>
      <c r="I2" t="s">
        <v>526</v>
      </c>
      <c r="J2" t="s">
        <v>527</v>
      </c>
      <c r="K2" t="s">
        <v>528</v>
      </c>
      <c r="L2" t="s">
        <v>529</v>
      </c>
      <c r="M2" t="s">
        <v>530</v>
      </c>
      <c r="N2" t="s">
        <v>531</v>
      </c>
      <c r="O2" t="s">
        <v>532</v>
      </c>
      <c r="P2" t="s">
        <v>533</v>
      </c>
      <c r="Q2" t="s">
        <v>534</v>
      </c>
      <c r="R2" t="s">
        <v>535</v>
      </c>
      <c r="S2" t="s">
        <v>536</v>
      </c>
      <c r="T2" t="s">
        <v>537</v>
      </c>
      <c r="U2" t="s">
        <v>538</v>
      </c>
      <c r="V2" t="s">
        <v>539</v>
      </c>
      <c r="W2" t="s">
        <v>540</v>
      </c>
      <c r="X2" t="s">
        <v>541</v>
      </c>
      <c r="Y2" t="s">
        <v>542</v>
      </c>
      <c r="Z2" t="s">
        <v>543</v>
      </c>
      <c r="AA2" t="s">
        <v>544</v>
      </c>
      <c r="AB2" t="s">
        <v>545</v>
      </c>
      <c r="AC2" t="s">
        <v>546</v>
      </c>
      <c r="AD2" t="s">
        <v>547</v>
      </c>
      <c r="AE2" t="s">
        <v>548</v>
      </c>
      <c r="AF2" t="s">
        <v>549</v>
      </c>
      <c r="AG2" t="s">
        <v>550</v>
      </c>
      <c r="AH2" t="s">
        <v>551</v>
      </c>
      <c r="AI2" t="s">
        <v>552</v>
      </c>
      <c r="AJ2" t="s">
        <v>553</v>
      </c>
      <c r="AK2" t="s">
        <v>554</v>
      </c>
      <c r="AL2" t="s">
        <v>555</v>
      </c>
      <c r="AM2" t="s">
        <v>556</v>
      </c>
      <c r="AN2" t="s">
        <v>557</v>
      </c>
      <c r="AO2" t="s">
        <v>558</v>
      </c>
      <c r="AP2" t="s">
        <v>559</v>
      </c>
      <c r="AQ2" t="s">
        <v>560</v>
      </c>
      <c r="AR2" t="s">
        <v>561</v>
      </c>
      <c r="AS2" t="s">
        <v>562</v>
      </c>
      <c r="AT2" t="s">
        <v>563</v>
      </c>
      <c r="AU2" t="s">
        <v>564</v>
      </c>
      <c r="AV2" t="s">
        <v>565</v>
      </c>
      <c r="AW2" t="s">
        <v>566</v>
      </c>
      <c r="AX2" t="s">
        <v>567</v>
      </c>
      <c r="AY2" t="s">
        <v>568</v>
      </c>
      <c r="AZ2" t="s">
        <v>569</v>
      </c>
      <c r="BA2" t="s">
        <v>570</v>
      </c>
      <c r="BB2" t="s">
        <v>571</v>
      </c>
      <c r="BC2" t="s">
        <v>572</v>
      </c>
      <c r="BD2" t="s">
        <v>573</v>
      </c>
      <c r="BE2" t="s">
        <v>574</v>
      </c>
      <c r="BF2" t="s">
        <v>575</v>
      </c>
      <c r="BG2" t="s">
        <v>576</v>
      </c>
      <c r="BH2" t="s">
        <v>577</v>
      </c>
      <c r="BI2" t="s">
        <v>578</v>
      </c>
      <c r="BJ2" t="s">
        <v>579</v>
      </c>
      <c r="BK2" t="s">
        <v>580</v>
      </c>
      <c r="BL2" t="s">
        <v>581</v>
      </c>
      <c r="BM2" t="s">
        <v>582</v>
      </c>
      <c r="BN2" t="s">
        <v>583</v>
      </c>
      <c r="BO2" t="s">
        <v>584</v>
      </c>
      <c r="BP2" t="s">
        <v>585</v>
      </c>
      <c r="BQ2" t="s">
        <v>586</v>
      </c>
      <c r="BR2" t="s">
        <v>587</v>
      </c>
      <c r="BS2" t="s">
        <v>588</v>
      </c>
      <c r="BT2" t="s">
        <v>589</v>
      </c>
      <c r="BU2" t="s">
        <v>590</v>
      </c>
      <c r="BV2" t="s">
        <v>591</v>
      </c>
      <c r="BW2" t="s">
        <v>592</v>
      </c>
      <c r="BX2" t="s">
        <v>593</v>
      </c>
      <c r="BY2" t="s">
        <v>594</v>
      </c>
      <c r="BZ2" t="s">
        <v>595</v>
      </c>
      <c r="CA2" t="s">
        <v>596</v>
      </c>
      <c r="CB2" t="s">
        <v>597</v>
      </c>
      <c r="CC2" t="s">
        <v>598</v>
      </c>
      <c r="CD2" t="s">
        <v>599</v>
      </c>
      <c r="CE2" t="s">
        <v>600</v>
      </c>
      <c r="CF2" t="s">
        <v>601</v>
      </c>
      <c r="CG2" t="s">
        <v>602</v>
      </c>
      <c r="CH2" t="s">
        <v>603</v>
      </c>
      <c r="CI2" t="s">
        <v>604</v>
      </c>
      <c r="CJ2" t="s">
        <v>605</v>
      </c>
      <c r="CK2" t="s">
        <v>606</v>
      </c>
      <c r="CL2" t="s">
        <v>607</v>
      </c>
      <c r="CM2" t="s">
        <v>608</v>
      </c>
      <c r="CN2" t="s">
        <v>609</v>
      </c>
      <c r="CO2" t="s">
        <v>610</v>
      </c>
      <c r="CP2" t="s">
        <v>611</v>
      </c>
      <c r="CQ2" t="s">
        <v>612</v>
      </c>
      <c r="CR2" t="s">
        <v>613</v>
      </c>
      <c r="CS2" t="s">
        <v>614</v>
      </c>
      <c r="CT2" t="s">
        <v>615</v>
      </c>
      <c r="CU2" t="s">
        <v>616</v>
      </c>
      <c r="CV2" t="s">
        <v>617</v>
      </c>
      <c r="CW2" t="s">
        <v>618</v>
      </c>
    </row>
    <row r="3" spans="1:101" x14ac:dyDescent="0.2">
      <c r="A3">
        <v>0</v>
      </c>
      <c r="B3">
        <v>4740186.0403667903</v>
      </c>
      <c r="C3">
        <v>4745276.17293684</v>
      </c>
      <c r="D3">
        <v>5098079.2214778196</v>
      </c>
      <c r="E3">
        <v>4753736.5973226596</v>
      </c>
      <c r="F3">
        <v>4790548.1411359003</v>
      </c>
      <c r="G3">
        <v>4835449.5105742496</v>
      </c>
      <c r="H3">
        <v>5061857.6348336097</v>
      </c>
      <c r="I3">
        <v>4991141.7676215405</v>
      </c>
      <c r="J3">
        <v>5016706.02942756</v>
      </c>
      <c r="K3">
        <v>5037268.7781737801</v>
      </c>
      <c r="L3">
        <v>4838092.0452272603</v>
      </c>
      <c r="M3">
        <v>5075862.8375216797</v>
      </c>
      <c r="N3">
        <v>4796560.7392356796</v>
      </c>
      <c r="O3">
        <v>4793924.3507829197</v>
      </c>
      <c r="P3">
        <v>4822436.0266006999</v>
      </c>
      <c r="Q3">
        <v>4932082.2938001798</v>
      </c>
      <c r="R3">
        <v>4907673.3954088902</v>
      </c>
      <c r="S3">
        <v>4825349.4952494698</v>
      </c>
      <c r="T3">
        <v>4987116.1880934397</v>
      </c>
      <c r="U3">
        <v>4924577.9522585701</v>
      </c>
      <c r="V3">
        <v>5087459.5019971002</v>
      </c>
      <c r="W3">
        <v>4907078.0074317995</v>
      </c>
      <c r="X3">
        <v>4882706.3739077998</v>
      </c>
      <c r="Y3">
        <v>4894121.8801845098</v>
      </c>
      <c r="Z3">
        <v>4812342.2720109504</v>
      </c>
      <c r="AA3">
        <v>4915400.0679343604</v>
      </c>
      <c r="AB3">
        <v>4799512.2472719401</v>
      </c>
      <c r="AC3">
        <v>4918659.2041205596</v>
      </c>
      <c r="AD3">
        <v>4984079.2046568403</v>
      </c>
      <c r="AE3">
        <v>4911492.7415522104</v>
      </c>
      <c r="AF3">
        <v>5048969.3804216404</v>
      </c>
      <c r="AG3">
        <v>5062877.69839432</v>
      </c>
      <c r="AH3">
        <v>5054379.4936504196</v>
      </c>
      <c r="AI3">
        <v>5058867.9538399102</v>
      </c>
      <c r="AJ3">
        <v>4811205.3830767795</v>
      </c>
      <c r="AK3">
        <v>4871840.3678582599</v>
      </c>
      <c r="AL3">
        <v>4933499.3066661302</v>
      </c>
      <c r="AM3">
        <v>4898122.0936001102</v>
      </c>
      <c r="AN3">
        <v>5042129.7254416002</v>
      </c>
      <c r="AO3">
        <v>4912743.3399521103</v>
      </c>
      <c r="AP3">
        <v>4888344.9393756799</v>
      </c>
      <c r="AQ3">
        <v>4833177.4518135097</v>
      </c>
      <c r="AR3">
        <v>4860616.1725039501</v>
      </c>
      <c r="AS3">
        <v>4929762.0795680499</v>
      </c>
      <c r="AT3">
        <v>5093061.3007050902</v>
      </c>
      <c r="AU3">
        <v>4847243.2439443404</v>
      </c>
      <c r="AV3">
        <v>4940596.49799891</v>
      </c>
      <c r="AW3">
        <v>4998870.9431176698</v>
      </c>
      <c r="AX3">
        <v>5056835.2587569999</v>
      </c>
      <c r="AY3">
        <v>4877294.8742557401</v>
      </c>
      <c r="AZ3">
        <v>5046702.4211508101</v>
      </c>
      <c r="BA3">
        <v>4860052.7566638598</v>
      </c>
      <c r="BB3">
        <v>4849679.4148680503</v>
      </c>
      <c r="BC3">
        <v>4806686.1771933604</v>
      </c>
      <c r="BD3">
        <v>4922459.5090193897</v>
      </c>
      <c r="BE3">
        <v>4800725.2205418004</v>
      </c>
      <c r="BF3">
        <v>5006462.69085564</v>
      </c>
      <c r="BG3">
        <v>4813163.7593165403</v>
      </c>
      <c r="BH3">
        <v>4885322.1247272203</v>
      </c>
      <c r="BI3">
        <v>4818902.0392507799</v>
      </c>
      <c r="BJ3">
        <v>4966548.0375648402</v>
      </c>
      <c r="BK3">
        <v>4852841.0259643998</v>
      </c>
      <c r="BL3">
        <v>4948549.4435485397</v>
      </c>
      <c r="BM3">
        <v>4964814.0263483096</v>
      </c>
      <c r="BN3">
        <v>5003442.1679194896</v>
      </c>
      <c r="BO3">
        <v>4839699.8425209802</v>
      </c>
      <c r="BP3">
        <v>4949893.8867086302</v>
      </c>
      <c r="BQ3">
        <v>4965855.2875804203</v>
      </c>
      <c r="BR3">
        <v>4864461.7121390402</v>
      </c>
      <c r="BS3">
        <v>5010970.7127286103</v>
      </c>
      <c r="BT3">
        <v>4856342.9677078696</v>
      </c>
      <c r="BU3">
        <v>4942706.4746543802</v>
      </c>
      <c r="BV3">
        <v>4802723.6157943103</v>
      </c>
      <c r="BW3">
        <v>4962433.9860409005</v>
      </c>
      <c r="BX3">
        <v>4866615.1507620104</v>
      </c>
      <c r="BY3">
        <v>4960380.4528972805</v>
      </c>
      <c r="BZ3">
        <v>4974681.55670097</v>
      </c>
      <c r="CA3">
        <v>4877337.5660090297</v>
      </c>
      <c r="CB3">
        <v>4900806.37441207</v>
      </c>
      <c r="CC3">
        <v>4980551.6032106401</v>
      </c>
      <c r="CD3">
        <v>4934825.2088177903</v>
      </c>
      <c r="CE3">
        <v>4953497.1801829599</v>
      </c>
      <c r="CF3">
        <v>5009884.6851457804</v>
      </c>
      <c r="CG3">
        <v>4816045.1770913703</v>
      </c>
      <c r="CH3">
        <v>4889083.37424694</v>
      </c>
      <c r="CI3">
        <v>4828409.7920080498</v>
      </c>
      <c r="CJ3">
        <v>4952303.8990663299</v>
      </c>
      <c r="CK3">
        <v>4956027.4706996204</v>
      </c>
      <c r="CL3">
        <v>4960058.42532543</v>
      </c>
      <c r="CM3">
        <v>4976163.1589158401</v>
      </c>
      <c r="CN3">
        <v>5001399.6498470996</v>
      </c>
      <c r="CO3">
        <v>4978696.1377251605</v>
      </c>
      <c r="CP3">
        <v>4867054.6847971901</v>
      </c>
      <c r="CQ3">
        <v>4815156.0654087197</v>
      </c>
      <c r="CR3">
        <v>4880460.0713405199</v>
      </c>
      <c r="CS3">
        <v>5001454.9113501497</v>
      </c>
      <c r="CT3">
        <v>4855740.0980372503</v>
      </c>
      <c r="CU3">
        <v>4971213.0222254395</v>
      </c>
      <c r="CV3">
        <v>4851775.7220673095</v>
      </c>
      <c r="CW3">
        <v>4900731.7644809997</v>
      </c>
    </row>
    <row r="4" spans="1:101" x14ac:dyDescent="0.2">
      <c r="A4">
        <v>1</v>
      </c>
      <c r="B4">
        <v>654909.24563754397</v>
      </c>
      <c r="C4">
        <v>653308.33020019997</v>
      </c>
      <c r="D4">
        <v>658277.27678134397</v>
      </c>
      <c r="E4">
        <v>654422.41399531194</v>
      </c>
      <c r="F4">
        <v>653474.29026918497</v>
      </c>
      <c r="G4">
        <v>654760.79891367001</v>
      </c>
      <c r="H4">
        <v>658327.872663585</v>
      </c>
      <c r="I4">
        <v>658242.082051298</v>
      </c>
      <c r="J4">
        <v>658296.94670496101</v>
      </c>
      <c r="K4">
        <v>657808.67870548496</v>
      </c>
      <c r="L4">
        <v>655027.65490712796</v>
      </c>
      <c r="M4">
        <v>658279.07506663795</v>
      </c>
      <c r="N4">
        <v>653451.93661346706</v>
      </c>
      <c r="O4">
        <v>653536.65640658105</v>
      </c>
      <c r="P4">
        <v>654559.87521108997</v>
      </c>
      <c r="Q4">
        <v>656434.29966441903</v>
      </c>
      <c r="R4">
        <v>656448.78205708205</v>
      </c>
      <c r="S4">
        <v>654599.39220240002</v>
      </c>
      <c r="T4">
        <v>658240.64970369102</v>
      </c>
      <c r="U4">
        <v>656541.32080863998</v>
      </c>
      <c r="V4">
        <v>658255.98779471102</v>
      </c>
      <c r="W4">
        <v>656377.07063181303</v>
      </c>
      <c r="X4">
        <v>656085.09085105197</v>
      </c>
      <c r="Y4">
        <v>656289.58107636997</v>
      </c>
      <c r="Z4">
        <v>654357.31249743805</v>
      </c>
      <c r="AA4">
        <v>656744.99830659898</v>
      </c>
      <c r="AB4">
        <v>653614.50822180195</v>
      </c>
      <c r="AC4">
        <v>656800.043720535</v>
      </c>
      <c r="AD4">
        <v>658035.74832860602</v>
      </c>
      <c r="AE4">
        <v>656412.383118456</v>
      </c>
      <c r="AF4">
        <v>658099.187916197</v>
      </c>
      <c r="AG4">
        <v>658208.29581790895</v>
      </c>
      <c r="AH4">
        <v>658193.603613385</v>
      </c>
      <c r="AI4">
        <v>658104.89649741899</v>
      </c>
      <c r="AJ4">
        <v>653876.56001955201</v>
      </c>
      <c r="AK4">
        <v>655902.25525064103</v>
      </c>
      <c r="AL4">
        <v>657463.56809272605</v>
      </c>
      <c r="AM4">
        <v>656166.24775282096</v>
      </c>
      <c r="AN4">
        <v>657881.60299464304</v>
      </c>
      <c r="AO4">
        <v>656378.572784908</v>
      </c>
      <c r="AP4">
        <v>655971.71679656603</v>
      </c>
      <c r="AQ4">
        <v>654464.50415990199</v>
      </c>
      <c r="AR4">
        <v>655515.34169535304</v>
      </c>
      <c r="AS4">
        <v>657349.44838414597</v>
      </c>
      <c r="AT4">
        <v>658279.46118350304</v>
      </c>
      <c r="AU4">
        <v>654923.46324861702</v>
      </c>
      <c r="AV4">
        <v>657214.23035037401</v>
      </c>
      <c r="AW4">
        <v>658225.45664022502</v>
      </c>
      <c r="AX4">
        <v>658157.57918466197</v>
      </c>
      <c r="AY4">
        <v>655789.649320703</v>
      </c>
      <c r="AZ4">
        <v>657860.11693538399</v>
      </c>
      <c r="BA4">
        <v>655645.23536111601</v>
      </c>
      <c r="BB4">
        <v>655052.77946389304</v>
      </c>
      <c r="BC4">
        <v>654116.70859823795</v>
      </c>
      <c r="BD4">
        <v>656291.48980707303</v>
      </c>
      <c r="BE4">
        <v>653722.95135900204</v>
      </c>
      <c r="BF4">
        <v>658248.60234218906</v>
      </c>
      <c r="BG4">
        <v>654479.78411437897</v>
      </c>
      <c r="BH4">
        <v>655800.097325154</v>
      </c>
      <c r="BI4">
        <v>654471.38851487404</v>
      </c>
      <c r="BJ4">
        <v>657784.25670043798</v>
      </c>
      <c r="BK4">
        <v>655443.09403958998</v>
      </c>
      <c r="BL4">
        <v>657111.15597560303</v>
      </c>
      <c r="BM4">
        <v>657727.62580486597</v>
      </c>
      <c r="BN4">
        <v>658111.63551234396</v>
      </c>
      <c r="BO4">
        <v>655015.765361086</v>
      </c>
      <c r="BP4">
        <v>657183.54745221406</v>
      </c>
      <c r="BQ4">
        <v>657535.66169912298</v>
      </c>
      <c r="BR4">
        <v>655773.08872638503</v>
      </c>
      <c r="BS4">
        <v>658225.50296098005</v>
      </c>
      <c r="BT4">
        <v>655560.40983662906</v>
      </c>
      <c r="BU4">
        <v>657273.28119742405</v>
      </c>
      <c r="BV4">
        <v>653832.00859246403</v>
      </c>
      <c r="BW4">
        <v>657723.35503541504</v>
      </c>
      <c r="BX4">
        <v>655511.67329738196</v>
      </c>
      <c r="BY4">
        <v>657454.70717555203</v>
      </c>
      <c r="BZ4">
        <v>657997.14308769803</v>
      </c>
      <c r="CA4">
        <v>655764.82793844305</v>
      </c>
      <c r="CB4">
        <v>656465.36231268197</v>
      </c>
      <c r="CC4">
        <v>657967.71936859598</v>
      </c>
      <c r="CD4">
        <v>657175.26910556899</v>
      </c>
      <c r="CE4">
        <v>657584.00142435695</v>
      </c>
      <c r="CF4">
        <v>658206.41075337701</v>
      </c>
      <c r="CG4">
        <v>654534.04140769702</v>
      </c>
      <c r="CH4">
        <v>656146.10254976596</v>
      </c>
      <c r="CI4">
        <v>654759.67341282603</v>
      </c>
      <c r="CJ4">
        <v>657472.40212437895</v>
      </c>
      <c r="CK4">
        <v>657305.35020826</v>
      </c>
      <c r="CL4">
        <v>657706.39795705897</v>
      </c>
      <c r="CM4">
        <v>657944.99269982101</v>
      </c>
      <c r="CN4">
        <v>657919.07623989903</v>
      </c>
      <c r="CO4">
        <v>657787.85219308001</v>
      </c>
      <c r="CP4">
        <v>655414.10179595603</v>
      </c>
      <c r="CQ4">
        <v>654509.62077734503</v>
      </c>
      <c r="CR4">
        <v>656079.60532925604</v>
      </c>
      <c r="CS4">
        <v>658006.25564139802</v>
      </c>
      <c r="CT4">
        <v>655242.08902602503</v>
      </c>
      <c r="CU4">
        <v>657436.51599351701</v>
      </c>
      <c r="CV4">
        <v>654908.59883673606</v>
      </c>
      <c r="CW4">
        <v>656457.37521016505</v>
      </c>
    </row>
    <row r="5" spans="1:101" x14ac:dyDescent="0.2">
      <c r="A5">
        <v>2</v>
      </c>
      <c r="B5">
        <v>25656.1477012863</v>
      </c>
      <c r="C5">
        <v>25584.449004080299</v>
      </c>
      <c r="D5">
        <v>26824.005808763701</v>
      </c>
      <c r="E5">
        <v>25729.510023151201</v>
      </c>
      <c r="F5">
        <v>26024.469016298899</v>
      </c>
      <c r="G5">
        <v>26197.015547279902</v>
      </c>
      <c r="H5">
        <v>26756.609238180499</v>
      </c>
      <c r="I5">
        <v>26701.496554831301</v>
      </c>
      <c r="J5">
        <v>26760.212876725</v>
      </c>
      <c r="K5">
        <v>26704.5454574863</v>
      </c>
      <c r="L5">
        <v>26222.9066670912</v>
      </c>
      <c r="M5">
        <v>26816.283880942199</v>
      </c>
      <c r="N5">
        <v>26048.231445589601</v>
      </c>
      <c r="O5">
        <v>26032.4749941847</v>
      </c>
      <c r="P5">
        <v>26158.5675945976</v>
      </c>
      <c r="Q5">
        <v>26505.899157017699</v>
      </c>
      <c r="R5">
        <v>26427.621542991601</v>
      </c>
      <c r="S5">
        <v>26172.204704367599</v>
      </c>
      <c r="T5">
        <v>26684.477961176701</v>
      </c>
      <c r="U5">
        <v>26487.9173231651</v>
      </c>
      <c r="V5">
        <v>26808.1145717332</v>
      </c>
      <c r="W5">
        <v>26421.640192193299</v>
      </c>
      <c r="X5">
        <v>26350.6790400424</v>
      </c>
      <c r="Y5">
        <v>26391.774121816899</v>
      </c>
      <c r="Z5">
        <v>26118.659055310502</v>
      </c>
      <c r="AA5">
        <v>26463.276133556999</v>
      </c>
      <c r="AB5">
        <v>26066.0971920511</v>
      </c>
      <c r="AC5">
        <v>26473.919835643799</v>
      </c>
      <c r="AD5">
        <v>26674.570008059101</v>
      </c>
      <c r="AE5">
        <v>26443.469014296501</v>
      </c>
      <c r="AF5">
        <v>26752.1298688762</v>
      </c>
      <c r="AG5">
        <v>26784.930529566202</v>
      </c>
      <c r="AH5">
        <v>26761.171837927301</v>
      </c>
      <c r="AI5">
        <v>26784.467667114401</v>
      </c>
      <c r="AJ5">
        <v>26101.4576914469</v>
      </c>
      <c r="AK5">
        <v>26326.8544470091</v>
      </c>
      <c r="AL5">
        <v>26496.672795078299</v>
      </c>
      <c r="AM5">
        <v>26401.5607257989</v>
      </c>
      <c r="AN5">
        <v>26711.063802455599</v>
      </c>
      <c r="AO5">
        <v>26449.045251985899</v>
      </c>
      <c r="AP5">
        <v>26379.187746269701</v>
      </c>
      <c r="AQ5">
        <v>26175.858380573001</v>
      </c>
      <c r="AR5">
        <v>26288.159777765599</v>
      </c>
      <c r="AS5">
        <v>26522.4321544671</v>
      </c>
      <c r="AT5">
        <v>26820.572656669599</v>
      </c>
      <c r="AU5">
        <v>26230.145014209898</v>
      </c>
      <c r="AV5">
        <v>26545.831084536301</v>
      </c>
      <c r="AW5">
        <v>26703.846988838301</v>
      </c>
      <c r="AX5">
        <v>26772.782412171098</v>
      </c>
      <c r="AY5">
        <v>26341.0493662195</v>
      </c>
      <c r="AZ5">
        <v>26742.100660038301</v>
      </c>
      <c r="BA5">
        <v>26290.383306809599</v>
      </c>
      <c r="BB5">
        <v>26243.8484171155</v>
      </c>
      <c r="BC5">
        <v>26100.062852316201</v>
      </c>
      <c r="BD5">
        <v>26391.094624924401</v>
      </c>
      <c r="BE5">
        <v>26071.810342744</v>
      </c>
      <c r="BF5">
        <v>26736.570586041002</v>
      </c>
      <c r="BG5">
        <v>26132.089342262101</v>
      </c>
      <c r="BH5">
        <v>26189.7746704155</v>
      </c>
      <c r="BI5">
        <v>26148.6290093153</v>
      </c>
      <c r="BJ5">
        <v>26627.2401358565</v>
      </c>
      <c r="BK5">
        <v>26263.033342138599</v>
      </c>
      <c r="BL5">
        <v>26558.252973981402</v>
      </c>
      <c r="BM5">
        <v>26610.321039253398</v>
      </c>
      <c r="BN5">
        <v>26727.239649771898</v>
      </c>
      <c r="BO5">
        <v>26231.834364219601</v>
      </c>
      <c r="BP5">
        <v>26567.8590406082</v>
      </c>
      <c r="BQ5">
        <v>26621.470551582301</v>
      </c>
      <c r="BR5">
        <v>26306.358196626999</v>
      </c>
      <c r="BS5">
        <v>26751.439369834501</v>
      </c>
      <c r="BT5">
        <v>26278.7497012319</v>
      </c>
      <c r="BU5">
        <v>26553.3553189987</v>
      </c>
      <c r="BV5">
        <v>26086.3850555799</v>
      </c>
      <c r="BW5">
        <v>26605.838443312801</v>
      </c>
      <c r="BX5">
        <v>26317.484766171401</v>
      </c>
      <c r="BY5">
        <v>26586.6409498717</v>
      </c>
      <c r="BZ5">
        <v>26654.933069871</v>
      </c>
      <c r="CA5">
        <v>26333.967481801599</v>
      </c>
      <c r="CB5">
        <v>26404.549883203301</v>
      </c>
      <c r="CC5">
        <v>26660.517404951199</v>
      </c>
      <c r="CD5">
        <v>26528.200865133102</v>
      </c>
      <c r="CE5">
        <v>26576.4652205284</v>
      </c>
      <c r="CF5">
        <v>26746.8250228365</v>
      </c>
      <c r="CG5">
        <v>26137.7234672454</v>
      </c>
      <c r="CH5">
        <v>26380.574920698898</v>
      </c>
      <c r="CI5">
        <v>26182.207576476601</v>
      </c>
      <c r="CJ5">
        <v>26576.765125280399</v>
      </c>
      <c r="CK5">
        <v>26583.856416913299</v>
      </c>
      <c r="CL5">
        <v>26596.7029366112</v>
      </c>
      <c r="CM5">
        <v>26655.136877582001</v>
      </c>
      <c r="CN5">
        <v>26713.565408255799</v>
      </c>
      <c r="CO5">
        <v>26658.3574806988</v>
      </c>
      <c r="CP5">
        <v>26301.079904816201</v>
      </c>
      <c r="CQ5">
        <v>26135.687875895001</v>
      </c>
      <c r="CR5">
        <v>26348.774512082</v>
      </c>
      <c r="CS5">
        <v>26719.7962679585</v>
      </c>
      <c r="CT5">
        <v>26270.210658692198</v>
      </c>
      <c r="CU5">
        <v>26627.5582782786</v>
      </c>
      <c r="CV5">
        <v>26253.4756067423</v>
      </c>
      <c r="CW5">
        <v>26416.9102439282</v>
      </c>
    </row>
    <row r="6" spans="1:101" x14ac:dyDescent="0.2">
      <c r="A6">
        <v>3</v>
      </c>
      <c r="B6">
        <v>905202532.63938904</v>
      </c>
      <c r="C6">
        <v>902505428.91250002</v>
      </c>
      <c r="D6">
        <v>937287123.12334204</v>
      </c>
      <c r="E6">
        <v>907312493.66781104</v>
      </c>
      <c r="F6">
        <v>914383341.29761398</v>
      </c>
      <c r="G6">
        <v>919473127.27805495</v>
      </c>
      <c r="H6">
        <v>935548128.62677002</v>
      </c>
      <c r="I6">
        <v>934171806.82021701</v>
      </c>
      <c r="J6">
        <v>935832416.307531</v>
      </c>
      <c r="K6">
        <v>934185293.80752695</v>
      </c>
      <c r="L6">
        <v>920216604.48842299</v>
      </c>
      <c r="M6">
        <v>937094401.19346094</v>
      </c>
      <c r="N6">
        <v>915052811.02800798</v>
      </c>
      <c r="O6">
        <v>914611897.39179897</v>
      </c>
      <c r="P6">
        <v>918326661.34117997</v>
      </c>
      <c r="Q6">
        <v>928419627.09469295</v>
      </c>
      <c r="R6">
        <v>926179144.88105094</v>
      </c>
      <c r="S6">
        <v>918701491.66675699</v>
      </c>
      <c r="T6">
        <v>933639894.46064603</v>
      </c>
      <c r="U6">
        <v>927913529.14252496</v>
      </c>
      <c r="V6">
        <v>936829658.53368104</v>
      </c>
      <c r="W6">
        <v>925981844.50443697</v>
      </c>
      <c r="X6">
        <v>923918583.48598504</v>
      </c>
      <c r="Y6">
        <v>925174162.66503096</v>
      </c>
      <c r="Z6">
        <v>917142076.202896</v>
      </c>
      <c r="AA6">
        <v>927226215.26557195</v>
      </c>
      <c r="AB6">
        <v>915583184.22422695</v>
      </c>
      <c r="AC6">
        <v>927534152.49738598</v>
      </c>
      <c r="AD6">
        <v>933385282.33743894</v>
      </c>
      <c r="AE6">
        <v>926623388.60827601</v>
      </c>
      <c r="AF6">
        <v>935304000.07847595</v>
      </c>
      <c r="AG6">
        <v>936217529.48818099</v>
      </c>
      <c r="AH6">
        <v>935552253.83058906</v>
      </c>
      <c r="AI6">
        <v>936160553.32957602</v>
      </c>
      <c r="AJ6">
        <v>916637402.79331994</v>
      </c>
      <c r="AK6">
        <v>923249287.97925794</v>
      </c>
      <c r="AL6">
        <v>928386060.63824606</v>
      </c>
      <c r="AM6">
        <v>925405574.42061901</v>
      </c>
      <c r="AN6">
        <v>934352454.34481096</v>
      </c>
      <c r="AO6">
        <v>926770522.74347901</v>
      </c>
      <c r="AP6">
        <v>924740243.22987401</v>
      </c>
      <c r="AQ6">
        <v>918806911.68180501</v>
      </c>
      <c r="AR6">
        <v>922097450.67410803</v>
      </c>
      <c r="AS6">
        <v>928948935.73339498</v>
      </c>
      <c r="AT6">
        <v>937186833.16718102</v>
      </c>
      <c r="AU6">
        <v>920376669.80794799</v>
      </c>
      <c r="AV6">
        <v>929651337.28227103</v>
      </c>
      <c r="AW6">
        <v>934231322.15717101</v>
      </c>
      <c r="AX6">
        <v>935886862.23176897</v>
      </c>
      <c r="AY6">
        <v>923653862.41871202</v>
      </c>
      <c r="AZ6">
        <v>934930616.22004902</v>
      </c>
      <c r="BA6">
        <v>922163115.18298304</v>
      </c>
      <c r="BB6">
        <v>920792710.87964404</v>
      </c>
      <c r="BC6">
        <v>916624819.03065205</v>
      </c>
      <c r="BD6">
        <v>925289073.69204903</v>
      </c>
      <c r="BE6">
        <v>915772834.72208798</v>
      </c>
      <c r="BF6">
        <v>935132223.03098595</v>
      </c>
      <c r="BG6">
        <v>917540887.25961399</v>
      </c>
      <c r="BH6">
        <v>919658234.93973303</v>
      </c>
      <c r="BI6">
        <v>918000528.82702994</v>
      </c>
      <c r="BJ6">
        <v>932008980.98717296</v>
      </c>
      <c r="BK6">
        <v>921384321.55497098</v>
      </c>
      <c r="BL6">
        <v>929977966.63192594</v>
      </c>
      <c r="BM6">
        <v>931503874.34677303</v>
      </c>
      <c r="BN6">
        <v>934893469.81830096</v>
      </c>
      <c r="BO6">
        <v>920479296.24899697</v>
      </c>
      <c r="BP6">
        <v>930274901.17917204</v>
      </c>
      <c r="BQ6">
        <v>931827496.50060105</v>
      </c>
      <c r="BR6">
        <v>922647086.33851397</v>
      </c>
      <c r="BS6">
        <v>935608027.16869795</v>
      </c>
      <c r="BT6">
        <v>921871966.12959504</v>
      </c>
      <c r="BU6">
        <v>929867975.742257</v>
      </c>
      <c r="BV6">
        <v>916181003.36642396</v>
      </c>
      <c r="BW6">
        <v>931371327.09073102</v>
      </c>
      <c r="BX6">
        <v>922957228.07144403</v>
      </c>
      <c r="BY6">
        <v>930793350.86602998</v>
      </c>
      <c r="BZ6">
        <v>932802485.76587903</v>
      </c>
      <c r="CA6">
        <v>923422058.302953</v>
      </c>
      <c r="CB6">
        <v>925448337.02804899</v>
      </c>
      <c r="CC6">
        <v>932973986.35897505</v>
      </c>
      <c r="CD6">
        <v>929138617.74606597</v>
      </c>
      <c r="CE6">
        <v>930514244.98617697</v>
      </c>
      <c r="CF6">
        <v>935470324.61516297</v>
      </c>
      <c r="CG6">
        <v>917761812.67680097</v>
      </c>
      <c r="CH6">
        <v>924786873.50615203</v>
      </c>
      <c r="CI6">
        <v>919010494.25875497</v>
      </c>
      <c r="CJ6">
        <v>930557894.73588598</v>
      </c>
      <c r="CK6">
        <v>930673835.74722099</v>
      </c>
      <c r="CL6">
        <v>931123820.87134194</v>
      </c>
      <c r="CM6">
        <v>932823511.47533202</v>
      </c>
      <c r="CN6">
        <v>934445749.74529004</v>
      </c>
      <c r="CO6">
        <v>932898196.85266101</v>
      </c>
      <c r="CP6">
        <v>922514884.63737905</v>
      </c>
      <c r="CQ6">
        <v>917634762.15031898</v>
      </c>
      <c r="CR6">
        <v>923871325.21794105</v>
      </c>
      <c r="CS6">
        <v>934673981.97838604</v>
      </c>
      <c r="CT6">
        <v>921560881.78683996</v>
      </c>
      <c r="CU6">
        <v>932016352.91579795</v>
      </c>
      <c r="CV6">
        <v>921069673.65394902</v>
      </c>
      <c r="CW6">
        <v>925851688.650805</v>
      </c>
    </row>
    <row r="7" spans="1:101" x14ac:dyDescent="0.2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">
      <c r="A8">
        <v>5</v>
      </c>
      <c r="B8">
        <v>22845.595510340001</v>
      </c>
      <c r="C8">
        <v>22845.595510340001</v>
      </c>
      <c r="D8">
        <v>22845.595510340001</v>
      </c>
      <c r="E8">
        <v>22845.595510340001</v>
      </c>
      <c r="F8">
        <v>22845.595510340001</v>
      </c>
      <c r="G8">
        <v>22845.595510340001</v>
      </c>
      <c r="H8">
        <v>22845.595510340001</v>
      </c>
      <c r="I8">
        <v>22845.595510340001</v>
      </c>
      <c r="J8">
        <v>22845.595510340001</v>
      </c>
      <c r="K8">
        <v>22845.595510340001</v>
      </c>
      <c r="L8">
        <v>22845.595510340001</v>
      </c>
      <c r="M8">
        <v>22845.595510340001</v>
      </c>
      <c r="N8">
        <v>22845.595510340001</v>
      </c>
      <c r="O8">
        <v>22845.595510340001</v>
      </c>
      <c r="P8">
        <v>22845.595510340001</v>
      </c>
      <c r="Q8">
        <v>22845.595510340001</v>
      </c>
      <c r="R8">
        <v>22845.595510340001</v>
      </c>
      <c r="S8">
        <v>22845.595510340001</v>
      </c>
      <c r="T8">
        <v>22845.595510340001</v>
      </c>
      <c r="U8">
        <v>22845.595510340001</v>
      </c>
      <c r="V8">
        <v>22845.595510340001</v>
      </c>
      <c r="W8">
        <v>22845.595510340001</v>
      </c>
      <c r="X8">
        <v>22845.595510340001</v>
      </c>
      <c r="Y8">
        <v>22845.595510340001</v>
      </c>
      <c r="Z8">
        <v>22845.595510340001</v>
      </c>
      <c r="AA8">
        <v>22845.595510340001</v>
      </c>
      <c r="AB8">
        <v>22845.595510340001</v>
      </c>
      <c r="AC8">
        <v>22845.595510340001</v>
      </c>
      <c r="AD8">
        <v>22845.595510340001</v>
      </c>
      <c r="AE8">
        <v>22845.595510340001</v>
      </c>
      <c r="AF8">
        <v>22845.595510340001</v>
      </c>
      <c r="AG8">
        <v>22845.595510340001</v>
      </c>
      <c r="AH8">
        <v>22845.595510340001</v>
      </c>
      <c r="AI8">
        <v>22845.595510340001</v>
      </c>
      <c r="AJ8">
        <v>22845.595510340001</v>
      </c>
      <c r="AK8">
        <v>22845.595510340001</v>
      </c>
      <c r="AL8">
        <v>22845.595510340001</v>
      </c>
      <c r="AM8">
        <v>22845.595510340001</v>
      </c>
      <c r="AN8">
        <v>22845.595510340001</v>
      </c>
      <c r="AO8">
        <v>22845.595510340001</v>
      </c>
      <c r="AP8">
        <v>22845.595510340001</v>
      </c>
      <c r="AQ8">
        <v>22845.595510340001</v>
      </c>
      <c r="AR8">
        <v>22845.595510340001</v>
      </c>
      <c r="AS8">
        <v>22845.595510340001</v>
      </c>
      <c r="AT8">
        <v>22845.595510340001</v>
      </c>
      <c r="AU8">
        <v>22845.595510340001</v>
      </c>
      <c r="AV8">
        <v>22845.595510340001</v>
      </c>
      <c r="AW8">
        <v>22845.595510340001</v>
      </c>
      <c r="AX8">
        <v>22845.595510340001</v>
      </c>
      <c r="AY8">
        <v>22845.595510340001</v>
      </c>
      <c r="AZ8">
        <v>22845.595510340001</v>
      </c>
      <c r="BA8">
        <v>22845.595510340001</v>
      </c>
      <c r="BB8">
        <v>22845.595510340001</v>
      </c>
      <c r="BC8">
        <v>22845.595510340001</v>
      </c>
      <c r="BD8">
        <v>22845.595510340001</v>
      </c>
      <c r="BE8">
        <v>22845.595510340001</v>
      </c>
      <c r="BF8">
        <v>22845.595510340001</v>
      </c>
      <c r="BG8">
        <v>22845.595510340001</v>
      </c>
      <c r="BH8">
        <v>22845.595510340001</v>
      </c>
      <c r="BI8">
        <v>22845.595510340001</v>
      </c>
      <c r="BJ8">
        <v>22845.595510340001</v>
      </c>
      <c r="BK8">
        <v>22845.595510340001</v>
      </c>
      <c r="BL8">
        <v>22845.595510340001</v>
      </c>
      <c r="BM8">
        <v>22845.595510340001</v>
      </c>
      <c r="BN8">
        <v>22845.595510340001</v>
      </c>
      <c r="BO8">
        <v>22845.595510340001</v>
      </c>
      <c r="BP8">
        <v>22845.595510340001</v>
      </c>
      <c r="BQ8">
        <v>22845.595510340001</v>
      </c>
      <c r="BR8">
        <v>22845.595510340001</v>
      </c>
      <c r="BS8">
        <v>22845.595510340001</v>
      </c>
      <c r="BT8">
        <v>22845.595510340001</v>
      </c>
      <c r="BU8">
        <v>22845.595510340001</v>
      </c>
      <c r="BV8">
        <v>22845.595510340001</v>
      </c>
      <c r="BW8">
        <v>22845.595510340001</v>
      </c>
      <c r="BX8">
        <v>22845.595510340001</v>
      </c>
      <c r="BY8">
        <v>22845.595510340001</v>
      </c>
      <c r="BZ8">
        <v>22845.595510340001</v>
      </c>
      <c r="CA8">
        <v>22845.595510340001</v>
      </c>
      <c r="CB8">
        <v>22845.595510340001</v>
      </c>
      <c r="CC8">
        <v>22845.595510340001</v>
      </c>
      <c r="CD8">
        <v>22845.595510340001</v>
      </c>
      <c r="CE8">
        <v>22845.595510340001</v>
      </c>
      <c r="CF8">
        <v>22845.595510340001</v>
      </c>
      <c r="CG8">
        <v>22845.595510340001</v>
      </c>
      <c r="CH8">
        <v>22845.595510340001</v>
      </c>
      <c r="CI8">
        <v>22845.595510340001</v>
      </c>
      <c r="CJ8">
        <v>22845.595510340001</v>
      </c>
      <c r="CK8">
        <v>22845.595510340001</v>
      </c>
      <c r="CL8">
        <v>22845.595510340001</v>
      </c>
      <c r="CM8">
        <v>22845.595510340001</v>
      </c>
      <c r="CN8">
        <v>22845.595510340001</v>
      </c>
      <c r="CO8">
        <v>22845.595510340001</v>
      </c>
      <c r="CP8">
        <v>22845.595510340001</v>
      </c>
      <c r="CQ8">
        <v>22845.595510340001</v>
      </c>
      <c r="CR8">
        <v>22845.595510340001</v>
      </c>
      <c r="CS8">
        <v>22845.595510340001</v>
      </c>
      <c r="CT8">
        <v>22845.595510340001</v>
      </c>
      <c r="CU8">
        <v>22845.595510340001</v>
      </c>
      <c r="CV8">
        <v>22845.595510340001</v>
      </c>
      <c r="CW8">
        <v>22845.595510340001</v>
      </c>
    </row>
    <row r="9" spans="1:101" x14ac:dyDescent="0.2">
      <c r="A9">
        <v>6</v>
      </c>
      <c r="B9">
        <v>51.7</v>
      </c>
      <c r="C9">
        <v>51.7</v>
      </c>
      <c r="D9">
        <v>51.7</v>
      </c>
      <c r="E9">
        <v>51.7</v>
      </c>
      <c r="F9">
        <v>51.7</v>
      </c>
      <c r="G9">
        <v>51.7</v>
      </c>
      <c r="H9">
        <v>51.7</v>
      </c>
      <c r="I9">
        <v>51.7</v>
      </c>
      <c r="J9">
        <v>51.7</v>
      </c>
      <c r="K9">
        <v>51.7</v>
      </c>
      <c r="L9">
        <v>51.7</v>
      </c>
      <c r="M9">
        <v>51.7</v>
      </c>
      <c r="N9">
        <v>51.7</v>
      </c>
      <c r="O9">
        <v>51.7</v>
      </c>
      <c r="P9">
        <v>51.7</v>
      </c>
      <c r="Q9">
        <v>51.7</v>
      </c>
      <c r="R9">
        <v>51.7</v>
      </c>
      <c r="S9">
        <v>51.7</v>
      </c>
      <c r="T9">
        <v>51.7</v>
      </c>
      <c r="U9">
        <v>51.7</v>
      </c>
      <c r="V9">
        <v>51.7</v>
      </c>
      <c r="W9">
        <v>51.7</v>
      </c>
      <c r="X9">
        <v>51.7</v>
      </c>
      <c r="Y9">
        <v>51.7</v>
      </c>
      <c r="Z9">
        <v>51.7</v>
      </c>
      <c r="AA9">
        <v>51.7</v>
      </c>
      <c r="AB9">
        <v>51.7</v>
      </c>
      <c r="AC9">
        <v>51.7</v>
      </c>
      <c r="AD9">
        <v>51.7</v>
      </c>
      <c r="AE9">
        <v>51.7</v>
      </c>
      <c r="AF9">
        <v>51.7</v>
      </c>
      <c r="AG9">
        <v>51.7</v>
      </c>
      <c r="AH9">
        <v>51.7</v>
      </c>
      <c r="AI9">
        <v>51.7</v>
      </c>
      <c r="AJ9">
        <v>51.7</v>
      </c>
      <c r="AK9">
        <v>51.7</v>
      </c>
      <c r="AL9">
        <v>51.7</v>
      </c>
      <c r="AM9">
        <v>51.7</v>
      </c>
      <c r="AN9">
        <v>51.7</v>
      </c>
      <c r="AO9">
        <v>51.7</v>
      </c>
      <c r="AP9">
        <v>51.7</v>
      </c>
      <c r="AQ9">
        <v>51.7</v>
      </c>
      <c r="AR9">
        <v>51.7</v>
      </c>
      <c r="AS9">
        <v>51.7</v>
      </c>
      <c r="AT9">
        <v>51.7</v>
      </c>
      <c r="AU9">
        <v>51.7</v>
      </c>
      <c r="AV9">
        <v>51.7</v>
      </c>
      <c r="AW9">
        <v>51.7</v>
      </c>
      <c r="AX9">
        <v>51.7</v>
      </c>
      <c r="AY9">
        <v>51.7</v>
      </c>
      <c r="AZ9">
        <v>51.7</v>
      </c>
      <c r="BA9">
        <v>51.7</v>
      </c>
      <c r="BB9">
        <v>51.7</v>
      </c>
      <c r="BC9">
        <v>51.7</v>
      </c>
      <c r="BD9">
        <v>51.7</v>
      </c>
      <c r="BE9">
        <v>51.7</v>
      </c>
      <c r="BF9">
        <v>51.7</v>
      </c>
      <c r="BG9">
        <v>51.7</v>
      </c>
      <c r="BH9">
        <v>51.7</v>
      </c>
      <c r="BI9">
        <v>51.7</v>
      </c>
      <c r="BJ9">
        <v>51.7</v>
      </c>
      <c r="BK9">
        <v>51.7</v>
      </c>
      <c r="BL9">
        <v>51.7</v>
      </c>
      <c r="BM9">
        <v>51.7</v>
      </c>
      <c r="BN9">
        <v>51.7</v>
      </c>
      <c r="BO9">
        <v>51.7</v>
      </c>
      <c r="BP9">
        <v>51.7</v>
      </c>
      <c r="BQ9">
        <v>51.7</v>
      </c>
      <c r="BR9">
        <v>51.7</v>
      </c>
      <c r="BS9">
        <v>51.7</v>
      </c>
      <c r="BT9">
        <v>51.7</v>
      </c>
      <c r="BU9">
        <v>51.7</v>
      </c>
      <c r="BV9">
        <v>51.7</v>
      </c>
      <c r="BW9">
        <v>51.7</v>
      </c>
      <c r="BX9">
        <v>51.7</v>
      </c>
      <c r="BY9">
        <v>51.7</v>
      </c>
      <c r="BZ9">
        <v>51.7</v>
      </c>
      <c r="CA9">
        <v>51.7</v>
      </c>
      <c r="CB9">
        <v>51.7</v>
      </c>
      <c r="CC9">
        <v>51.7</v>
      </c>
      <c r="CD9">
        <v>51.7</v>
      </c>
      <c r="CE9">
        <v>51.7</v>
      </c>
      <c r="CF9">
        <v>51.7</v>
      </c>
      <c r="CG9">
        <v>51.7</v>
      </c>
      <c r="CH9">
        <v>51.7</v>
      </c>
      <c r="CI9">
        <v>51.7</v>
      </c>
      <c r="CJ9">
        <v>51.7</v>
      </c>
      <c r="CK9">
        <v>51.7</v>
      </c>
      <c r="CL9">
        <v>51.7</v>
      </c>
      <c r="CM9">
        <v>51.7</v>
      </c>
      <c r="CN9">
        <v>51.7</v>
      </c>
      <c r="CO9">
        <v>51.7</v>
      </c>
      <c r="CP9">
        <v>51.7</v>
      </c>
      <c r="CQ9">
        <v>51.7</v>
      </c>
      <c r="CR9">
        <v>51.7</v>
      </c>
      <c r="CS9">
        <v>51.7</v>
      </c>
      <c r="CT9">
        <v>51.7</v>
      </c>
      <c r="CU9">
        <v>51.7</v>
      </c>
      <c r="CV9">
        <v>51.7</v>
      </c>
      <c r="CW9">
        <v>51.7</v>
      </c>
    </row>
    <row r="10" spans="1:101" x14ac:dyDescent="0.2">
      <c r="A10">
        <v>7</v>
      </c>
      <c r="B10">
        <v>22897.295510340002</v>
      </c>
      <c r="C10">
        <v>22897.295510340002</v>
      </c>
      <c r="D10">
        <v>22897.295510340002</v>
      </c>
      <c r="E10">
        <v>22897.295510340002</v>
      </c>
      <c r="F10">
        <v>22897.295510340002</v>
      </c>
      <c r="G10">
        <v>22897.295510340002</v>
      </c>
      <c r="H10">
        <v>22897.295510340002</v>
      </c>
      <c r="I10">
        <v>22897.295510340002</v>
      </c>
      <c r="J10">
        <v>22897.295510340002</v>
      </c>
      <c r="K10">
        <v>22897.295510340002</v>
      </c>
      <c r="L10">
        <v>22897.295510340002</v>
      </c>
      <c r="M10">
        <v>22897.295510340002</v>
      </c>
      <c r="N10">
        <v>22897.295510340002</v>
      </c>
      <c r="O10">
        <v>22897.295510340002</v>
      </c>
      <c r="P10">
        <v>22897.295510340002</v>
      </c>
      <c r="Q10">
        <v>22897.295510340002</v>
      </c>
      <c r="R10">
        <v>22897.295510340002</v>
      </c>
      <c r="S10">
        <v>22897.295510340002</v>
      </c>
      <c r="T10">
        <v>22897.295510340002</v>
      </c>
      <c r="U10">
        <v>22897.295510340002</v>
      </c>
      <c r="V10">
        <v>22897.295510340002</v>
      </c>
      <c r="W10">
        <v>22897.295510340002</v>
      </c>
      <c r="X10">
        <v>22897.295510340002</v>
      </c>
      <c r="Y10">
        <v>22897.295510340002</v>
      </c>
      <c r="Z10">
        <v>22897.295510340002</v>
      </c>
      <c r="AA10">
        <v>22897.295510340002</v>
      </c>
      <c r="AB10">
        <v>22897.295510340002</v>
      </c>
      <c r="AC10">
        <v>22897.295510340002</v>
      </c>
      <c r="AD10">
        <v>22897.295510340002</v>
      </c>
      <c r="AE10">
        <v>22897.295510340002</v>
      </c>
      <c r="AF10">
        <v>22897.295510340002</v>
      </c>
      <c r="AG10">
        <v>22897.295510340002</v>
      </c>
      <c r="AH10">
        <v>22897.295510340002</v>
      </c>
      <c r="AI10">
        <v>22897.295510340002</v>
      </c>
      <c r="AJ10">
        <v>22897.295510340002</v>
      </c>
      <c r="AK10">
        <v>22897.295510340002</v>
      </c>
      <c r="AL10">
        <v>22897.295510340002</v>
      </c>
      <c r="AM10">
        <v>22897.295510340002</v>
      </c>
      <c r="AN10">
        <v>22897.295510340002</v>
      </c>
      <c r="AO10">
        <v>22897.295510340002</v>
      </c>
      <c r="AP10">
        <v>22897.295510340002</v>
      </c>
      <c r="AQ10">
        <v>22897.295510340002</v>
      </c>
      <c r="AR10">
        <v>22897.295510340002</v>
      </c>
      <c r="AS10">
        <v>22897.295510340002</v>
      </c>
      <c r="AT10">
        <v>22897.295510340002</v>
      </c>
      <c r="AU10">
        <v>22897.295510340002</v>
      </c>
      <c r="AV10">
        <v>22897.295510340002</v>
      </c>
      <c r="AW10">
        <v>22897.295510340002</v>
      </c>
      <c r="AX10">
        <v>22897.295510340002</v>
      </c>
      <c r="AY10">
        <v>22897.295510340002</v>
      </c>
      <c r="AZ10">
        <v>22897.295510340002</v>
      </c>
      <c r="BA10">
        <v>22897.295510340002</v>
      </c>
      <c r="BB10">
        <v>22897.295510340002</v>
      </c>
      <c r="BC10">
        <v>22897.295510340002</v>
      </c>
      <c r="BD10">
        <v>22897.295510340002</v>
      </c>
      <c r="BE10">
        <v>22897.295510340002</v>
      </c>
      <c r="BF10">
        <v>22897.295510340002</v>
      </c>
      <c r="BG10">
        <v>22897.295510340002</v>
      </c>
      <c r="BH10">
        <v>22897.295510340002</v>
      </c>
      <c r="BI10">
        <v>22897.295510340002</v>
      </c>
      <c r="BJ10">
        <v>22897.295510340002</v>
      </c>
      <c r="BK10">
        <v>22897.295510340002</v>
      </c>
      <c r="BL10">
        <v>22897.295510340002</v>
      </c>
      <c r="BM10">
        <v>22897.295510340002</v>
      </c>
      <c r="BN10">
        <v>22897.295510340002</v>
      </c>
      <c r="BO10">
        <v>22897.295510340002</v>
      </c>
      <c r="BP10">
        <v>22897.295510340002</v>
      </c>
      <c r="BQ10">
        <v>22897.295510340002</v>
      </c>
      <c r="BR10">
        <v>22897.295510340002</v>
      </c>
      <c r="BS10">
        <v>22897.295510340002</v>
      </c>
      <c r="BT10">
        <v>22897.295510340002</v>
      </c>
      <c r="BU10">
        <v>22897.295510340002</v>
      </c>
      <c r="BV10">
        <v>22897.295510340002</v>
      </c>
      <c r="BW10">
        <v>22897.295510340002</v>
      </c>
      <c r="BX10">
        <v>22897.295510340002</v>
      </c>
      <c r="BY10">
        <v>22897.295510340002</v>
      </c>
      <c r="BZ10">
        <v>22897.295510340002</v>
      </c>
      <c r="CA10">
        <v>22897.295510340002</v>
      </c>
      <c r="CB10">
        <v>22897.295510340002</v>
      </c>
      <c r="CC10">
        <v>22897.295510340002</v>
      </c>
      <c r="CD10">
        <v>22897.295510340002</v>
      </c>
      <c r="CE10">
        <v>22897.295510340002</v>
      </c>
      <c r="CF10">
        <v>22897.295510340002</v>
      </c>
      <c r="CG10">
        <v>22897.295510340002</v>
      </c>
      <c r="CH10">
        <v>22897.295510340002</v>
      </c>
      <c r="CI10">
        <v>22897.295510340002</v>
      </c>
      <c r="CJ10">
        <v>22897.295510340002</v>
      </c>
      <c r="CK10">
        <v>22897.295510340002</v>
      </c>
      <c r="CL10">
        <v>22897.295510340002</v>
      </c>
      <c r="CM10">
        <v>22897.295510340002</v>
      </c>
      <c r="CN10">
        <v>22897.295510340002</v>
      </c>
      <c r="CO10">
        <v>22897.295510340002</v>
      </c>
      <c r="CP10">
        <v>22897.295510340002</v>
      </c>
      <c r="CQ10">
        <v>22897.295510340002</v>
      </c>
      <c r="CR10">
        <v>22897.295510340002</v>
      </c>
      <c r="CS10">
        <v>22897.295510340002</v>
      </c>
      <c r="CT10">
        <v>22897.295510340002</v>
      </c>
      <c r="CU10">
        <v>22897.295510340002</v>
      </c>
      <c r="CV10">
        <v>22897.295510340002</v>
      </c>
      <c r="CW10">
        <v>22897.295510340002</v>
      </c>
    </row>
    <row r="11" spans="1:101" x14ac:dyDescent="0.2">
      <c r="A11">
        <v>8</v>
      </c>
      <c r="B11">
        <v>670857987.08850598</v>
      </c>
      <c r="C11">
        <v>696495327.27104497</v>
      </c>
      <c r="D11">
        <v>457377838.619335</v>
      </c>
      <c r="E11">
        <v>627645998.99159801</v>
      </c>
      <c r="F11">
        <v>700129297.12506902</v>
      </c>
      <c r="G11">
        <v>645687108.42071998</v>
      </c>
      <c r="H11">
        <v>450122753.31242502</v>
      </c>
      <c r="I11">
        <v>494028559.935718</v>
      </c>
      <c r="J11">
        <v>476429157.89930499</v>
      </c>
      <c r="K11">
        <v>490813934.310431</v>
      </c>
      <c r="L11">
        <v>638213084.51979196</v>
      </c>
      <c r="M11">
        <v>456154541.23655802</v>
      </c>
      <c r="N11">
        <v>690783123.04956603</v>
      </c>
      <c r="O11">
        <v>696504551.60753</v>
      </c>
      <c r="P11">
        <v>658714902.16856396</v>
      </c>
      <c r="Q11">
        <v>553391347.77675605</v>
      </c>
      <c r="R11">
        <v>576106955.25400901</v>
      </c>
      <c r="S11">
        <v>653705443.33141804</v>
      </c>
      <c r="T11">
        <v>500550516.47024602</v>
      </c>
      <c r="U11">
        <v>556153247.81458902</v>
      </c>
      <c r="V11">
        <v>459726192.405173</v>
      </c>
      <c r="W11">
        <v>580307774.48050106</v>
      </c>
      <c r="X11">
        <v>600884205.34805202</v>
      </c>
      <c r="Y11">
        <v>589451801.07491505</v>
      </c>
      <c r="Z11">
        <v>671509630.12802696</v>
      </c>
      <c r="AA11">
        <v>564978819.23209596</v>
      </c>
      <c r="AB11">
        <v>685830685.15838206</v>
      </c>
      <c r="AC11">
        <v>563081355.87715197</v>
      </c>
      <c r="AD11">
        <v>500351079.97308201</v>
      </c>
      <c r="AE11">
        <v>571167813.81625104</v>
      </c>
      <c r="AF11">
        <v>475144304.53134799</v>
      </c>
      <c r="AG11">
        <v>466568991.71721202</v>
      </c>
      <c r="AH11">
        <v>472888145.29309702</v>
      </c>
      <c r="AI11">
        <v>465690748.813995</v>
      </c>
      <c r="AJ11">
        <v>673272705.25435305</v>
      </c>
      <c r="AK11">
        <v>608439819.39645803</v>
      </c>
      <c r="AL11">
        <v>534692974.29807103</v>
      </c>
      <c r="AM11">
        <v>585091109.51898205</v>
      </c>
      <c r="AN11">
        <v>487678975.02026802</v>
      </c>
      <c r="AO11">
        <v>568483308.84287596</v>
      </c>
      <c r="AP11">
        <v>590837130.762344</v>
      </c>
      <c r="AQ11">
        <v>650367432.93941498</v>
      </c>
      <c r="AR11">
        <v>621270091.22364295</v>
      </c>
      <c r="AS11">
        <v>551464787.71705198</v>
      </c>
      <c r="AT11">
        <v>458448060.24374199</v>
      </c>
      <c r="AU11">
        <v>636660838.93100095</v>
      </c>
      <c r="AV11">
        <v>540188762.75297701</v>
      </c>
      <c r="AW11">
        <v>492693015.64876002</v>
      </c>
      <c r="AX11">
        <v>469928015.40710503</v>
      </c>
      <c r="AY11">
        <v>602446270.36471105</v>
      </c>
      <c r="AZ11">
        <v>476913462.52694899</v>
      </c>
      <c r="BA11">
        <v>617437214.01522398</v>
      </c>
      <c r="BB11">
        <v>633083810.34558201</v>
      </c>
      <c r="BC11">
        <v>676755353.83168697</v>
      </c>
      <c r="BD11">
        <v>546619372.25302196</v>
      </c>
      <c r="BE11">
        <v>684178502.92169797</v>
      </c>
      <c r="BF11">
        <v>482605932.01442099</v>
      </c>
      <c r="BG11">
        <v>666805285.98769999</v>
      </c>
      <c r="BH11">
        <v>572367545.18499196</v>
      </c>
      <c r="BI11">
        <v>660641867.90223396</v>
      </c>
      <c r="BJ11">
        <v>514555287.71936297</v>
      </c>
      <c r="BK11">
        <v>626709430.42556095</v>
      </c>
      <c r="BL11">
        <v>537170240.53057802</v>
      </c>
      <c r="BM11">
        <v>521206721.813788</v>
      </c>
      <c r="BN11">
        <v>486821601.324229</v>
      </c>
      <c r="BO11">
        <v>634369324.61371398</v>
      </c>
      <c r="BP11">
        <v>534040252.77813101</v>
      </c>
      <c r="BQ11">
        <v>517178763.85056502</v>
      </c>
      <c r="BR11">
        <v>614807102.231547</v>
      </c>
      <c r="BS11">
        <v>476904974.90799803</v>
      </c>
      <c r="BT11">
        <v>623921118.63883996</v>
      </c>
      <c r="BU11">
        <v>538137778.66002595</v>
      </c>
      <c r="BV11">
        <v>679598383.93932295</v>
      </c>
      <c r="BW11">
        <v>524226132.64833802</v>
      </c>
      <c r="BX11">
        <v>607696523.16037405</v>
      </c>
      <c r="BY11">
        <v>528541412.43036199</v>
      </c>
      <c r="BZ11">
        <v>510427031.50304902</v>
      </c>
      <c r="CA11">
        <v>606702972.08313203</v>
      </c>
      <c r="CB11">
        <v>584397123.78893399</v>
      </c>
      <c r="CC11">
        <v>505711867.25400102</v>
      </c>
      <c r="CD11">
        <v>546355193.38938606</v>
      </c>
      <c r="CE11">
        <v>531342879.30318302</v>
      </c>
      <c r="CF11">
        <v>478276997.33104801</v>
      </c>
      <c r="CG11">
        <v>661632562.143466</v>
      </c>
      <c r="CH11">
        <v>592728426.77605402</v>
      </c>
      <c r="CI11">
        <v>651501621.37172794</v>
      </c>
      <c r="CJ11">
        <v>532701755.50436002</v>
      </c>
      <c r="CK11">
        <v>527904232.612634</v>
      </c>
      <c r="CL11">
        <v>525729082.50491601</v>
      </c>
      <c r="CM11">
        <v>506476439.03776699</v>
      </c>
      <c r="CN11">
        <v>490409589.63278002</v>
      </c>
      <c r="CO11">
        <v>505577926.74181998</v>
      </c>
      <c r="CP11">
        <v>615562015.61740994</v>
      </c>
      <c r="CQ11">
        <v>665089631.57670295</v>
      </c>
      <c r="CR11">
        <v>601589062.49289405</v>
      </c>
      <c r="CS11">
        <v>486474852.60952598</v>
      </c>
      <c r="CT11">
        <v>624170473.57078397</v>
      </c>
      <c r="CU11">
        <v>511026890.36021698</v>
      </c>
      <c r="CV11">
        <v>629572312.13476896</v>
      </c>
      <c r="CW11">
        <v>584338347.37552094</v>
      </c>
    </row>
    <row r="12" spans="1:101" x14ac:dyDescent="0.2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2">
      <c r="A13">
        <v>10</v>
      </c>
      <c r="B13">
        <v>19071338</v>
      </c>
      <c r="C13">
        <v>19071338</v>
      </c>
      <c r="D13">
        <v>19071338</v>
      </c>
      <c r="E13">
        <v>19071338</v>
      </c>
      <c r="F13">
        <v>19071338</v>
      </c>
      <c r="G13">
        <v>19071338</v>
      </c>
      <c r="H13">
        <v>19071338</v>
      </c>
      <c r="I13">
        <v>19071338</v>
      </c>
      <c r="J13">
        <v>19071338</v>
      </c>
      <c r="K13">
        <v>19071338</v>
      </c>
      <c r="L13">
        <v>19071338</v>
      </c>
      <c r="M13">
        <v>19071338</v>
      </c>
      <c r="N13">
        <v>19071338</v>
      </c>
      <c r="O13">
        <v>19071338</v>
      </c>
      <c r="P13">
        <v>19071338</v>
      </c>
      <c r="Q13">
        <v>19071338</v>
      </c>
      <c r="R13">
        <v>19071338</v>
      </c>
      <c r="S13">
        <v>19071338</v>
      </c>
      <c r="T13">
        <v>19071338</v>
      </c>
      <c r="U13">
        <v>19071338</v>
      </c>
      <c r="V13">
        <v>19071338</v>
      </c>
      <c r="W13">
        <v>19071338</v>
      </c>
      <c r="X13">
        <v>19071338</v>
      </c>
      <c r="Y13">
        <v>19071338</v>
      </c>
      <c r="Z13">
        <v>19071338</v>
      </c>
      <c r="AA13">
        <v>19071338</v>
      </c>
      <c r="AB13">
        <v>19071338</v>
      </c>
      <c r="AC13">
        <v>19071338</v>
      </c>
      <c r="AD13">
        <v>19071338</v>
      </c>
      <c r="AE13">
        <v>19071338</v>
      </c>
      <c r="AF13">
        <v>19071338</v>
      </c>
      <c r="AG13">
        <v>19071338</v>
      </c>
      <c r="AH13">
        <v>19071338</v>
      </c>
      <c r="AI13">
        <v>19071338</v>
      </c>
      <c r="AJ13">
        <v>19071338</v>
      </c>
      <c r="AK13">
        <v>19071338</v>
      </c>
      <c r="AL13">
        <v>19071338</v>
      </c>
      <c r="AM13">
        <v>19071338</v>
      </c>
      <c r="AN13">
        <v>19071338</v>
      </c>
      <c r="AO13">
        <v>19071338</v>
      </c>
      <c r="AP13">
        <v>19071338</v>
      </c>
      <c r="AQ13">
        <v>19071338</v>
      </c>
      <c r="AR13">
        <v>19071338</v>
      </c>
      <c r="AS13">
        <v>19071338</v>
      </c>
      <c r="AT13">
        <v>19071338</v>
      </c>
      <c r="AU13">
        <v>19071338</v>
      </c>
      <c r="AV13">
        <v>19071338</v>
      </c>
      <c r="AW13">
        <v>19071338</v>
      </c>
      <c r="AX13">
        <v>19071338</v>
      </c>
      <c r="AY13">
        <v>19071338</v>
      </c>
      <c r="AZ13">
        <v>19071338</v>
      </c>
      <c r="BA13">
        <v>19071338</v>
      </c>
      <c r="BB13">
        <v>19071338</v>
      </c>
      <c r="BC13">
        <v>19071338</v>
      </c>
      <c r="BD13">
        <v>19071338</v>
      </c>
      <c r="BE13">
        <v>19071338</v>
      </c>
      <c r="BF13">
        <v>19071338</v>
      </c>
      <c r="BG13">
        <v>19071338</v>
      </c>
      <c r="BH13">
        <v>19071338</v>
      </c>
      <c r="BI13">
        <v>19071338</v>
      </c>
      <c r="BJ13">
        <v>19071338</v>
      </c>
      <c r="BK13">
        <v>19071338</v>
      </c>
      <c r="BL13">
        <v>19071338</v>
      </c>
      <c r="BM13">
        <v>19071338</v>
      </c>
      <c r="BN13">
        <v>19071338</v>
      </c>
      <c r="BO13">
        <v>19071338</v>
      </c>
      <c r="BP13">
        <v>19071338</v>
      </c>
      <c r="BQ13">
        <v>19071338</v>
      </c>
      <c r="BR13">
        <v>19071338</v>
      </c>
      <c r="BS13">
        <v>19071338</v>
      </c>
      <c r="BT13">
        <v>19071338</v>
      </c>
      <c r="BU13">
        <v>19071338</v>
      </c>
      <c r="BV13">
        <v>19071338</v>
      </c>
      <c r="BW13">
        <v>19071338</v>
      </c>
      <c r="BX13">
        <v>19071338</v>
      </c>
      <c r="BY13">
        <v>19071338</v>
      </c>
      <c r="BZ13">
        <v>19071338</v>
      </c>
      <c r="CA13">
        <v>19071338</v>
      </c>
      <c r="CB13">
        <v>19071338</v>
      </c>
      <c r="CC13">
        <v>19071338</v>
      </c>
      <c r="CD13">
        <v>19071338</v>
      </c>
      <c r="CE13">
        <v>19071338</v>
      </c>
      <c r="CF13">
        <v>19071338</v>
      </c>
      <c r="CG13">
        <v>19071338</v>
      </c>
      <c r="CH13">
        <v>19071338</v>
      </c>
      <c r="CI13">
        <v>19071338</v>
      </c>
      <c r="CJ13">
        <v>19071338</v>
      </c>
      <c r="CK13">
        <v>19071338</v>
      </c>
      <c r="CL13">
        <v>19071338</v>
      </c>
      <c r="CM13">
        <v>19071338</v>
      </c>
      <c r="CN13">
        <v>19071338</v>
      </c>
      <c r="CO13">
        <v>19071338</v>
      </c>
      <c r="CP13">
        <v>19071338</v>
      </c>
      <c r="CQ13">
        <v>19071338</v>
      </c>
      <c r="CR13">
        <v>19071338</v>
      </c>
      <c r="CS13">
        <v>19071338</v>
      </c>
      <c r="CT13">
        <v>19071338</v>
      </c>
      <c r="CU13">
        <v>19071338</v>
      </c>
      <c r="CV13">
        <v>19071338</v>
      </c>
      <c r="CW13">
        <v>19071338</v>
      </c>
    </row>
    <row r="14" spans="1:101" x14ac:dyDescent="0.2">
      <c r="A14">
        <v>11</v>
      </c>
      <c r="B14">
        <v>162093634.666866</v>
      </c>
      <c r="C14">
        <v>161978832.579687</v>
      </c>
      <c r="D14">
        <v>182484054.367944</v>
      </c>
      <c r="E14">
        <v>164502673.42949301</v>
      </c>
      <c r="F14">
        <v>164059570.816827</v>
      </c>
      <c r="G14">
        <v>167770222.84670299</v>
      </c>
      <c r="H14">
        <v>181861424.44661799</v>
      </c>
      <c r="I14">
        <v>178514061.00667199</v>
      </c>
      <c r="J14">
        <v>179917786.62651601</v>
      </c>
      <c r="K14">
        <v>179995434.79730001</v>
      </c>
      <c r="L14">
        <v>168255715.20946401</v>
      </c>
      <c r="M14">
        <v>181988353.14155501</v>
      </c>
      <c r="N14">
        <v>164569807.039653</v>
      </c>
      <c r="O14">
        <v>164285984.280498</v>
      </c>
      <c r="P14">
        <v>166858924.678783</v>
      </c>
      <c r="Q14">
        <v>174375548.87470201</v>
      </c>
      <c r="R14">
        <v>172758487.94651899</v>
      </c>
      <c r="S14">
        <v>167199381.333244</v>
      </c>
      <c r="T14">
        <v>178178755.730791</v>
      </c>
      <c r="U14">
        <v>174041189.578866</v>
      </c>
      <c r="V14">
        <v>182087330.47121799</v>
      </c>
      <c r="W14">
        <v>172505488.070593</v>
      </c>
      <c r="X14">
        <v>170995304.155532</v>
      </c>
      <c r="Y14">
        <v>171786134.178794</v>
      </c>
      <c r="Z14">
        <v>166023165.06502801</v>
      </c>
      <c r="AA14">
        <v>173442852.02512699</v>
      </c>
      <c r="AB14">
        <v>164975707.337688</v>
      </c>
      <c r="AC14">
        <v>173672765.11332899</v>
      </c>
      <c r="AD14">
        <v>178052351.589959</v>
      </c>
      <c r="AE14">
        <v>173067577.969897</v>
      </c>
      <c r="AF14">
        <v>180565273.52778199</v>
      </c>
      <c r="AG14">
        <v>181268877.648247</v>
      </c>
      <c r="AH14">
        <v>180765930.15470999</v>
      </c>
      <c r="AI14">
        <v>181148420.87266299</v>
      </c>
      <c r="AJ14">
        <v>165780565.070647</v>
      </c>
      <c r="AK14">
        <v>170362305.92714199</v>
      </c>
      <c r="AL14">
        <v>175059166.49514201</v>
      </c>
      <c r="AM14">
        <v>172116018.06833601</v>
      </c>
      <c r="AN14">
        <v>180231218.45451701</v>
      </c>
      <c r="AO14">
        <v>173191154.01595199</v>
      </c>
      <c r="AP14">
        <v>171586365.56845301</v>
      </c>
      <c r="AQ14">
        <v>167403602.52491501</v>
      </c>
      <c r="AR14">
        <v>169558158.07615399</v>
      </c>
      <c r="AS14">
        <v>174594569.02575499</v>
      </c>
      <c r="AT14">
        <v>182288809.65002799</v>
      </c>
      <c r="AU14">
        <v>168523296.76844999</v>
      </c>
      <c r="AV14">
        <v>175189149.220489</v>
      </c>
      <c r="AW14">
        <v>178749354.191468</v>
      </c>
      <c r="AX14">
        <v>180983354.81436399</v>
      </c>
      <c r="AY14">
        <v>170822532.32123801</v>
      </c>
      <c r="AZ14">
        <v>180342379.18135101</v>
      </c>
      <c r="BA14">
        <v>169760537.04115099</v>
      </c>
      <c r="BB14">
        <v>168765182.269274</v>
      </c>
      <c r="BC14">
        <v>165589501.00739801</v>
      </c>
      <c r="BD14">
        <v>174071318.51184499</v>
      </c>
      <c r="BE14">
        <v>165088683.80087799</v>
      </c>
      <c r="BF14">
        <v>179364970.965942</v>
      </c>
      <c r="BG14">
        <v>166288549.235351</v>
      </c>
      <c r="BH14">
        <v>171687195.17984501</v>
      </c>
      <c r="BI14">
        <v>166650650.972902</v>
      </c>
      <c r="BJ14">
        <v>176992338.99018499</v>
      </c>
      <c r="BK14">
        <v>169083530.773965</v>
      </c>
      <c r="BL14">
        <v>175471913.974154</v>
      </c>
      <c r="BM14">
        <v>176663701.71667701</v>
      </c>
      <c r="BN14">
        <v>179160411.84869999</v>
      </c>
      <c r="BO14">
        <v>168444992.02691001</v>
      </c>
      <c r="BP14">
        <v>175658264.23721901</v>
      </c>
      <c r="BQ14">
        <v>176862895.07413399</v>
      </c>
      <c r="BR14">
        <v>169997300.03688899</v>
      </c>
      <c r="BS14">
        <v>179681463.50543499</v>
      </c>
      <c r="BT14">
        <v>169323324.58134899</v>
      </c>
      <c r="BU14">
        <v>175347381.87687799</v>
      </c>
      <c r="BV14">
        <v>165353474.738778</v>
      </c>
      <c r="BW14">
        <v>176485900.522172</v>
      </c>
      <c r="BX14">
        <v>170315997.916136</v>
      </c>
      <c r="BY14">
        <v>176179922.88696799</v>
      </c>
      <c r="BZ14">
        <v>177406977.42987001</v>
      </c>
      <c r="CA14">
        <v>170524813.95635501</v>
      </c>
      <c r="CB14">
        <v>172174511.14314401</v>
      </c>
      <c r="CC14">
        <v>177695684.22868201</v>
      </c>
      <c r="CD14">
        <v>174768724.80951899</v>
      </c>
      <c r="CE14">
        <v>175899270.66339001</v>
      </c>
      <c r="CF14">
        <v>179601133.36381</v>
      </c>
      <c r="CG14">
        <v>166529554.017445</v>
      </c>
      <c r="CH14">
        <v>171608246.722734</v>
      </c>
      <c r="CI14">
        <v>167371747.96109399</v>
      </c>
      <c r="CJ14">
        <v>175802154.65830401</v>
      </c>
      <c r="CK14">
        <v>176128207.93691799</v>
      </c>
      <c r="CL14">
        <v>176371777.20464301</v>
      </c>
      <c r="CM14">
        <v>177573437.618054</v>
      </c>
      <c r="CN14">
        <v>178867077.61327499</v>
      </c>
      <c r="CO14">
        <v>177681695.09065101</v>
      </c>
      <c r="CP14">
        <v>169939447.51069599</v>
      </c>
      <c r="CQ14">
        <v>166342224.583038</v>
      </c>
      <c r="CR14">
        <v>170923818.62587401</v>
      </c>
      <c r="CS14">
        <v>179032227.59315899</v>
      </c>
      <c r="CT14">
        <v>169250580.93526199</v>
      </c>
      <c r="CU14">
        <v>177192984.611267</v>
      </c>
      <c r="CV14">
        <v>168968001.20910099</v>
      </c>
      <c r="CW14">
        <v>172312849.49829301</v>
      </c>
    </row>
    <row r="15" spans="1:101" x14ac:dyDescent="0.2">
      <c r="A15">
        <v>12</v>
      </c>
      <c r="B15">
        <v>297919744.21307898</v>
      </c>
      <c r="C15">
        <v>297919744.21307898</v>
      </c>
      <c r="D15">
        <v>297919744.21307898</v>
      </c>
      <c r="E15">
        <v>297919744.21307898</v>
      </c>
      <c r="F15">
        <v>297919744.21307898</v>
      </c>
      <c r="G15">
        <v>297919744.21307898</v>
      </c>
      <c r="H15">
        <v>297919744.21307898</v>
      </c>
      <c r="I15">
        <v>297919744.21307898</v>
      </c>
      <c r="J15">
        <v>297919744.21307898</v>
      </c>
      <c r="K15">
        <v>297919744.21307898</v>
      </c>
      <c r="L15">
        <v>297919744.21307898</v>
      </c>
      <c r="M15">
        <v>297919744.21307898</v>
      </c>
      <c r="N15">
        <v>297919744.21307898</v>
      </c>
      <c r="O15">
        <v>297919744.21307898</v>
      </c>
      <c r="P15">
        <v>297919744.21307898</v>
      </c>
      <c r="Q15">
        <v>297919744.21307898</v>
      </c>
      <c r="R15">
        <v>297919744.21307898</v>
      </c>
      <c r="S15">
        <v>297919744.21307898</v>
      </c>
      <c r="T15">
        <v>297919744.21307898</v>
      </c>
      <c r="U15">
        <v>297919744.21307898</v>
      </c>
      <c r="V15">
        <v>297919744.21307898</v>
      </c>
      <c r="W15">
        <v>297919744.21307898</v>
      </c>
      <c r="X15">
        <v>297919744.21307898</v>
      </c>
      <c r="Y15">
        <v>297919744.21307898</v>
      </c>
      <c r="Z15">
        <v>297919744.21307898</v>
      </c>
      <c r="AA15">
        <v>297919744.21307898</v>
      </c>
      <c r="AB15">
        <v>297919744.21307898</v>
      </c>
      <c r="AC15">
        <v>297919744.21307898</v>
      </c>
      <c r="AD15">
        <v>297919744.21307898</v>
      </c>
      <c r="AE15">
        <v>297919744.21307898</v>
      </c>
      <c r="AF15">
        <v>297919744.21307898</v>
      </c>
      <c r="AG15">
        <v>297919744.21307898</v>
      </c>
      <c r="AH15">
        <v>297919744.21307898</v>
      </c>
      <c r="AI15">
        <v>297919744.21307898</v>
      </c>
      <c r="AJ15">
        <v>297919744.21307898</v>
      </c>
      <c r="AK15">
        <v>297919744.21307898</v>
      </c>
      <c r="AL15">
        <v>297919744.21307898</v>
      </c>
      <c r="AM15">
        <v>297919744.21307898</v>
      </c>
      <c r="AN15">
        <v>297919744.21307898</v>
      </c>
      <c r="AO15">
        <v>297919744.21307898</v>
      </c>
      <c r="AP15">
        <v>297919744.21307898</v>
      </c>
      <c r="AQ15">
        <v>297919744.21307898</v>
      </c>
      <c r="AR15">
        <v>297919744.21307898</v>
      </c>
      <c r="AS15">
        <v>297919744.21307898</v>
      </c>
      <c r="AT15">
        <v>297919744.21307898</v>
      </c>
      <c r="AU15">
        <v>297919744.21307898</v>
      </c>
      <c r="AV15">
        <v>297919744.21307898</v>
      </c>
      <c r="AW15">
        <v>297919744.21307898</v>
      </c>
      <c r="AX15">
        <v>297919744.21307898</v>
      </c>
      <c r="AY15">
        <v>297919744.21307898</v>
      </c>
      <c r="AZ15">
        <v>297919744.21307898</v>
      </c>
      <c r="BA15">
        <v>297919744.21307898</v>
      </c>
      <c r="BB15">
        <v>297919744.21307898</v>
      </c>
      <c r="BC15">
        <v>297919744.21307898</v>
      </c>
      <c r="BD15">
        <v>297919744.21307898</v>
      </c>
      <c r="BE15">
        <v>297919744.21307898</v>
      </c>
      <c r="BF15">
        <v>297919744.21307898</v>
      </c>
      <c r="BG15">
        <v>297919744.21307898</v>
      </c>
      <c r="BH15">
        <v>297919744.21307898</v>
      </c>
      <c r="BI15">
        <v>297919744.21307898</v>
      </c>
      <c r="BJ15">
        <v>297919744.21307898</v>
      </c>
      <c r="BK15">
        <v>297919744.21307898</v>
      </c>
      <c r="BL15">
        <v>297919744.21307898</v>
      </c>
      <c r="BM15">
        <v>297919744.21307898</v>
      </c>
      <c r="BN15">
        <v>297919744.21307898</v>
      </c>
      <c r="BO15">
        <v>297919744.21307898</v>
      </c>
      <c r="BP15">
        <v>297919744.21307898</v>
      </c>
      <c r="BQ15">
        <v>297919744.21307898</v>
      </c>
      <c r="BR15">
        <v>297919744.21307898</v>
      </c>
      <c r="BS15">
        <v>297919744.21307898</v>
      </c>
      <c r="BT15">
        <v>297919744.21307898</v>
      </c>
      <c r="BU15">
        <v>297919744.21307898</v>
      </c>
      <c r="BV15">
        <v>297919744.21307898</v>
      </c>
      <c r="BW15">
        <v>297919744.21307898</v>
      </c>
      <c r="BX15">
        <v>297919744.21307898</v>
      </c>
      <c r="BY15">
        <v>297919744.21307898</v>
      </c>
      <c r="BZ15">
        <v>297919744.21307898</v>
      </c>
      <c r="CA15">
        <v>297919744.21307898</v>
      </c>
      <c r="CB15">
        <v>297919744.21307898</v>
      </c>
      <c r="CC15">
        <v>297919744.21307898</v>
      </c>
      <c r="CD15">
        <v>297919744.21307898</v>
      </c>
      <c r="CE15">
        <v>297919744.21307898</v>
      </c>
      <c r="CF15">
        <v>297919744.21307898</v>
      </c>
      <c r="CG15">
        <v>297919744.21307898</v>
      </c>
      <c r="CH15">
        <v>297919744.21307898</v>
      </c>
      <c r="CI15">
        <v>297919744.21307898</v>
      </c>
      <c r="CJ15">
        <v>297919744.21307898</v>
      </c>
      <c r="CK15">
        <v>297919744.21307898</v>
      </c>
      <c r="CL15">
        <v>297919744.21307898</v>
      </c>
      <c r="CM15">
        <v>297919744.21307898</v>
      </c>
      <c r="CN15">
        <v>297919744.21307898</v>
      </c>
      <c r="CO15">
        <v>297919744.21307898</v>
      </c>
      <c r="CP15">
        <v>297919744.21307898</v>
      </c>
      <c r="CQ15">
        <v>297919744.21307898</v>
      </c>
      <c r="CR15">
        <v>297919744.21307898</v>
      </c>
      <c r="CS15">
        <v>297919744.21307898</v>
      </c>
      <c r="CT15">
        <v>297919744.21307898</v>
      </c>
      <c r="CU15">
        <v>297919744.21307898</v>
      </c>
      <c r="CV15">
        <v>297919744.21307898</v>
      </c>
      <c r="CW15">
        <v>297919744.21307898</v>
      </c>
    </row>
    <row r="16" spans="1:101" x14ac:dyDescent="0.2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">
      <c r="A17">
        <v>14</v>
      </c>
      <c r="B17">
        <v>77696.116982103005</v>
      </c>
      <c r="C17">
        <v>89270.722956383295</v>
      </c>
      <c r="D17">
        <v>69317.206972250206</v>
      </c>
      <c r="E17">
        <v>76597.098827742899</v>
      </c>
      <c r="F17">
        <v>79563.746394238493</v>
      </c>
      <c r="G17">
        <v>75983.110414773095</v>
      </c>
      <c r="H17">
        <v>70529.845324249007</v>
      </c>
      <c r="I17">
        <v>66674.351185364794</v>
      </c>
      <c r="J17">
        <v>65896.173992470605</v>
      </c>
      <c r="K17">
        <v>66854.459753128904</v>
      </c>
      <c r="L17">
        <v>75439.503886642502</v>
      </c>
      <c r="M17">
        <v>69383.083144287593</v>
      </c>
      <c r="N17">
        <v>79317.628347250604</v>
      </c>
      <c r="O17">
        <v>79570.104886931906</v>
      </c>
      <c r="P17">
        <v>76766.170046569096</v>
      </c>
      <c r="Q17">
        <v>70484.054390749603</v>
      </c>
      <c r="R17">
        <v>72104.9503543475</v>
      </c>
      <c r="S17">
        <v>76548.956346443199</v>
      </c>
      <c r="T17">
        <v>67131.509028037195</v>
      </c>
      <c r="U17">
        <v>70726.750185026802</v>
      </c>
      <c r="V17">
        <v>69885.7821370483</v>
      </c>
      <c r="W17">
        <v>72647.748206789402</v>
      </c>
      <c r="X17">
        <v>73820.535660633206</v>
      </c>
      <c r="Y17">
        <v>72452.142916116296</v>
      </c>
      <c r="Z17">
        <v>77702.841315104102</v>
      </c>
      <c r="AA17">
        <v>71090.815105605201</v>
      </c>
      <c r="AB17">
        <v>78803.041725343501</v>
      </c>
      <c r="AC17">
        <v>70838.108245315394</v>
      </c>
      <c r="AD17">
        <v>67188.292661595202</v>
      </c>
      <c r="AE17">
        <v>71912.256241397597</v>
      </c>
      <c r="AF17">
        <v>69766.290705595195</v>
      </c>
      <c r="AG17">
        <v>69564.026874037605</v>
      </c>
      <c r="AH17">
        <v>69826.537451540906</v>
      </c>
      <c r="AI17">
        <v>70167.869418703893</v>
      </c>
      <c r="AJ17">
        <v>78103.398683957697</v>
      </c>
      <c r="AK17">
        <v>73575.160698146807</v>
      </c>
      <c r="AL17">
        <v>69173.6204821102</v>
      </c>
      <c r="AM17">
        <v>72227.036936296601</v>
      </c>
      <c r="AN17">
        <v>66947.719535244003</v>
      </c>
      <c r="AO17">
        <v>71460.224918598295</v>
      </c>
      <c r="AP17">
        <v>72759.386404769903</v>
      </c>
      <c r="AQ17">
        <v>76836.609906742902</v>
      </c>
      <c r="AR17">
        <v>74331.585078576594</v>
      </c>
      <c r="AS17">
        <v>70152.155417305199</v>
      </c>
      <c r="AT17">
        <v>69394.375462120093</v>
      </c>
      <c r="AU17">
        <v>75655.2869288847</v>
      </c>
      <c r="AV17">
        <v>69559.765807593503</v>
      </c>
      <c r="AW17">
        <v>66783.931287494896</v>
      </c>
      <c r="AX17">
        <v>69601.865324837505</v>
      </c>
      <c r="AY17">
        <v>73367.824946818</v>
      </c>
      <c r="AZ17">
        <v>70746.206451379694</v>
      </c>
      <c r="BA17">
        <v>74461.185403794603</v>
      </c>
      <c r="BB17">
        <v>75279.731192606399</v>
      </c>
      <c r="BC17">
        <v>77922.308600574703</v>
      </c>
      <c r="BD17">
        <v>74279.998818655004</v>
      </c>
      <c r="BE17">
        <v>78690.313756001196</v>
      </c>
      <c r="BF17">
        <v>66095.5704061859</v>
      </c>
      <c r="BG17">
        <v>77306.568364695006</v>
      </c>
      <c r="BH17">
        <v>78651.680298145802</v>
      </c>
      <c r="BI17">
        <v>77063.437978200905</v>
      </c>
      <c r="BJ17">
        <v>67970.943234709703</v>
      </c>
      <c r="BK17">
        <v>74669.552628321195</v>
      </c>
      <c r="BL17">
        <v>69424.664924708195</v>
      </c>
      <c r="BM17">
        <v>68361.331413511594</v>
      </c>
      <c r="BN17">
        <v>66226.002244499497</v>
      </c>
      <c r="BO17">
        <v>75217.400555569897</v>
      </c>
      <c r="BP17">
        <v>69218.800843169403</v>
      </c>
      <c r="BQ17">
        <v>68477.806918600196</v>
      </c>
      <c r="BR17">
        <v>73845.320584508096</v>
      </c>
      <c r="BS17">
        <v>65697.660572663095</v>
      </c>
      <c r="BT17">
        <v>74494.549036541197</v>
      </c>
      <c r="BU17">
        <v>69367.473960054194</v>
      </c>
      <c r="BV17">
        <v>78310.376675895197</v>
      </c>
      <c r="BW17">
        <v>68408.394116229407</v>
      </c>
      <c r="BX17">
        <v>73708.628101851995</v>
      </c>
      <c r="BY17">
        <v>68985.904833612396</v>
      </c>
      <c r="BZ17">
        <v>67681.135334105493</v>
      </c>
      <c r="CA17">
        <v>73578.954688410799</v>
      </c>
      <c r="CB17">
        <v>72950.379792209307</v>
      </c>
      <c r="CC17">
        <v>67242.041129315301</v>
      </c>
      <c r="CD17">
        <v>69891.321838485994</v>
      </c>
      <c r="CE17">
        <v>69303.338111522302</v>
      </c>
      <c r="CF17">
        <v>65801.299032882307</v>
      </c>
      <c r="CG17">
        <v>77248.379049183</v>
      </c>
      <c r="CH17">
        <v>72737.592536655502</v>
      </c>
      <c r="CI17">
        <v>76362.407760165894</v>
      </c>
      <c r="CJ17">
        <v>68823.611676984496</v>
      </c>
      <c r="CK17">
        <v>69314.255827929795</v>
      </c>
      <c r="CL17">
        <v>68504.325375438697</v>
      </c>
      <c r="CM17">
        <v>67422.239397397294</v>
      </c>
      <c r="CN17">
        <v>66767.253895606395</v>
      </c>
      <c r="CO17">
        <v>67289.745546818405</v>
      </c>
      <c r="CP17">
        <v>74035.614577231405</v>
      </c>
      <c r="CQ17">
        <v>77147.304119445296</v>
      </c>
      <c r="CR17">
        <v>73138.901929371394</v>
      </c>
      <c r="CS17">
        <v>66348.521021083303</v>
      </c>
      <c r="CT17">
        <v>74767.224054723498</v>
      </c>
      <c r="CU17">
        <v>68132.530229768396</v>
      </c>
      <c r="CV17">
        <v>75102.119063112696</v>
      </c>
      <c r="CW17">
        <v>71987.715211644099</v>
      </c>
    </row>
    <row r="18" spans="1:101" x14ac:dyDescent="0.2">
      <c r="A18">
        <v>15</v>
      </c>
      <c r="B18">
        <v>4433987.4645375097</v>
      </c>
      <c r="C18">
        <v>4424958.9590675496</v>
      </c>
      <c r="D18">
        <v>3799182.6733351299</v>
      </c>
      <c r="E18">
        <v>4409952.4760743603</v>
      </c>
      <c r="F18">
        <v>4344658.8476468604</v>
      </c>
      <c r="G18">
        <v>4265016.0772466799</v>
      </c>
      <c r="H18">
        <v>3863429.87881504</v>
      </c>
      <c r="I18">
        <v>3988860.5203849599</v>
      </c>
      <c r="J18">
        <v>3943516.4995024102</v>
      </c>
      <c r="K18">
        <v>3907043.7972735902</v>
      </c>
      <c r="L18">
        <v>4260328.9422377301</v>
      </c>
      <c r="M18">
        <v>3838588.4729504599</v>
      </c>
      <c r="N18">
        <v>4333994.14017893</v>
      </c>
      <c r="O18">
        <v>4338670.3735066699</v>
      </c>
      <c r="P18">
        <v>4288098.4448710196</v>
      </c>
      <c r="Q18">
        <v>4093615.9025112698</v>
      </c>
      <c r="R18">
        <v>4136910.6241336898</v>
      </c>
      <c r="S18">
        <v>4282930.7469240502</v>
      </c>
      <c r="T18">
        <v>3996000.79940305</v>
      </c>
      <c r="U18">
        <v>4106926.5555688301</v>
      </c>
      <c r="V18">
        <v>3818019.1562953801</v>
      </c>
      <c r="W18">
        <v>4137966.6798520698</v>
      </c>
      <c r="X18">
        <v>4181195.3037739801</v>
      </c>
      <c r="Y18">
        <v>4160947.3123035599</v>
      </c>
      <c r="Z18">
        <v>4306002.0097137503</v>
      </c>
      <c r="AA18">
        <v>4123205.6166116302</v>
      </c>
      <c r="AB18">
        <v>4328758.9707440799</v>
      </c>
      <c r="AC18">
        <v>4117424.7988275201</v>
      </c>
      <c r="AD18">
        <v>4001387.5788615602</v>
      </c>
      <c r="AE18">
        <v>4130136.1468343101</v>
      </c>
      <c r="AF18">
        <v>3886290.1233873302</v>
      </c>
      <c r="AG18">
        <v>3861620.56455635</v>
      </c>
      <c r="AH18">
        <v>3876694.0595899899</v>
      </c>
      <c r="AI18">
        <v>3868732.7566543901</v>
      </c>
      <c r="AJ18">
        <v>4308018.5402892502</v>
      </c>
      <c r="AK18">
        <v>4200468.6318660798</v>
      </c>
      <c r="AL18">
        <v>4091102.5085602999</v>
      </c>
      <c r="AM18">
        <v>4153852.0258435798</v>
      </c>
      <c r="AN18">
        <v>3898421.8039575499</v>
      </c>
      <c r="AO18">
        <v>4127917.92671159</v>
      </c>
      <c r="AP18">
        <v>4171194.0280765598</v>
      </c>
      <c r="AQ18">
        <v>4269046.0891701803</v>
      </c>
      <c r="AR18">
        <v>4220377.2899919301</v>
      </c>
      <c r="AS18">
        <v>4097731.3290935899</v>
      </c>
      <c r="AT18">
        <v>3808083.0947919399</v>
      </c>
      <c r="AU18">
        <v>4244097.2141762804</v>
      </c>
      <c r="AV18">
        <v>4078514.0288129598</v>
      </c>
      <c r="AW18">
        <v>3975151.0732763</v>
      </c>
      <c r="AX18">
        <v>3872338.2027645302</v>
      </c>
      <c r="AY18">
        <v>4190793.82670771</v>
      </c>
      <c r="AZ18">
        <v>3890311.0902079698</v>
      </c>
      <c r="BA18">
        <v>4221376.63586831</v>
      </c>
      <c r="BB18">
        <v>4239776.1120816199</v>
      </c>
      <c r="BC18">
        <v>4316034.3776916796</v>
      </c>
      <c r="BD18">
        <v>4110684.09549721</v>
      </c>
      <c r="BE18">
        <v>4326607.4873296404</v>
      </c>
      <c r="BF18">
        <v>3961685.3854900701</v>
      </c>
      <c r="BG18">
        <v>4304544.9155163104</v>
      </c>
      <c r="BH18">
        <v>4176555.6759732901</v>
      </c>
      <c r="BI18">
        <v>4294366.7735796403</v>
      </c>
      <c r="BJ18">
        <v>4032483.08291901</v>
      </c>
      <c r="BK18">
        <v>4234168.2771805702</v>
      </c>
      <c r="BL18">
        <v>4064407.67472316</v>
      </c>
      <c r="BM18">
        <v>4035558.74539694</v>
      </c>
      <c r="BN18">
        <v>3967042.9685148499</v>
      </c>
      <c r="BO18">
        <v>4257477.1487999102</v>
      </c>
      <c r="BP18">
        <v>4062022.9996173698</v>
      </c>
      <c r="BQ18">
        <v>4033711.83225659</v>
      </c>
      <c r="BR18">
        <v>4213556.3525895001</v>
      </c>
      <c r="BS18">
        <v>3953689.38546872</v>
      </c>
      <c r="BT18">
        <v>4227956.7886287002</v>
      </c>
      <c r="BU18">
        <v>4074771.5062925201</v>
      </c>
      <c r="BV18">
        <v>4323062.8797540599</v>
      </c>
      <c r="BW18">
        <v>4039780.2871030802</v>
      </c>
      <c r="BX18">
        <v>4209736.7404047204</v>
      </c>
      <c r="BY18">
        <v>4043422.69424371</v>
      </c>
      <c r="BZ18">
        <v>4018056.4405870098</v>
      </c>
      <c r="CA18">
        <v>4190718.1031930801</v>
      </c>
      <c r="CB18">
        <v>4149090.84454621</v>
      </c>
      <c r="CC18">
        <v>4007644.58072046</v>
      </c>
      <c r="CD18">
        <v>4088750.7201414001</v>
      </c>
      <c r="CE18">
        <v>4055631.74076602</v>
      </c>
      <c r="CF18">
        <v>3955615.7018931201</v>
      </c>
      <c r="CG18">
        <v>4299434.0670691803</v>
      </c>
      <c r="CH18">
        <v>4169884.2462226199</v>
      </c>
      <c r="CI18">
        <v>4277502.6159973396</v>
      </c>
      <c r="CJ18">
        <v>4057748.29567701</v>
      </c>
      <c r="CK18">
        <v>4051143.6962100398</v>
      </c>
      <c r="CL18">
        <v>4043993.8832361298</v>
      </c>
      <c r="CM18">
        <v>4015428.4827652602</v>
      </c>
      <c r="CN18">
        <v>3970665.83792646</v>
      </c>
      <c r="CO18">
        <v>4010935.66991205</v>
      </c>
      <c r="CP18">
        <v>4208957.1270280099</v>
      </c>
      <c r="CQ18">
        <v>4301011.1084487</v>
      </c>
      <c r="CR18">
        <v>4185179.6312422301</v>
      </c>
      <c r="CS18">
        <v>3970567.8191075502</v>
      </c>
      <c r="CT18">
        <v>4229026.1148287496</v>
      </c>
      <c r="CU18">
        <v>4024208.67376643</v>
      </c>
      <c r="CV18">
        <v>4236057.8354444802</v>
      </c>
      <c r="CW18">
        <v>4149223.1821939098</v>
      </c>
    </row>
    <row r="19" spans="1:101" x14ac:dyDescent="0.2">
      <c r="A19">
        <v>16</v>
      </c>
      <c r="B19">
        <v>445453724.46146399</v>
      </c>
      <c r="C19">
        <v>445341468.47478998</v>
      </c>
      <c r="D19">
        <v>465200960.46133101</v>
      </c>
      <c r="E19">
        <v>447837629.21747398</v>
      </c>
      <c r="F19">
        <v>447332199.62394702</v>
      </c>
      <c r="G19">
        <v>450959628.24744302</v>
      </c>
      <c r="H19">
        <v>464643790.38383698</v>
      </c>
      <c r="I19">
        <v>461418002.09132099</v>
      </c>
      <c r="J19">
        <v>462775605.51309001</v>
      </c>
      <c r="K19">
        <v>462817739.26740599</v>
      </c>
      <c r="L19">
        <v>451439889.86866802</v>
      </c>
      <c r="M19">
        <v>464744730.91072899</v>
      </c>
      <c r="N19">
        <v>447831525.021258</v>
      </c>
      <c r="O19">
        <v>447552630.97197002</v>
      </c>
      <c r="P19">
        <v>450072195.50677902</v>
      </c>
      <c r="Q19">
        <v>457388055.04468298</v>
      </c>
      <c r="R19">
        <v>455815909.73408699</v>
      </c>
      <c r="S19">
        <v>450407267.24959397</v>
      </c>
      <c r="T19">
        <v>461090294.25230098</v>
      </c>
      <c r="U19">
        <v>457067249.09769899</v>
      </c>
      <c r="V19">
        <v>464823641.622729</v>
      </c>
      <c r="W19">
        <v>455564508.71173</v>
      </c>
      <c r="X19">
        <v>454098726.20804501</v>
      </c>
      <c r="Y19">
        <v>454867939.84709197</v>
      </c>
      <c r="Z19">
        <v>449255276.12913603</v>
      </c>
      <c r="AA19">
        <v>456485554.66992301</v>
      </c>
      <c r="AB19">
        <v>448231675.56323701</v>
      </c>
      <c r="AC19">
        <v>456709434.23348099</v>
      </c>
      <c r="AD19">
        <v>460969333.67456102</v>
      </c>
      <c r="AE19">
        <v>456118032.586052</v>
      </c>
      <c r="AF19">
        <v>463369736.15495402</v>
      </c>
      <c r="AG19">
        <v>464048468.45275599</v>
      </c>
      <c r="AH19">
        <v>463560856.96483099</v>
      </c>
      <c r="AI19">
        <v>463935727.711815</v>
      </c>
      <c r="AJ19">
        <v>449015093.2227</v>
      </c>
      <c r="AK19">
        <v>453484755.93278497</v>
      </c>
      <c r="AL19">
        <v>458067848.83726299</v>
      </c>
      <c r="AM19">
        <v>455190503.34419501</v>
      </c>
      <c r="AN19">
        <v>463044994.19108897</v>
      </c>
      <c r="AO19">
        <v>456238938.38066101</v>
      </c>
      <c r="AP19">
        <v>454678725.19601399</v>
      </c>
      <c r="AQ19">
        <v>450597891.43707103</v>
      </c>
      <c r="AR19">
        <v>452701273.164303</v>
      </c>
      <c r="AS19">
        <v>457610858.72334498</v>
      </c>
      <c r="AT19">
        <v>465014693.33336103</v>
      </c>
      <c r="AU19">
        <v>451691455.48263502</v>
      </c>
      <c r="AV19">
        <v>458185629.22818899</v>
      </c>
      <c r="AW19">
        <v>461639695.40911102</v>
      </c>
      <c r="AX19">
        <v>463773701.09553301</v>
      </c>
      <c r="AY19">
        <v>453935100.18597198</v>
      </c>
      <c r="AZ19">
        <v>463151842.69108999</v>
      </c>
      <c r="BA19">
        <v>452904781.07550198</v>
      </c>
      <c r="BB19">
        <v>451928644.32562798</v>
      </c>
      <c r="BC19">
        <v>448831863.90676898</v>
      </c>
      <c r="BD19">
        <v>457104688.81923997</v>
      </c>
      <c r="BE19">
        <v>448342387.81504297</v>
      </c>
      <c r="BF19">
        <v>462241158.13491702</v>
      </c>
      <c r="BG19">
        <v>449518806.932311</v>
      </c>
      <c r="BH19">
        <v>454790808.74919498</v>
      </c>
      <c r="BI19">
        <v>449870487.39753902</v>
      </c>
      <c r="BJ19">
        <v>459941199.22941798</v>
      </c>
      <c r="BK19">
        <v>452240774.81685299</v>
      </c>
      <c r="BL19">
        <v>458454152.52688098</v>
      </c>
      <c r="BM19">
        <v>459616028.006567</v>
      </c>
      <c r="BN19">
        <v>462042087.032538</v>
      </c>
      <c r="BO19">
        <v>451626092.78934503</v>
      </c>
      <c r="BP19">
        <v>458637912.25075799</v>
      </c>
      <c r="BQ19">
        <v>459813490.92638803</v>
      </c>
      <c r="BR19">
        <v>453133107.92314303</v>
      </c>
      <c r="BS19">
        <v>462549256.76455498</v>
      </c>
      <c r="BT19">
        <v>452474182.13209403</v>
      </c>
      <c r="BU19">
        <v>458339927.07020903</v>
      </c>
      <c r="BV19">
        <v>448603254.208287</v>
      </c>
      <c r="BW19">
        <v>459442495.41646999</v>
      </c>
      <c r="BX19">
        <v>453447849.49772203</v>
      </c>
      <c r="BY19">
        <v>459140737.69912499</v>
      </c>
      <c r="BZ19">
        <v>460341121.21886998</v>
      </c>
      <c r="CA19">
        <v>453637517.22731501</v>
      </c>
      <c r="CB19">
        <v>455244958.58056098</v>
      </c>
      <c r="CC19">
        <v>460618977.06361097</v>
      </c>
      <c r="CD19">
        <v>457775773.064578</v>
      </c>
      <c r="CE19">
        <v>458872611.95534599</v>
      </c>
      <c r="CF19">
        <v>462470956.577815</v>
      </c>
      <c r="CG19">
        <v>449754642.676642</v>
      </c>
      <c r="CH19">
        <v>454699274.77457201</v>
      </c>
      <c r="CI19">
        <v>450574019.19793099</v>
      </c>
      <c r="CJ19">
        <v>458777132.77873701</v>
      </c>
      <c r="CK19">
        <v>459097072.10203499</v>
      </c>
      <c r="CL19">
        <v>459332681.626333</v>
      </c>
      <c r="CM19">
        <v>460504694.55329603</v>
      </c>
      <c r="CN19">
        <v>461752916.918176</v>
      </c>
      <c r="CO19">
        <v>460608326.71918899</v>
      </c>
      <c r="CP19">
        <v>453070846.46538001</v>
      </c>
      <c r="CQ19">
        <v>449568789.20868498</v>
      </c>
      <c r="CR19">
        <v>454030543.37212503</v>
      </c>
      <c r="CS19">
        <v>461917550.14636701</v>
      </c>
      <c r="CT19">
        <v>452402780.487225</v>
      </c>
      <c r="CU19">
        <v>460133732.02834302</v>
      </c>
      <c r="CV19">
        <v>452127567.376688</v>
      </c>
      <c r="CW19">
        <v>455382466.608778</v>
      </c>
    </row>
    <row r="20" spans="1:101" x14ac:dyDescent="0.2">
      <c r="A20">
        <v>17</v>
      </c>
      <c r="B20">
        <v>1274935133.07669</v>
      </c>
      <c r="C20">
        <v>1276261566.0037799</v>
      </c>
      <c r="D20">
        <v>1434352931.00719</v>
      </c>
      <c r="E20">
        <v>1294349776.82654</v>
      </c>
      <c r="F20">
        <v>1296459500.25512</v>
      </c>
      <c r="G20">
        <v>1325349714.4338801</v>
      </c>
      <c r="H20">
        <v>1430149947.48879</v>
      </c>
      <c r="I20">
        <v>1406937745.63205</v>
      </c>
      <c r="J20">
        <v>1417279274.52738</v>
      </c>
      <c r="K20">
        <v>1416548764.37499</v>
      </c>
      <c r="L20">
        <v>1329346952.27789</v>
      </c>
      <c r="M20">
        <v>1432029012.0513201</v>
      </c>
      <c r="N20">
        <v>1301363006.7939999</v>
      </c>
      <c r="O20">
        <v>1298237384.01302</v>
      </c>
      <c r="P20">
        <v>1318308973.6078801</v>
      </c>
      <c r="Q20">
        <v>1375349711.95223</v>
      </c>
      <c r="R20">
        <v>1362702123.5127599</v>
      </c>
      <c r="S20">
        <v>1320918817.3085799</v>
      </c>
      <c r="T20">
        <v>1403776940.1366301</v>
      </c>
      <c r="U20">
        <v>1373541077.51616</v>
      </c>
      <c r="V20">
        <v>1431992704.2149701</v>
      </c>
      <c r="W20">
        <v>1360994343.93836</v>
      </c>
      <c r="X20">
        <v>1349694249.9224401</v>
      </c>
      <c r="Y20">
        <v>1355719647.3633001</v>
      </c>
      <c r="Z20">
        <v>1311553846.27653</v>
      </c>
      <c r="AA20">
        <v>1368886031.4000001</v>
      </c>
      <c r="AB20">
        <v>1303890641.8803501</v>
      </c>
      <c r="AC20">
        <v>1369991854.94029</v>
      </c>
      <c r="AD20">
        <v>1403606316.5570199</v>
      </c>
      <c r="AE20">
        <v>1365227946.5492301</v>
      </c>
      <c r="AF20">
        <v>1421621782.22246</v>
      </c>
      <c r="AG20">
        <v>1426298178.18907</v>
      </c>
      <c r="AH20">
        <v>1422860429.23469</v>
      </c>
      <c r="AI20">
        <v>1426036192.6356599</v>
      </c>
      <c r="AJ20">
        <v>1310626157.17188</v>
      </c>
      <c r="AK20">
        <v>1345344089.6059599</v>
      </c>
      <c r="AL20">
        <v>1379907819.7553799</v>
      </c>
      <c r="AM20">
        <v>1358002106.4884</v>
      </c>
      <c r="AN20">
        <v>1417914464.73683</v>
      </c>
      <c r="AO20">
        <v>1367060353.0114</v>
      </c>
      <c r="AP20">
        <v>1354651249.9777501</v>
      </c>
      <c r="AQ20">
        <v>1323037587.3239</v>
      </c>
      <c r="AR20">
        <v>1338531748.5568399</v>
      </c>
      <c r="AS20">
        <v>1375820430.06353</v>
      </c>
      <c r="AT20">
        <v>1433014931.42224</v>
      </c>
      <c r="AU20">
        <v>1330503918.61778</v>
      </c>
      <c r="AV20">
        <v>1382258424.29017</v>
      </c>
      <c r="AW20">
        <v>1408656190.78355</v>
      </c>
      <c r="AX20">
        <v>1424461224.2230401</v>
      </c>
      <c r="AY20">
        <v>1348725615.8536799</v>
      </c>
      <c r="AZ20">
        <v>1419949334.2751701</v>
      </c>
      <c r="BA20">
        <v>1340426181.4658101</v>
      </c>
      <c r="BB20">
        <v>1332282768.31511</v>
      </c>
      <c r="BC20">
        <v>1308753885.7843699</v>
      </c>
      <c r="BD20">
        <v>1372122009.3656199</v>
      </c>
      <c r="BE20">
        <v>1304823644.3062201</v>
      </c>
      <c r="BF20">
        <v>1413270701.4184401</v>
      </c>
      <c r="BG20">
        <v>1313925464.3932099</v>
      </c>
      <c r="BH20">
        <v>1352732336.9590099</v>
      </c>
      <c r="BI20">
        <v>1317243827.17786</v>
      </c>
      <c r="BJ20">
        <v>1396035069.20891</v>
      </c>
      <c r="BK20">
        <v>1335413449.31774</v>
      </c>
      <c r="BL20">
        <v>1383712485.2648101</v>
      </c>
      <c r="BM20">
        <v>1392330749.67717</v>
      </c>
      <c r="BN20">
        <v>1411342719.5550699</v>
      </c>
      <c r="BO20">
        <v>1331151462.4216101</v>
      </c>
      <c r="BP20">
        <v>1385368025.152</v>
      </c>
      <c r="BQ20">
        <v>1394096601.8624201</v>
      </c>
      <c r="BR20">
        <v>1341974329.81552</v>
      </c>
      <c r="BS20">
        <v>1416636148.0257399</v>
      </c>
      <c r="BT20">
        <v>1336819138.4442599</v>
      </c>
      <c r="BU20">
        <v>1383135643.7550199</v>
      </c>
      <c r="BV20">
        <v>1306850581.4804599</v>
      </c>
      <c r="BW20">
        <v>1390884400.92961</v>
      </c>
      <c r="BX20">
        <v>1345395050.03618</v>
      </c>
      <c r="BY20">
        <v>1388627560.97826</v>
      </c>
      <c r="BZ20">
        <v>1398153937.00457</v>
      </c>
      <c r="CA20">
        <v>1346373047.2321301</v>
      </c>
      <c r="CB20">
        <v>1358767577.7103</v>
      </c>
      <c r="CC20">
        <v>1400795968.30335</v>
      </c>
      <c r="CD20">
        <v>1378708103.05393</v>
      </c>
      <c r="CE20">
        <v>1387155417.09747</v>
      </c>
      <c r="CF20">
        <v>1415950689.53706</v>
      </c>
      <c r="CG20">
        <v>1316229683.1382799</v>
      </c>
      <c r="CH20">
        <v>1353755026.33465</v>
      </c>
      <c r="CI20">
        <v>1322187355.6658499</v>
      </c>
      <c r="CJ20">
        <v>1385947054.57147</v>
      </c>
      <c r="CK20">
        <v>1389182960.7063501</v>
      </c>
      <c r="CL20">
        <v>1390123562.0061901</v>
      </c>
      <c r="CM20">
        <v>1400363360.0049901</v>
      </c>
      <c r="CN20">
        <v>1409475744.5706301</v>
      </c>
      <c r="CO20">
        <v>1400872518.6071701</v>
      </c>
      <c r="CP20">
        <v>1341884682.13095</v>
      </c>
      <c r="CQ20">
        <v>1314924037.72855</v>
      </c>
      <c r="CR20">
        <v>1349083812.1422</v>
      </c>
      <c r="CS20">
        <v>1411521047.70403</v>
      </c>
      <c r="CT20">
        <v>1336826522.12919</v>
      </c>
      <c r="CU20">
        <v>1397473730.62728</v>
      </c>
      <c r="CV20">
        <v>1334141833.17749</v>
      </c>
      <c r="CW20">
        <v>1358143670.1707101</v>
      </c>
    </row>
    <row r="21" spans="1:101" x14ac:dyDescent="0.2">
      <c r="A21">
        <v>18</v>
      </c>
      <c r="B21">
        <v>378382315.73855299</v>
      </c>
      <c r="C21">
        <v>378022385.96659899</v>
      </c>
      <c r="D21">
        <v>423662237.78553402</v>
      </c>
      <c r="E21">
        <v>384592652.92130899</v>
      </c>
      <c r="F21">
        <v>384088057.87543303</v>
      </c>
      <c r="G21">
        <v>392910502.52190799</v>
      </c>
      <c r="H21">
        <v>423638521.95944899</v>
      </c>
      <c r="I21">
        <v>417600919.68840599</v>
      </c>
      <c r="J21">
        <v>420493366.29743898</v>
      </c>
      <c r="K21">
        <v>418084744.11840999</v>
      </c>
      <c r="L21">
        <v>394171574.47307599</v>
      </c>
      <c r="M21">
        <v>423695361.77310699</v>
      </c>
      <c r="N21">
        <v>385586412.54090899</v>
      </c>
      <c r="O21">
        <v>384653512.85247397</v>
      </c>
      <c r="P21">
        <v>390859995.45424497</v>
      </c>
      <c r="Q21">
        <v>408058098.97114998</v>
      </c>
      <c r="R21">
        <v>404226692.58093703</v>
      </c>
      <c r="S21">
        <v>391679962.56677198</v>
      </c>
      <c r="T21">
        <v>416671407.263515</v>
      </c>
      <c r="U21">
        <v>407546759.47788501</v>
      </c>
      <c r="V21">
        <v>423135109.76662302</v>
      </c>
      <c r="W21">
        <v>403671954.67435002</v>
      </c>
      <c r="X21">
        <v>400341408.11568499</v>
      </c>
      <c r="Y21">
        <v>402094093.52839398</v>
      </c>
      <c r="Z21">
        <v>388786247.05420202</v>
      </c>
      <c r="AA21">
        <v>406102331.60681897</v>
      </c>
      <c r="AB21">
        <v>386406618.35744202</v>
      </c>
      <c r="AC21">
        <v>406411535.13909</v>
      </c>
      <c r="AD21">
        <v>416532891.31741399</v>
      </c>
      <c r="AE21">
        <v>405093663.85002899</v>
      </c>
      <c r="AF21">
        <v>420592546.74138403</v>
      </c>
      <c r="AG21">
        <v>422037807.80562401</v>
      </c>
      <c r="AH21">
        <v>420980231.51334798</v>
      </c>
      <c r="AI21">
        <v>422199206.90283501</v>
      </c>
      <c r="AJ21">
        <v>388389745.93833798</v>
      </c>
      <c r="AK21">
        <v>399048843.42407799</v>
      </c>
      <c r="AL21">
        <v>409584918.76493502</v>
      </c>
      <c r="AM21">
        <v>402860108.75917298</v>
      </c>
      <c r="AN21">
        <v>418582612.708547</v>
      </c>
      <c r="AO21">
        <v>405552918.36520499</v>
      </c>
      <c r="AP21">
        <v>401951821.29794502</v>
      </c>
      <c r="AQ21">
        <v>392120588.579763</v>
      </c>
      <c r="AR21">
        <v>397046301.20340598</v>
      </c>
      <c r="AS21">
        <v>408427449.40162098</v>
      </c>
      <c r="AT21">
        <v>423495885.742782</v>
      </c>
      <c r="AU21">
        <v>394485728.88958198</v>
      </c>
      <c r="AV21">
        <v>410084527.22921097</v>
      </c>
      <c r="AW21">
        <v>417833734.000848</v>
      </c>
      <c r="AX21">
        <v>421479482.50614202</v>
      </c>
      <c r="AY21">
        <v>399994286.62206</v>
      </c>
      <c r="AZ21">
        <v>420319291.68545097</v>
      </c>
      <c r="BA21">
        <v>397578760.77893198</v>
      </c>
      <c r="BB21">
        <v>395047590.896501</v>
      </c>
      <c r="BC21">
        <v>387868941.72412503</v>
      </c>
      <c r="BD21">
        <v>407210969.254646</v>
      </c>
      <c r="BE21">
        <v>386650781.47796899</v>
      </c>
      <c r="BF21">
        <v>419515844.19594097</v>
      </c>
      <c r="BG21">
        <v>389557564.64077097</v>
      </c>
      <c r="BH21">
        <v>401308738.59459102</v>
      </c>
      <c r="BI21">
        <v>390562778.63681197</v>
      </c>
      <c r="BJ21">
        <v>414237829.47832602</v>
      </c>
      <c r="BK21">
        <v>396075988.27299398</v>
      </c>
      <c r="BL21">
        <v>410624298.62675202</v>
      </c>
      <c r="BM21">
        <v>413219287.32503802</v>
      </c>
      <c r="BN21">
        <v>418827855.229155</v>
      </c>
      <c r="BO21">
        <v>394788361.51948601</v>
      </c>
      <c r="BP21">
        <v>411124132.30451798</v>
      </c>
      <c r="BQ21">
        <v>413862176.48314399</v>
      </c>
      <c r="BR21">
        <v>398050679.89324802</v>
      </c>
      <c r="BS21">
        <v>420352467.56898302</v>
      </c>
      <c r="BT21">
        <v>396523313.52161598</v>
      </c>
      <c r="BU21">
        <v>410429946.66872197</v>
      </c>
      <c r="BV21">
        <v>387438491.44781601</v>
      </c>
      <c r="BW21">
        <v>412793346.71524698</v>
      </c>
      <c r="BX21">
        <v>399140316.60352302</v>
      </c>
      <c r="BY21">
        <v>412039644.43542898</v>
      </c>
      <c r="BZ21">
        <v>415043650.48111498</v>
      </c>
      <c r="CA21">
        <v>399374933.81589103</v>
      </c>
      <c r="CB21">
        <v>402996452.73986602</v>
      </c>
      <c r="CC21">
        <v>415723422.89622903</v>
      </c>
      <c r="CD21">
        <v>409092935.51541698</v>
      </c>
      <c r="CE21">
        <v>411569307.51770502</v>
      </c>
      <c r="CF21">
        <v>420132654.39709002</v>
      </c>
      <c r="CG21">
        <v>390201369.99254698</v>
      </c>
      <c r="CH21">
        <v>401660073.77416998</v>
      </c>
      <c r="CI21">
        <v>392031260.31227797</v>
      </c>
      <c r="CJ21">
        <v>411322975.514431</v>
      </c>
      <c r="CK21">
        <v>412201094.564973</v>
      </c>
      <c r="CL21">
        <v>412480224.939973</v>
      </c>
      <c r="CM21">
        <v>415544689.73010999</v>
      </c>
      <c r="CN21">
        <v>418261593.22875202</v>
      </c>
      <c r="CO21">
        <v>415746829.78105903</v>
      </c>
      <c r="CP21">
        <v>397868203.14136499</v>
      </c>
      <c r="CQ21">
        <v>389819954.17278898</v>
      </c>
      <c r="CR21">
        <v>400197159.08452702</v>
      </c>
      <c r="CS21">
        <v>418817857.25015801</v>
      </c>
      <c r="CT21">
        <v>396496796.42087698</v>
      </c>
      <c r="CU21">
        <v>414698301.38221699</v>
      </c>
      <c r="CV21">
        <v>395606970.50134498</v>
      </c>
      <c r="CW21">
        <v>403097687.89000702</v>
      </c>
    </row>
    <row r="22" spans="1:101" x14ac:dyDescent="0.2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6" spans="1:101" x14ac:dyDescent="0.2">
      <c r="B26" t="s">
        <v>620</v>
      </c>
    </row>
    <row r="27" spans="1:101" x14ac:dyDescent="0.2">
      <c r="B27" t="s">
        <v>519</v>
      </c>
      <c r="C27" t="s">
        <v>520</v>
      </c>
      <c r="D27" t="s">
        <v>521</v>
      </c>
      <c r="E27" t="s">
        <v>522</v>
      </c>
      <c r="F27" t="s">
        <v>523</v>
      </c>
      <c r="G27" t="s">
        <v>524</v>
      </c>
      <c r="H27" t="s">
        <v>525</v>
      </c>
      <c r="I27" t="s">
        <v>526</v>
      </c>
      <c r="J27" t="s">
        <v>527</v>
      </c>
      <c r="K27" t="s">
        <v>528</v>
      </c>
      <c r="L27" t="s">
        <v>529</v>
      </c>
      <c r="M27" t="s">
        <v>530</v>
      </c>
      <c r="N27" t="s">
        <v>531</v>
      </c>
      <c r="O27" t="s">
        <v>532</v>
      </c>
      <c r="P27" t="s">
        <v>533</v>
      </c>
      <c r="Q27" t="s">
        <v>534</v>
      </c>
      <c r="R27" t="s">
        <v>535</v>
      </c>
      <c r="S27" t="s">
        <v>536</v>
      </c>
      <c r="T27" t="s">
        <v>537</v>
      </c>
      <c r="U27" t="s">
        <v>538</v>
      </c>
      <c r="V27" t="s">
        <v>539</v>
      </c>
      <c r="W27" t="s">
        <v>540</v>
      </c>
      <c r="X27" t="s">
        <v>541</v>
      </c>
      <c r="Y27" t="s">
        <v>542</v>
      </c>
      <c r="Z27" t="s">
        <v>543</v>
      </c>
      <c r="AA27" t="s">
        <v>544</v>
      </c>
      <c r="AB27" t="s">
        <v>545</v>
      </c>
      <c r="AC27" t="s">
        <v>546</v>
      </c>
      <c r="AD27" t="s">
        <v>547</v>
      </c>
      <c r="AE27" t="s">
        <v>548</v>
      </c>
      <c r="AF27" t="s">
        <v>549</v>
      </c>
      <c r="AG27" t="s">
        <v>550</v>
      </c>
      <c r="AH27" t="s">
        <v>551</v>
      </c>
      <c r="AI27" t="s">
        <v>552</v>
      </c>
      <c r="AJ27" t="s">
        <v>553</v>
      </c>
      <c r="AK27" t="s">
        <v>554</v>
      </c>
      <c r="AL27" t="s">
        <v>555</v>
      </c>
      <c r="AM27" t="s">
        <v>556</v>
      </c>
      <c r="AN27" t="s">
        <v>557</v>
      </c>
      <c r="AO27" t="s">
        <v>558</v>
      </c>
      <c r="AP27" t="s">
        <v>559</v>
      </c>
      <c r="AQ27" t="s">
        <v>560</v>
      </c>
      <c r="AR27" t="s">
        <v>561</v>
      </c>
      <c r="AS27" t="s">
        <v>562</v>
      </c>
      <c r="AT27" t="s">
        <v>563</v>
      </c>
      <c r="AU27" t="s">
        <v>564</v>
      </c>
      <c r="AV27" t="s">
        <v>565</v>
      </c>
      <c r="AW27" t="s">
        <v>566</v>
      </c>
      <c r="AX27" t="s">
        <v>567</v>
      </c>
      <c r="AY27" t="s">
        <v>568</v>
      </c>
      <c r="AZ27" t="s">
        <v>569</v>
      </c>
      <c r="BA27" t="s">
        <v>570</v>
      </c>
      <c r="BB27" t="s">
        <v>571</v>
      </c>
      <c r="BC27" t="s">
        <v>572</v>
      </c>
      <c r="BD27" t="s">
        <v>573</v>
      </c>
      <c r="BE27" t="s">
        <v>574</v>
      </c>
      <c r="BF27" t="s">
        <v>575</v>
      </c>
      <c r="BG27" t="s">
        <v>576</v>
      </c>
      <c r="BH27" t="s">
        <v>577</v>
      </c>
      <c r="BI27" t="s">
        <v>578</v>
      </c>
      <c r="BJ27" t="s">
        <v>579</v>
      </c>
      <c r="BK27" t="s">
        <v>580</v>
      </c>
      <c r="BL27" t="s">
        <v>581</v>
      </c>
      <c r="BM27" t="s">
        <v>582</v>
      </c>
      <c r="BN27" t="s">
        <v>583</v>
      </c>
      <c r="BO27" t="s">
        <v>584</v>
      </c>
      <c r="BP27" t="s">
        <v>585</v>
      </c>
      <c r="BQ27" t="s">
        <v>586</v>
      </c>
      <c r="BR27" t="s">
        <v>587</v>
      </c>
      <c r="BS27" t="s">
        <v>588</v>
      </c>
      <c r="BT27" t="s">
        <v>589</v>
      </c>
      <c r="BU27" t="s">
        <v>590</v>
      </c>
      <c r="BV27" t="s">
        <v>591</v>
      </c>
      <c r="BW27" t="s">
        <v>592</v>
      </c>
      <c r="BX27" t="s">
        <v>593</v>
      </c>
      <c r="BY27" t="s">
        <v>594</v>
      </c>
      <c r="BZ27" t="s">
        <v>595</v>
      </c>
      <c r="CA27" t="s">
        <v>596</v>
      </c>
      <c r="CB27" t="s">
        <v>597</v>
      </c>
      <c r="CC27" t="s">
        <v>598</v>
      </c>
      <c r="CD27" t="s">
        <v>599</v>
      </c>
      <c r="CE27" t="s">
        <v>600</v>
      </c>
      <c r="CF27" t="s">
        <v>601</v>
      </c>
      <c r="CG27" t="s">
        <v>602</v>
      </c>
      <c r="CH27" t="s">
        <v>603</v>
      </c>
      <c r="CI27" t="s">
        <v>604</v>
      </c>
      <c r="CJ27" t="s">
        <v>605</v>
      </c>
      <c r="CK27" t="s">
        <v>606</v>
      </c>
      <c r="CL27" t="s">
        <v>607</v>
      </c>
      <c r="CM27" t="s">
        <v>608</v>
      </c>
      <c r="CN27" t="s">
        <v>609</v>
      </c>
      <c r="CO27" t="s">
        <v>610</v>
      </c>
      <c r="CP27" t="s">
        <v>611</v>
      </c>
      <c r="CQ27" t="s">
        <v>612</v>
      </c>
      <c r="CR27" t="s">
        <v>613</v>
      </c>
      <c r="CS27" t="s">
        <v>614</v>
      </c>
      <c r="CT27" t="s">
        <v>615</v>
      </c>
      <c r="CU27" t="s">
        <v>616</v>
      </c>
      <c r="CV27" t="s">
        <v>617</v>
      </c>
      <c r="CW27" t="s">
        <v>618</v>
      </c>
    </row>
    <row r="28" spans="1:101" x14ac:dyDescent="0.2">
      <c r="A28">
        <v>0</v>
      </c>
      <c r="B28">
        <v>6660672.7733653197</v>
      </c>
      <c r="C28">
        <v>4565468.6078372505</v>
      </c>
      <c r="D28">
        <v>4603764.8935709205</v>
      </c>
      <c r="E28">
        <v>6671608.7642277703</v>
      </c>
      <c r="F28">
        <v>6651451.4196805498</v>
      </c>
      <c r="G28">
        <v>6394029.40154971</v>
      </c>
      <c r="H28">
        <v>5388184.0502667204</v>
      </c>
      <c r="I28">
        <v>6715325.9828646705</v>
      </c>
      <c r="J28">
        <v>5661802.3248149101</v>
      </c>
      <c r="K28">
        <v>4603500.7560656099</v>
      </c>
      <c r="L28">
        <v>4565468.6078372505</v>
      </c>
      <c r="M28">
        <v>6662365.9098513499</v>
      </c>
      <c r="N28">
        <v>5163782.1000769399</v>
      </c>
      <c r="O28">
        <v>6736505.9273634003</v>
      </c>
      <c r="P28">
        <v>6021089.5847455896</v>
      </c>
      <c r="Q28">
        <v>6557681.3367412603</v>
      </c>
      <c r="R28">
        <v>5837165.8670394104</v>
      </c>
      <c r="S28">
        <v>4961205.8368321899</v>
      </c>
      <c r="T28">
        <v>6608448.9854000704</v>
      </c>
      <c r="U28">
        <v>4793925.6462864298</v>
      </c>
      <c r="V28">
        <v>4846905.1275902698</v>
      </c>
      <c r="W28">
        <v>4646351.6435058499</v>
      </c>
      <c r="X28">
        <v>5025508.08882525</v>
      </c>
      <c r="Y28">
        <v>4794897.5551193496</v>
      </c>
      <c r="Z28">
        <v>6287024.3444387596</v>
      </c>
      <c r="AA28">
        <v>6282423.0433245404</v>
      </c>
      <c r="AB28">
        <v>6423140.5733894696</v>
      </c>
      <c r="AC28">
        <v>6656837.7456437498</v>
      </c>
      <c r="AD28">
        <v>4826897.49540821</v>
      </c>
      <c r="AE28">
        <v>5097782.4921063296</v>
      </c>
      <c r="AF28">
        <v>4634386.2774472795</v>
      </c>
      <c r="AG28">
        <v>5553430.4301304901</v>
      </c>
      <c r="AH28">
        <v>6135091.1385790603</v>
      </c>
      <c r="AI28">
        <v>5328883.2030288503</v>
      </c>
      <c r="AJ28">
        <v>6041406.9843451902</v>
      </c>
      <c r="AK28">
        <v>6295560.91312961</v>
      </c>
      <c r="AL28">
        <v>5079013.7346961396</v>
      </c>
      <c r="AM28">
        <v>5036097.27586246</v>
      </c>
      <c r="AN28">
        <v>5426422.9408355299</v>
      </c>
      <c r="AO28">
        <v>5129959.9925309001</v>
      </c>
      <c r="AP28">
        <v>6142486.9799781302</v>
      </c>
      <c r="AQ28">
        <v>5184443.98622334</v>
      </c>
      <c r="AR28">
        <v>4711073.2461030101</v>
      </c>
      <c r="AS28">
        <v>5799169.5011697402</v>
      </c>
      <c r="AT28">
        <v>5885274.7299008202</v>
      </c>
      <c r="AU28">
        <v>5191088.7657607701</v>
      </c>
      <c r="AV28">
        <v>5518127.8736587204</v>
      </c>
      <c r="AW28">
        <v>5979487.8594327997</v>
      </c>
      <c r="AX28">
        <v>5720347.7808685498</v>
      </c>
      <c r="AY28">
        <v>5494089.7109987997</v>
      </c>
      <c r="AZ28">
        <v>4741475.26098161</v>
      </c>
      <c r="BA28">
        <v>5277560.6549720103</v>
      </c>
      <c r="BB28">
        <v>4670527.5548662301</v>
      </c>
      <c r="BC28">
        <v>5273466.4033008097</v>
      </c>
      <c r="BD28">
        <v>5017487.2373976996</v>
      </c>
      <c r="BE28">
        <v>4859072.9590342902</v>
      </c>
      <c r="BF28">
        <v>5758990.3051334899</v>
      </c>
      <c r="BG28">
        <v>4606991.2168388404</v>
      </c>
      <c r="BH28">
        <v>4944042.7016925802</v>
      </c>
      <c r="BI28">
        <v>6073423.2788936999</v>
      </c>
      <c r="BJ28">
        <v>6008037.4060364496</v>
      </c>
      <c r="BK28">
        <v>4687524.1640558904</v>
      </c>
      <c r="BL28">
        <v>5345729.5056683198</v>
      </c>
      <c r="BM28">
        <v>5197751.3438972803</v>
      </c>
      <c r="BN28">
        <v>4904415.5170891099</v>
      </c>
      <c r="BO28">
        <v>5340162.0433515999</v>
      </c>
      <c r="BP28">
        <v>5370924.2883109897</v>
      </c>
      <c r="BQ28">
        <v>4950341.6404710598</v>
      </c>
      <c r="BR28">
        <v>5830146.8665910503</v>
      </c>
      <c r="BS28">
        <v>5795078.32766442</v>
      </c>
      <c r="BT28">
        <v>5918392.8709089998</v>
      </c>
      <c r="BU28">
        <v>5615657.0167584298</v>
      </c>
      <c r="BV28">
        <v>4853930.0180548299</v>
      </c>
      <c r="BW28">
        <v>5387243.3973747296</v>
      </c>
      <c r="BX28">
        <v>4948424.0208683396</v>
      </c>
      <c r="BY28">
        <v>5222945.41833694</v>
      </c>
      <c r="BZ28">
        <v>6202955.9653254002</v>
      </c>
      <c r="CA28">
        <v>5627486.6381283104</v>
      </c>
      <c r="CB28">
        <v>5293011.8816506099</v>
      </c>
      <c r="CC28">
        <v>6583996.5734622199</v>
      </c>
      <c r="CD28">
        <v>5303899.2341182502</v>
      </c>
      <c r="CE28">
        <v>6425919.0184255699</v>
      </c>
      <c r="CF28">
        <v>4576887.2049530502</v>
      </c>
      <c r="CG28">
        <v>5681619.9555011801</v>
      </c>
      <c r="CH28">
        <v>6323196.0984468404</v>
      </c>
      <c r="CI28">
        <v>4913132.9961781502</v>
      </c>
      <c r="CJ28">
        <v>5232338.9994148696</v>
      </c>
      <c r="CK28">
        <v>5458841.2727000704</v>
      </c>
      <c r="CL28">
        <v>4691281.7875792002</v>
      </c>
      <c r="CM28">
        <v>4693934.39552458</v>
      </c>
      <c r="CN28">
        <v>5942710.0473864703</v>
      </c>
      <c r="CO28">
        <v>6457550.0093755098</v>
      </c>
      <c r="CP28">
        <v>5974598.7282052198</v>
      </c>
      <c r="CQ28">
        <v>6471852.3539433395</v>
      </c>
      <c r="CR28">
        <v>5672937.0560705597</v>
      </c>
      <c r="CS28">
        <v>5338889.0500175003</v>
      </c>
      <c r="CT28">
        <v>6396226.93625056</v>
      </c>
      <c r="CU28">
        <v>5308040.8112412002</v>
      </c>
      <c r="CV28">
        <v>6255613.9751028102</v>
      </c>
      <c r="CW28">
        <v>6610999.9830460204</v>
      </c>
    </row>
    <row r="29" spans="1:101" x14ac:dyDescent="0.2">
      <c r="A29">
        <v>1</v>
      </c>
      <c r="B29">
        <v>208700.458629584</v>
      </c>
      <c r="C29">
        <v>141125.60297524501</v>
      </c>
      <c r="D29">
        <v>143614.05595149199</v>
      </c>
      <c r="E29">
        <v>240858.23534190599</v>
      </c>
      <c r="F29">
        <v>208022.72940751599</v>
      </c>
      <c r="G29">
        <v>177755.66029923499</v>
      </c>
      <c r="H29">
        <v>193682.79007175801</v>
      </c>
      <c r="I29">
        <v>273359.72385789099</v>
      </c>
      <c r="J29">
        <v>158012.11303043799</v>
      </c>
      <c r="K29">
        <v>141919.104612211</v>
      </c>
      <c r="L29">
        <v>141125.60297524501</v>
      </c>
      <c r="M29">
        <v>209743.97986093699</v>
      </c>
      <c r="N29">
        <v>219377.55006914501</v>
      </c>
      <c r="O29">
        <v>192718.14187025899</v>
      </c>
      <c r="P29">
        <v>183821.48513962101</v>
      </c>
      <c r="Q29">
        <v>187385.057898164</v>
      </c>
      <c r="R29">
        <v>160031.08061658201</v>
      </c>
      <c r="S29">
        <v>183529.37192198099</v>
      </c>
      <c r="T29">
        <v>268435.45935328299</v>
      </c>
      <c r="U29">
        <v>148140.24731062399</v>
      </c>
      <c r="V29">
        <v>146899.04490836401</v>
      </c>
      <c r="W29">
        <v>143164.27945028001</v>
      </c>
      <c r="X29">
        <v>153779.47795633299</v>
      </c>
      <c r="Y29">
        <v>144304.19683392101</v>
      </c>
      <c r="Z29">
        <v>193387.09283250899</v>
      </c>
      <c r="AA29">
        <v>255388.488116511</v>
      </c>
      <c r="AB29">
        <v>200003.311401146</v>
      </c>
      <c r="AC29">
        <v>271470.30915793998</v>
      </c>
      <c r="AD29">
        <v>145485.12613811699</v>
      </c>
      <c r="AE29">
        <v>156294.212817875</v>
      </c>
      <c r="AF29">
        <v>144596.70191058799</v>
      </c>
      <c r="AG29">
        <v>168931.897445107</v>
      </c>
      <c r="AH29">
        <v>184088.71074531501</v>
      </c>
      <c r="AI29">
        <v>189748.03760743301</v>
      </c>
      <c r="AJ29">
        <v>246577.498199781</v>
      </c>
      <c r="AK29">
        <v>176293.79208756101</v>
      </c>
      <c r="AL29">
        <v>154422.176181866</v>
      </c>
      <c r="AM29">
        <v>154644.388079725</v>
      </c>
      <c r="AN29">
        <v>168225.14885318701</v>
      </c>
      <c r="AO29">
        <v>154543.224987756</v>
      </c>
      <c r="AP29">
        <v>254517.950620091</v>
      </c>
      <c r="AQ29">
        <v>158218.44821097</v>
      </c>
      <c r="AR29">
        <v>145800.96093699001</v>
      </c>
      <c r="AS29">
        <v>207866.65827744201</v>
      </c>
      <c r="AT29">
        <v>178805.075969328</v>
      </c>
      <c r="AU29">
        <v>161283.92942026799</v>
      </c>
      <c r="AV29">
        <v>198562.03940420301</v>
      </c>
      <c r="AW29">
        <v>165080.41960177699</v>
      </c>
      <c r="AX29">
        <v>174770.73763474799</v>
      </c>
      <c r="AY29">
        <v>195549.431325707</v>
      </c>
      <c r="AZ29">
        <v>147370.10469706799</v>
      </c>
      <c r="BA29">
        <v>160934.51296829499</v>
      </c>
      <c r="BB29">
        <v>143631.387987258</v>
      </c>
      <c r="BC29">
        <v>159683.66171020601</v>
      </c>
      <c r="BD29">
        <v>154143.33508336201</v>
      </c>
      <c r="BE29">
        <v>151252.59073068999</v>
      </c>
      <c r="BF29">
        <v>205142.49500382901</v>
      </c>
      <c r="BG29">
        <v>142194.21981186699</v>
      </c>
      <c r="BH29">
        <v>151245.01841230501</v>
      </c>
      <c r="BI29">
        <v>180652.51699658899</v>
      </c>
      <c r="BJ29">
        <v>183079.23427419199</v>
      </c>
      <c r="BK29">
        <v>144434.105148181</v>
      </c>
      <c r="BL29">
        <v>191088.30886127101</v>
      </c>
      <c r="BM29">
        <v>158750.70036512299</v>
      </c>
      <c r="BN29">
        <v>150151.47626718599</v>
      </c>
      <c r="BO29">
        <v>163689.54781933699</v>
      </c>
      <c r="BP29">
        <v>191618.756208632</v>
      </c>
      <c r="BQ29">
        <v>151335.179776278</v>
      </c>
      <c r="BR29">
        <v>175401.86668604301</v>
      </c>
      <c r="BS29">
        <v>177563.595182697</v>
      </c>
      <c r="BT29">
        <v>168288.98311644301</v>
      </c>
      <c r="BU29">
        <v>158152.066933066</v>
      </c>
      <c r="BV29">
        <v>148000.33484329301</v>
      </c>
      <c r="BW29">
        <v>160856.46934434099</v>
      </c>
      <c r="BX29">
        <v>151587.99052461601</v>
      </c>
      <c r="BY29">
        <v>157463.87254206001</v>
      </c>
      <c r="BZ29">
        <v>189739.72334814901</v>
      </c>
      <c r="CA29">
        <v>180583.67071214499</v>
      </c>
      <c r="CB29">
        <v>161173.53025400499</v>
      </c>
      <c r="CC29">
        <v>268289.82106636802</v>
      </c>
      <c r="CD29">
        <v>161313.92123492801</v>
      </c>
      <c r="CE29">
        <v>262639.98559045902</v>
      </c>
      <c r="CF29">
        <v>141439.905075141</v>
      </c>
      <c r="CG29">
        <v>172059.53578841401</v>
      </c>
      <c r="CH29">
        <v>198274.16373742599</v>
      </c>
      <c r="CI29">
        <v>149211.136785635</v>
      </c>
      <c r="CJ29">
        <v>159272.68683561901</v>
      </c>
      <c r="CK29">
        <v>193210.80184126901</v>
      </c>
      <c r="CL29">
        <v>144403.614289199</v>
      </c>
      <c r="CM29">
        <v>144476.481345637</v>
      </c>
      <c r="CN29">
        <v>179289.00959122801</v>
      </c>
      <c r="CO29">
        <v>260949.46285538701</v>
      </c>
      <c r="CP29">
        <v>243797.10303268</v>
      </c>
      <c r="CQ29">
        <v>261377.753165848</v>
      </c>
      <c r="CR29">
        <v>182159.36001005999</v>
      </c>
      <c r="CS29">
        <v>188119.525181829</v>
      </c>
      <c r="CT29">
        <v>259831.52809161699</v>
      </c>
      <c r="CU29">
        <v>191299.05918810799</v>
      </c>
      <c r="CV29">
        <v>221056.00880415001</v>
      </c>
      <c r="CW29">
        <v>269078.93404596503</v>
      </c>
    </row>
    <row r="30" spans="1:101" x14ac:dyDescent="0.2">
      <c r="A30">
        <v>2</v>
      </c>
      <c r="B30">
        <v>30840.1554373498</v>
      </c>
      <c r="C30">
        <v>26737.510442959599</v>
      </c>
      <c r="D30">
        <v>26788.371052809602</v>
      </c>
      <c r="E30">
        <v>30818.781424695699</v>
      </c>
      <c r="F30">
        <v>30780.204878249799</v>
      </c>
      <c r="G30">
        <v>29828.7439016643</v>
      </c>
      <c r="H30">
        <v>28693.953192047898</v>
      </c>
      <c r="I30">
        <v>30863.971727063999</v>
      </c>
      <c r="J30">
        <v>28465.144006974901</v>
      </c>
      <c r="K30">
        <v>26768.217843407401</v>
      </c>
      <c r="L30">
        <v>26737.510442959599</v>
      </c>
      <c r="M30">
        <v>30798.978729264301</v>
      </c>
      <c r="N30">
        <v>28123.255197818798</v>
      </c>
      <c r="O30">
        <v>30270.0898873078</v>
      </c>
      <c r="P30">
        <v>29849.931452807999</v>
      </c>
      <c r="Q30">
        <v>29967.474428388101</v>
      </c>
      <c r="R30">
        <v>28785.028783281101</v>
      </c>
      <c r="S30">
        <v>27610.656856718</v>
      </c>
      <c r="T30">
        <v>30748.063816186499</v>
      </c>
      <c r="U30">
        <v>27335.4246430571</v>
      </c>
      <c r="V30">
        <v>27441.300246054801</v>
      </c>
      <c r="W30">
        <v>26924.373064871801</v>
      </c>
      <c r="X30">
        <v>27825.3990864892</v>
      </c>
      <c r="Y30">
        <v>27167.016439992101</v>
      </c>
      <c r="Z30">
        <v>30235.276543695101</v>
      </c>
      <c r="AA30">
        <v>30153.650494256701</v>
      </c>
      <c r="AB30">
        <v>30311.183336086498</v>
      </c>
      <c r="AC30">
        <v>30776.655552408301</v>
      </c>
      <c r="AD30">
        <v>27246.779862718398</v>
      </c>
      <c r="AE30">
        <v>28002.327656652302</v>
      </c>
      <c r="AF30">
        <v>26902.297044274201</v>
      </c>
      <c r="AG30">
        <v>28889.467539862701</v>
      </c>
      <c r="AH30">
        <v>29974.770856158</v>
      </c>
      <c r="AI30">
        <v>28515.756862451901</v>
      </c>
      <c r="AJ30">
        <v>29761.807139130698</v>
      </c>
      <c r="AK30">
        <v>29650.504190407199</v>
      </c>
      <c r="AL30">
        <v>27994.851195719199</v>
      </c>
      <c r="AM30">
        <v>27836.007807772701</v>
      </c>
      <c r="AN30">
        <v>28665.548331526799</v>
      </c>
      <c r="AO30">
        <v>28034.326640465799</v>
      </c>
      <c r="AP30">
        <v>29938.930893015699</v>
      </c>
      <c r="AQ30">
        <v>28265.487306049799</v>
      </c>
      <c r="AR30">
        <v>27158.9843675087</v>
      </c>
      <c r="AS30">
        <v>29347.593729706699</v>
      </c>
      <c r="AT30">
        <v>29433.4858398672</v>
      </c>
      <c r="AU30">
        <v>28181.6180236033</v>
      </c>
      <c r="AV30">
        <v>29072.3475092685</v>
      </c>
      <c r="AW30">
        <v>29076.432077365</v>
      </c>
      <c r="AX30">
        <v>29259.396607635699</v>
      </c>
      <c r="AY30">
        <v>28837.860936535501</v>
      </c>
      <c r="AZ30">
        <v>27139.4440626383</v>
      </c>
      <c r="BA30">
        <v>28401.090716860701</v>
      </c>
      <c r="BB30">
        <v>26947.940997501199</v>
      </c>
      <c r="BC30">
        <v>28332.0040201304</v>
      </c>
      <c r="BD30">
        <v>27802.835622999199</v>
      </c>
      <c r="BE30">
        <v>27481.953765441602</v>
      </c>
      <c r="BF30">
        <v>29313.414561579899</v>
      </c>
      <c r="BG30">
        <v>26834.774115288001</v>
      </c>
      <c r="BH30">
        <v>27635.345319057298</v>
      </c>
      <c r="BI30">
        <v>29779.3111500823</v>
      </c>
      <c r="BJ30">
        <v>29619.718979942099</v>
      </c>
      <c r="BK30">
        <v>27066.723462359201</v>
      </c>
      <c r="BL30">
        <v>28714.0662946952</v>
      </c>
      <c r="BM30">
        <v>28072.485126963998</v>
      </c>
      <c r="BN30">
        <v>27547.852243060399</v>
      </c>
      <c r="BO30">
        <v>28583.543476025199</v>
      </c>
      <c r="BP30">
        <v>28626.6963154716</v>
      </c>
      <c r="BQ30">
        <v>27740.7710099174</v>
      </c>
      <c r="BR30">
        <v>29477.429896597299</v>
      </c>
      <c r="BS30">
        <v>29304.629987998502</v>
      </c>
      <c r="BT30">
        <v>29062.019534712999</v>
      </c>
      <c r="BU30">
        <v>28334.637628824101</v>
      </c>
      <c r="BV30">
        <v>27347.0531847288</v>
      </c>
      <c r="BW30">
        <v>28635.629077259098</v>
      </c>
      <c r="BX30">
        <v>27754.483322588902</v>
      </c>
      <c r="BY30">
        <v>28247.141781743201</v>
      </c>
      <c r="BZ30">
        <v>30122.741463265898</v>
      </c>
      <c r="CA30">
        <v>29089.865029876299</v>
      </c>
      <c r="CB30">
        <v>28344.154582803902</v>
      </c>
      <c r="CC30">
        <v>30677.2240369557</v>
      </c>
      <c r="CD30">
        <v>28425.062181507801</v>
      </c>
      <c r="CE30">
        <v>30399.78959145</v>
      </c>
      <c r="CF30">
        <v>26765.5327024709</v>
      </c>
      <c r="CG30">
        <v>29057.5324078741</v>
      </c>
      <c r="CH30">
        <v>30394.1283775255</v>
      </c>
      <c r="CI30">
        <v>27588.425209458401</v>
      </c>
      <c r="CJ30">
        <v>28435.3211950533</v>
      </c>
      <c r="CK30">
        <v>28965.9497478874</v>
      </c>
      <c r="CL30">
        <v>27013.911942013699</v>
      </c>
      <c r="CM30">
        <v>26980.297096769398</v>
      </c>
      <c r="CN30">
        <v>29672.8681369806</v>
      </c>
      <c r="CO30">
        <v>30463.973368114501</v>
      </c>
      <c r="CP30">
        <v>29737.8395523529</v>
      </c>
      <c r="CQ30">
        <v>30481.596310726502</v>
      </c>
      <c r="CR30">
        <v>29230.0979529918</v>
      </c>
      <c r="CS30">
        <v>28635.689007308902</v>
      </c>
      <c r="CT30">
        <v>30350.098002873601</v>
      </c>
      <c r="CU30">
        <v>28436.395763136701</v>
      </c>
      <c r="CV30">
        <v>30255.279724757202</v>
      </c>
      <c r="CW30">
        <v>30708.936546612898</v>
      </c>
    </row>
    <row r="31" spans="1:101" x14ac:dyDescent="0.2">
      <c r="A31">
        <v>3</v>
      </c>
      <c r="B31">
        <v>1053596264.67567</v>
      </c>
      <c r="C31">
        <v>935773837.97163606</v>
      </c>
      <c r="D31">
        <v>937233772.23382497</v>
      </c>
      <c r="E31">
        <v>1052864172.41768</v>
      </c>
      <c r="F31">
        <v>1051738954.06037</v>
      </c>
      <c r="G31">
        <v>1024358997.2860301</v>
      </c>
      <c r="H31">
        <v>991915400.20527101</v>
      </c>
      <c r="I31">
        <v>1054161446.5820301</v>
      </c>
      <c r="J31">
        <v>985270054.108742</v>
      </c>
      <c r="K31">
        <v>936664185.68524694</v>
      </c>
      <c r="L31">
        <v>935773837.97163606</v>
      </c>
      <c r="M31">
        <v>1052302361.4770401</v>
      </c>
      <c r="N31">
        <v>975438216.70659697</v>
      </c>
      <c r="O31">
        <v>1037002592.68385</v>
      </c>
      <c r="P31">
        <v>1024984351.70315</v>
      </c>
      <c r="Q31">
        <v>1028515778.1399699</v>
      </c>
      <c r="R31">
        <v>994462500.62092698</v>
      </c>
      <c r="S31">
        <v>960769612.72828102</v>
      </c>
      <c r="T31">
        <v>1050976133.0652</v>
      </c>
      <c r="U31">
        <v>952970670.87405002</v>
      </c>
      <c r="V31">
        <v>956262289.47610605</v>
      </c>
      <c r="W31">
        <v>941090592.22861302</v>
      </c>
      <c r="X31">
        <v>967334381.09333503</v>
      </c>
      <c r="Y31">
        <v>947734546.24222195</v>
      </c>
      <c r="Z31">
        <v>1036130143.3459899</v>
      </c>
      <c r="AA31">
        <v>1033895814.2119401</v>
      </c>
      <c r="AB31">
        <v>1038127848.30295</v>
      </c>
      <c r="AC31">
        <v>1051785187.47022</v>
      </c>
      <c r="AD31">
        <v>950374224.30182695</v>
      </c>
      <c r="AE31">
        <v>972361320.73386002</v>
      </c>
      <c r="AF31">
        <v>940631039.24079299</v>
      </c>
      <c r="AG31">
        <v>997696983.00078797</v>
      </c>
      <c r="AH31">
        <v>1028379381.72683</v>
      </c>
      <c r="AI31">
        <v>986653265.41670406</v>
      </c>
      <c r="AJ31">
        <v>1022470786.72095</v>
      </c>
      <c r="AK31">
        <v>1019408687.61562</v>
      </c>
      <c r="AL31">
        <v>972085282.056247</v>
      </c>
      <c r="AM31">
        <v>967558146.05515897</v>
      </c>
      <c r="AN31">
        <v>991658934.58909202</v>
      </c>
      <c r="AO31">
        <v>972892559.60173595</v>
      </c>
      <c r="AP31">
        <v>1027947637.0023299</v>
      </c>
      <c r="AQ31">
        <v>980186637.89096701</v>
      </c>
      <c r="AR31">
        <v>948049877.74040902</v>
      </c>
      <c r="AS31">
        <v>1010753894.44017</v>
      </c>
      <c r="AT31">
        <v>1013341159.33013</v>
      </c>
      <c r="AU31">
        <v>977552470.55303502</v>
      </c>
      <c r="AV31">
        <v>1002807145.0838799</v>
      </c>
      <c r="AW31">
        <v>1002755294.9052</v>
      </c>
      <c r="AX31">
        <v>1008507637.2759399</v>
      </c>
      <c r="AY31">
        <v>996005977.92524803</v>
      </c>
      <c r="AZ31">
        <v>947497213.43550098</v>
      </c>
      <c r="BA31">
        <v>983773243.888762</v>
      </c>
      <c r="BB31">
        <v>941768318.714499</v>
      </c>
      <c r="BC31">
        <v>981514103.62430501</v>
      </c>
      <c r="BD31">
        <v>966505283.74688494</v>
      </c>
      <c r="BE31">
        <v>957282944.157336</v>
      </c>
      <c r="BF31">
        <v>1009647250.69873</v>
      </c>
      <c r="BG31">
        <v>938560722.71562099</v>
      </c>
      <c r="BH31">
        <v>962015595.60985196</v>
      </c>
      <c r="BI31">
        <v>1022984853.88684</v>
      </c>
      <c r="BJ31">
        <v>1018688154.8619601</v>
      </c>
      <c r="BK31">
        <v>945299904.23092306</v>
      </c>
      <c r="BL31">
        <v>992338368.27909803</v>
      </c>
      <c r="BM31">
        <v>974482853.92887104</v>
      </c>
      <c r="BN31">
        <v>958855704.10848606</v>
      </c>
      <c r="BO31">
        <v>989266159.82932496</v>
      </c>
      <c r="BP31">
        <v>989838858.28478301</v>
      </c>
      <c r="BQ31">
        <v>964879464.75704598</v>
      </c>
      <c r="BR31">
        <v>1014297688.28241</v>
      </c>
      <c r="BS31">
        <v>1009392568.41965</v>
      </c>
      <c r="BT31">
        <v>1002644367.15684</v>
      </c>
      <c r="BU31">
        <v>981574628.46927702</v>
      </c>
      <c r="BV31">
        <v>953310260.97933102</v>
      </c>
      <c r="BW31">
        <v>990236312.16161501</v>
      </c>
      <c r="BX31">
        <v>965196521.95150495</v>
      </c>
      <c r="BY31">
        <v>979070985.42877805</v>
      </c>
      <c r="BZ31">
        <v>1032877804.8610899</v>
      </c>
      <c r="CA31">
        <v>1003849644.28891</v>
      </c>
      <c r="CB31">
        <v>981822635.45984995</v>
      </c>
      <c r="CC31">
        <v>1048942368.14545</v>
      </c>
      <c r="CD31">
        <v>984194241.34240401</v>
      </c>
      <c r="CE31">
        <v>1040965412.04373</v>
      </c>
      <c r="CF31">
        <v>936602974.35680103</v>
      </c>
      <c r="CG31">
        <v>1002250137.44574</v>
      </c>
      <c r="CH31">
        <v>1041125886.35098</v>
      </c>
      <c r="CI31">
        <v>960403484.27715802</v>
      </c>
      <c r="CJ31">
        <v>984346676.61542904</v>
      </c>
      <c r="CK31">
        <v>999675537.20326996</v>
      </c>
      <c r="CL31">
        <v>943700729.47801304</v>
      </c>
      <c r="CM31">
        <v>942807335.87773299</v>
      </c>
      <c r="CN31">
        <v>1019835356.9751</v>
      </c>
      <c r="CO31">
        <v>1042704074.16821</v>
      </c>
      <c r="CP31">
        <v>1021744407.15193</v>
      </c>
      <c r="CQ31">
        <v>1043252753.4419301</v>
      </c>
      <c r="CR31">
        <v>1007888208.53181</v>
      </c>
      <c r="CS31">
        <v>990256770.60674095</v>
      </c>
      <c r="CT31">
        <v>1039369023.98571</v>
      </c>
      <c r="CU31">
        <v>984439555.05890203</v>
      </c>
      <c r="CV31">
        <v>1036644887.21913</v>
      </c>
      <c r="CW31">
        <v>1049844181.76149</v>
      </c>
    </row>
    <row r="32" spans="1:101" x14ac:dyDescent="0.2">
      <c r="A32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2">
      <c r="A33">
        <v>5</v>
      </c>
      <c r="B33">
        <v>22855.444703680001</v>
      </c>
      <c r="C33">
        <v>23163.03964662</v>
      </c>
      <c r="D33">
        <v>23071.477304619999</v>
      </c>
      <c r="E33">
        <v>22937.1578523399</v>
      </c>
      <c r="F33">
        <v>22845.595510340001</v>
      </c>
      <c r="G33">
        <v>23163.03964662</v>
      </c>
      <c r="H33">
        <v>22845.595510340001</v>
      </c>
      <c r="I33">
        <v>22855.444703680001</v>
      </c>
      <c r="J33">
        <v>22947.0070456799</v>
      </c>
      <c r="K33">
        <v>23061.628111279999</v>
      </c>
      <c r="L33">
        <v>23153.19045328</v>
      </c>
      <c r="M33">
        <v>22937.1578523399</v>
      </c>
      <c r="N33">
        <v>23061.628111279999</v>
      </c>
      <c r="O33">
        <v>23071.477304619999</v>
      </c>
      <c r="P33">
        <v>22947.0070456799</v>
      </c>
      <c r="Q33">
        <v>22855.444703680001</v>
      </c>
      <c r="R33">
        <v>23153.19045328</v>
      </c>
      <c r="S33">
        <v>22855.444703680001</v>
      </c>
      <c r="T33">
        <v>23071.477304619999</v>
      </c>
      <c r="U33">
        <v>23153.19045328</v>
      </c>
      <c r="V33">
        <v>22947.0070456799</v>
      </c>
      <c r="W33">
        <v>23061.628111279999</v>
      </c>
      <c r="X33">
        <v>23071.477304619999</v>
      </c>
      <c r="Y33">
        <v>23071.477304619999</v>
      </c>
      <c r="Z33">
        <v>22947.0070456799</v>
      </c>
      <c r="AA33">
        <v>23071.477304619999</v>
      </c>
      <c r="AB33">
        <v>22937.1578523399</v>
      </c>
      <c r="AC33">
        <v>22855.444703680001</v>
      </c>
      <c r="AD33">
        <v>22947.0070456799</v>
      </c>
      <c r="AE33">
        <v>23071.477304619999</v>
      </c>
      <c r="AF33">
        <v>23071.477304619999</v>
      </c>
      <c r="AG33">
        <v>22855.444703680001</v>
      </c>
      <c r="AH33">
        <v>23071.477304619999</v>
      </c>
      <c r="AI33">
        <v>22947.0070456799</v>
      </c>
      <c r="AJ33">
        <v>23153.19045328</v>
      </c>
      <c r="AK33">
        <v>22855.444703680001</v>
      </c>
      <c r="AL33">
        <v>23163.03964662</v>
      </c>
      <c r="AM33">
        <v>23163.03964662</v>
      </c>
      <c r="AN33">
        <v>22855.444703680001</v>
      </c>
      <c r="AO33">
        <v>23071.477304619999</v>
      </c>
      <c r="AP33">
        <v>23061.628111279999</v>
      </c>
      <c r="AQ33">
        <v>23061.628111279999</v>
      </c>
      <c r="AR33">
        <v>23153.19045328</v>
      </c>
      <c r="AS33">
        <v>22845.595510340001</v>
      </c>
      <c r="AT33">
        <v>22855.444703680001</v>
      </c>
      <c r="AU33">
        <v>22855.444703680001</v>
      </c>
      <c r="AV33">
        <v>22947.0070456799</v>
      </c>
      <c r="AW33">
        <v>23163.03964662</v>
      </c>
      <c r="AX33">
        <v>22855.444703680001</v>
      </c>
      <c r="AY33">
        <v>22845.595510340001</v>
      </c>
      <c r="AZ33">
        <v>23071.477304619999</v>
      </c>
      <c r="BA33">
        <v>23153.19045328</v>
      </c>
      <c r="BB33">
        <v>23163.03964662</v>
      </c>
      <c r="BC33">
        <v>22947.0070456799</v>
      </c>
      <c r="BD33">
        <v>23153.19045328</v>
      </c>
      <c r="BE33">
        <v>23153.19045328</v>
      </c>
      <c r="BF33">
        <v>23163.03964662</v>
      </c>
      <c r="BG33">
        <v>23153.19045328</v>
      </c>
      <c r="BH33">
        <v>23071.477304619999</v>
      </c>
      <c r="BI33">
        <v>22855.444703680001</v>
      </c>
      <c r="BJ33">
        <v>22855.444703680001</v>
      </c>
      <c r="BK33">
        <v>23061.628111279999</v>
      </c>
      <c r="BL33">
        <v>23153.19045328</v>
      </c>
      <c r="BM33">
        <v>22947.0070456799</v>
      </c>
      <c r="BN33">
        <v>22937.1578523399</v>
      </c>
      <c r="BO33">
        <v>23071.477304619999</v>
      </c>
      <c r="BP33">
        <v>22855.444703680001</v>
      </c>
      <c r="BQ33">
        <v>22947.0070456799</v>
      </c>
      <c r="BR33">
        <v>23071.477304619999</v>
      </c>
      <c r="BS33">
        <v>23163.03964662</v>
      </c>
      <c r="BT33">
        <v>23153.19045328</v>
      </c>
      <c r="BU33">
        <v>22947.0070456799</v>
      </c>
      <c r="BV33">
        <v>23071.477304619999</v>
      </c>
      <c r="BW33">
        <v>23153.19045328</v>
      </c>
      <c r="BX33">
        <v>22937.1578523399</v>
      </c>
      <c r="BY33">
        <v>23163.03964662</v>
      </c>
      <c r="BZ33">
        <v>22947.0070456799</v>
      </c>
      <c r="CA33">
        <v>22845.595510340001</v>
      </c>
      <c r="CB33">
        <v>22845.595510340001</v>
      </c>
      <c r="CC33">
        <v>23071.477304619999</v>
      </c>
      <c r="CD33">
        <v>22855.444703680001</v>
      </c>
      <c r="CE33">
        <v>23071.477304619999</v>
      </c>
      <c r="CF33">
        <v>23153.19045328</v>
      </c>
      <c r="CG33">
        <v>23163.03964662</v>
      </c>
      <c r="CH33">
        <v>22845.595510340001</v>
      </c>
      <c r="CI33">
        <v>23163.03964662</v>
      </c>
      <c r="CJ33">
        <v>22937.1578523399</v>
      </c>
      <c r="CK33">
        <v>23061.628111279999</v>
      </c>
      <c r="CL33">
        <v>22947.0070456799</v>
      </c>
      <c r="CM33">
        <v>23071.477304619999</v>
      </c>
      <c r="CN33">
        <v>23061.628111279999</v>
      </c>
      <c r="CO33">
        <v>23163.03964662</v>
      </c>
      <c r="CP33">
        <v>22845.595510340001</v>
      </c>
      <c r="CQ33">
        <v>23071.477304619999</v>
      </c>
      <c r="CR33">
        <v>22845.595510340001</v>
      </c>
      <c r="CS33">
        <v>23061.628111279999</v>
      </c>
      <c r="CT33">
        <v>23071.477304619999</v>
      </c>
      <c r="CU33">
        <v>22947.0070456799</v>
      </c>
      <c r="CV33">
        <v>23153.19045328</v>
      </c>
      <c r="CW33">
        <v>23071.477304619999</v>
      </c>
    </row>
    <row r="34" spans="1:101" x14ac:dyDescent="0.2">
      <c r="A34">
        <v>6</v>
      </c>
      <c r="B34">
        <v>38.6</v>
      </c>
      <c r="C34">
        <v>38.6</v>
      </c>
      <c r="D34">
        <v>38.6</v>
      </c>
      <c r="E34">
        <v>45</v>
      </c>
      <c r="F34">
        <v>38.6</v>
      </c>
      <c r="G34">
        <v>52.2</v>
      </c>
      <c r="H34">
        <v>45</v>
      </c>
      <c r="I34">
        <v>40.9</v>
      </c>
      <c r="J34">
        <v>52.2</v>
      </c>
      <c r="K34">
        <v>38.6</v>
      </c>
      <c r="L34">
        <v>38.6</v>
      </c>
      <c r="M34">
        <v>38.6</v>
      </c>
      <c r="N34">
        <v>40.9</v>
      </c>
      <c r="O34">
        <v>52.2</v>
      </c>
      <c r="P34">
        <v>38.6</v>
      </c>
      <c r="Q34">
        <v>52.2</v>
      </c>
      <c r="R34">
        <v>52.2</v>
      </c>
      <c r="S34">
        <v>45</v>
      </c>
      <c r="T34">
        <v>40.9</v>
      </c>
      <c r="U34">
        <v>38.6</v>
      </c>
      <c r="V34">
        <v>38.6</v>
      </c>
      <c r="W34">
        <v>38.6</v>
      </c>
      <c r="X34">
        <v>38.6</v>
      </c>
      <c r="Y34">
        <v>38.6</v>
      </c>
      <c r="Z34">
        <v>38.6</v>
      </c>
      <c r="AA34">
        <v>40.9</v>
      </c>
      <c r="AB34">
        <v>38.6</v>
      </c>
      <c r="AC34">
        <v>40.9</v>
      </c>
      <c r="AD34">
        <v>38.6</v>
      </c>
      <c r="AE34">
        <v>38.6</v>
      </c>
      <c r="AF34">
        <v>38.6</v>
      </c>
      <c r="AG34">
        <v>38.6</v>
      </c>
      <c r="AH34">
        <v>38.6</v>
      </c>
      <c r="AI34">
        <v>45</v>
      </c>
      <c r="AJ34">
        <v>40.9</v>
      </c>
      <c r="AK34">
        <v>52.2</v>
      </c>
      <c r="AL34">
        <v>38.6</v>
      </c>
      <c r="AM34">
        <v>38.6</v>
      </c>
      <c r="AN34">
        <v>38.6</v>
      </c>
      <c r="AO34">
        <v>38.6</v>
      </c>
      <c r="AP34">
        <v>40.9</v>
      </c>
      <c r="AQ34">
        <v>38.6</v>
      </c>
      <c r="AR34">
        <v>38.6</v>
      </c>
      <c r="AS34">
        <v>45</v>
      </c>
      <c r="AT34">
        <v>38.6</v>
      </c>
      <c r="AU34">
        <v>38.6</v>
      </c>
      <c r="AV34">
        <v>45</v>
      </c>
      <c r="AW34">
        <v>52.2</v>
      </c>
      <c r="AX34">
        <v>38.6</v>
      </c>
      <c r="AY34">
        <v>45</v>
      </c>
      <c r="AZ34">
        <v>38.6</v>
      </c>
      <c r="BA34">
        <v>38.6</v>
      </c>
      <c r="BB34">
        <v>38.6</v>
      </c>
      <c r="BC34">
        <v>38.6</v>
      </c>
      <c r="BD34">
        <v>38.6</v>
      </c>
      <c r="BE34">
        <v>38.6</v>
      </c>
      <c r="BF34">
        <v>45</v>
      </c>
      <c r="BG34">
        <v>38.6</v>
      </c>
      <c r="BH34">
        <v>38.6</v>
      </c>
      <c r="BI34">
        <v>38.6</v>
      </c>
      <c r="BJ34">
        <v>38.6</v>
      </c>
      <c r="BK34">
        <v>38.6</v>
      </c>
      <c r="BL34">
        <v>45</v>
      </c>
      <c r="BM34">
        <v>38.6</v>
      </c>
      <c r="BN34">
        <v>38.6</v>
      </c>
      <c r="BO34">
        <v>38.6</v>
      </c>
      <c r="BP34">
        <v>45</v>
      </c>
      <c r="BQ34">
        <v>38.6</v>
      </c>
      <c r="BR34">
        <v>38.6</v>
      </c>
      <c r="BS34">
        <v>38.6</v>
      </c>
      <c r="BT34">
        <v>52.2</v>
      </c>
      <c r="BU34">
        <v>52.2</v>
      </c>
      <c r="BV34">
        <v>38.6</v>
      </c>
      <c r="BW34">
        <v>38.6</v>
      </c>
      <c r="BX34">
        <v>38.6</v>
      </c>
      <c r="BY34">
        <v>38.6</v>
      </c>
      <c r="BZ34">
        <v>38.6</v>
      </c>
      <c r="CA34">
        <v>38.6</v>
      </c>
      <c r="CB34">
        <v>38.6</v>
      </c>
      <c r="CC34">
        <v>40.9</v>
      </c>
      <c r="CD34">
        <v>38.6</v>
      </c>
      <c r="CE34">
        <v>40.9</v>
      </c>
      <c r="CF34">
        <v>38.6</v>
      </c>
      <c r="CG34">
        <v>38.6</v>
      </c>
      <c r="CH34">
        <v>38.6</v>
      </c>
      <c r="CI34">
        <v>38.6</v>
      </c>
      <c r="CJ34">
        <v>38.6</v>
      </c>
      <c r="CK34">
        <v>45</v>
      </c>
      <c r="CL34">
        <v>38.6</v>
      </c>
      <c r="CM34">
        <v>38.6</v>
      </c>
      <c r="CN34">
        <v>38.6</v>
      </c>
      <c r="CO34">
        <v>40.9</v>
      </c>
      <c r="CP34">
        <v>40.9</v>
      </c>
      <c r="CQ34">
        <v>40.9</v>
      </c>
      <c r="CR34">
        <v>38.6</v>
      </c>
      <c r="CS34">
        <v>45</v>
      </c>
      <c r="CT34">
        <v>40.9</v>
      </c>
      <c r="CU34">
        <v>45</v>
      </c>
      <c r="CV34">
        <v>45</v>
      </c>
      <c r="CW34">
        <v>40.9</v>
      </c>
    </row>
    <row r="35" spans="1:101" x14ac:dyDescent="0.2">
      <c r="A35">
        <v>7</v>
      </c>
      <c r="B35">
        <v>22894.04470368</v>
      </c>
      <c r="C35">
        <v>23201.639646619999</v>
      </c>
      <c r="D35">
        <v>23110.077304619899</v>
      </c>
      <c r="E35">
        <v>22982.1578523399</v>
      </c>
      <c r="F35">
        <v>22884.19551034</v>
      </c>
      <c r="G35">
        <v>23215.239646620001</v>
      </c>
      <c r="H35">
        <v>22890.595510340001</v>
      </c>
      <c r="I35">
        <v>22896.344703679999</v>
      </c>
      <c r="J35">
        <v>22999.207045679901</v>
      </c>
      <c r="K35">
        <v>23100.228111279899</v>
      </c>
      <c r="L35">
        <v>23191.790453279998</v>
      </c>
      <c r="M35">
        <v>22975.757852339899</v>
      </c>
      <c r="N35">
        <v>23102.52811128</v>
      </c>
      <c r="O35">
        <v>23123.67730462</v>
      </c>
      <c r="P35">
        <v>22985.607045679899</v>
      </c>
      <c r="Q35">
        <v>22907.644703679998</v>
      </c>
      <c r="R35">
        <v>23205.390453280001</v>
      </c>
      <c r="S35">
        <v>22900.444703680001</v>
      </c>
      <c r="T35">
        <v>23112.37730462</v>
      </c>
      <c r="U35">
        <v>23191.790453279998</v>
      </c>
      <c r="V35">
        <v>22985.607045679899</v>
      </c>
      <c r="W35">
        <v>23100.228111279899</v>
      </c>
      <c r="X35">
        <v>23110.077304619899</v>
      </c>
      <c r="Y35">
        <v>23110.077304619899</v>
      </c>
      <c r="Z35">
        <v>22985.607045679899</v>
      </c>
      <c r="AA35">
        <v>23112.37730462</v>
      </c>
      <c r="AB35">
        <v>22975.757852339899</v>
      </c>
      <c r="AC35">
        <v>22896.344703679999</v>
      </c>
      <c r="AD35">
        <v>22985.607045679899</v>
      </c>
      <c r="AE35">
        <v>23110.077304619899</v>
      </c>
      <c r="AF35">
        <v>23110.077304619899</v>
      </c>
      <c r="AG35">
        <v>22894.04470368</v>
      </c>
      <c r="AH35">
        <v>23110.077304619899</v>
      </c>
      <c r="AI35">
        <v>22992.0070456799</v>
      </c>
      <c r="AJ35">
        <v>23194.090453280001</v>
      </c>
      <c r="AK35">
        <v>22907.644703679998</v>
      </c>
      <c r="AL35">
        <v>23201.639646619999</v>
      </c>
      <c r="AM35">
        <v>23201.639646619999</v>
      </c>
      <c r="AN35">
        <v>22894.04470368</v>
      </c>
      <c r="AO35">
        <v>23110.077304619899</v>
      </c>
      <c r="AP35">
        <v>23102.52811128</v>
      </c>
      <c r="AQ35">
        <v>23100.228111279899</v>
      </c>
      <c r="AR35">
        <v>23191.790453279998</v>
      </c>
      <c r="AS35">
        <v>22890.595510340001</v>
      </c>
      <c r="AT35">
        <v>22894.04470368</v>
      </c>
      <c r="AU35">
        <v>22894.04470368</v>
      </c>
      <c r="AV35">
        <v>22992.0070456799</v>
      </c>
      <c r="AW35">
        <v>23215.239646620001</v>
      </c>
      <c r="AX35">
        <v>22894.04470368</v>
      </c>
      <c r="AY35">
        <v>22890.595510340001</v>
      </c>
      <c r="AZ35">
        <v>23110.077304619899</v>
      </c>
      <c r="BA35">
        <v>23191.790453279998</v>
      </c>
      <c r="BB35">
        <v>23201.639646619999</v>
      </c>
      <c r="BC35">
        <v>22985.607045679899</v>
      </c>
      <c r="BD35">
        <v>23191.790453279998</v>
      </c>
      <c r="BE35">
        <v>23191.790453279998</v>
      </c>
      <c r="BF35">
        <v>23208.03964662</v>
      </c>
      <c r="BG35">
        <v>23191.790453279998</v>
      </c>
      <c r="BH35">
        <v>23110.077304619899</v>
      </c>
      <c r="BI35">
        <v>22894.04470368</v>
      </c>
      <c r="BJ35">
        <v>22894.04470368</v>
      </c>
      <c r="BK35">
        <v>23100.228111279899</v>
      </c>
      <c r="BL35">
        <v>23198.19045328</v>
      </c>
      <c r="BM35">
        <v>22985.607045679899</v>
      </c>
      <c r="BN35">
        <v>22975.757852339899</v>
      </c>
      <c r="BO35">
        <v>23110.077304619899</v>
      </c>
      <c r="BP35">
        <v>22900.444703680001</v>
      </c>
      <c r="BQ35">
        <v>22985.607045679899</v>
      </c>
      <c r="BR35">
        <v>23110.077304619899</v>
      </c>
      <c r="BS35">
        <v>23201.639646619999</v>
      </c>
      <c r="BT35">
        <v>23205.390453280001</v>
      </c>
      <c r="BU35">
        <v>22999.207045679901</v>
      </c>
      <c r="BV35">
        <v>23110.077304619899</v>
      </c>
      <c r="BW35">
        <v>23191.790453279998</v>
      </c>
      <c r="BX35">
        <v>22975.757852339899</v>
      </c>
      <c r="BY35">
        <v>23201.639646619999</v>
      </c>
      <c r="BZ35">
        <v>22985.607045679899</v>
      </c>
      <c r="CA35">
        <v>22884.19551034</v>
      </c>
      <c r="CB35">
        <v>22884.19551034</v>
      </c>
      <c r="CC35">
        <v>23112.37730462</v>
      </c>
      <c r="CD35">
        <v>22894.04470368</v>
      </c>
      <c r="CE35">
        <v>23112.37730462</v>
      </c>
      <c r="CF35">
        <v>23191.790453279998</v>
      </c>
      <c r="CG35">
        <v>23201.639646619999</v>
      </c>
      <c r="CH35">
        <v>22884.19551034</v>
      </c>
      <c r="CI35">
        <v>23201.639646619999</v>
      </c>
      <c r="CJ35">
        <v>22975.757852339899</v>
      </c>
      <c r="CK35">
        <v>23106.628111279999</v>
      </c>
      <c r="CL35">
        <v>22985.607045679899</v>
      </c>
      <c r="CM35">
        <v>23110.077304619899</v>
      </c>
      <c r="CN35">
        <v>23100.228111279899</v>
      </c>
      <c r="CO35">
        <v>23203.939646620001</v>
      </c>
      <c r="CP35">
        <v>22886.495510339999</v>
      </c>
      <c r="CQ35">
        <v>23112.37730462</v>
      </c>
      <c r="CR35">
        <v>22884.19551034</v>
      </c>
      <c r="CS35">
        <v>23106.628111279999</v>
      </c>
      <c r="CT35">
        <v>23112.37730462</v>
      </c>
      <c r="CU35">
        <v>22992.0070456799</v>
      </c>
      <c r="CV35">
        <v>23198.19045328</v>
      </c>
      <c r="CW35">
        <v>23112.37730462</v>
      </c>
    </row>
    <row r="36" spans="1:101" x14ac:dyDescent="0.2">
      <c r="A36">
        <v>8</v>
      </c>
      <c r="B36">
        <v>10878318.2845491</v>
      </c>
      <c r="C36">
        <v>573332214.96405101</v>
      </c>
      <c r="D36">
        <v>585621161.75675905</v>
      </c>
      <c r="E36">
        <v>5588959.7032739101</v>
      </c>
      <c r="F36">
        <v>9366422.1099773105</v>
      </c>
      <c r="G36">
        <v>36998360.217142597</v>
      </c>
      <c r="H36">
        <v>96090921.1957798</v>
      </c>
      <c r="I36">
        <v>5725014.1052757399</v>
      </c>
      <c r="J36">
        <v>128741006.87013701</v>
      </c>
      <c r="K36">
        <v>579891126.01368701</v>
      </c>
      <c r="L36">
        <v>573332214.96405101</v>
      </c>
      <c r="M36">
        <v>5573624.5928428201</v>
      </c>
      <c r="N36">
        <v>242486127.63360101</v>
      </c>
      <c r="O36">
        <v>32035566.571896601</v>
      </c>
      <c r="P36">
        <v>40924093.309249997</v>
      </c>
      <c r="Q36">
        <v>37659681.086455099</v>
      </c>
      <c r="R36">
        <v>141615293.728894</v>
      </c>
      <c r="S36">
        <v>354030430.14333397</v>
      </c>
      <c r="T36">
        <v>6555306.8410348697</v>
      </c>
      <c r="U36">
        <v>431795557.74157798</v>
      </c>
      <c r="V36">
        <v>386731264.88699597</v>
      </c>
      <c r="W36">
        <v>533601707.10408401</v>
      </c>
      <c r="X36">
        <v>330895025.06301397</v>
      </c>
      <c r="Y36">
        <v>454342551.13767999</v>
      </c>
      <c r="Z36">
        <v>36679427.862389997</v>
      </c>
      <c r="AA36">
        <v>11834048.100534501</v>
      </c>
      <c r="AB36">
        <v>60591434.554698497</v>
      </c>
      <c r="AC36">
        <v>5187382.0000186199</v>
      </c>
      <c r="AD36">
        <v>481124990.39334202</v>
      </c>
      <c r="AE36">
        <v>289271374.99650502</v>
      </c>
      <c r="AF36">
        <v>548174136.76786697</v>
      </c>
      <c r="AG36">
        <v>162445271.91418901</v>
      </c>
      <c r="AH36">
        <v>43070699.485583499</v>
      </c>
      <c r="AI36">
        <v>150983714.91902101</v>
      </c>
      <c r="AJ36">
        <v>53787636.450278603</v>
      </c>
      <c r="AK36">
        <v>24175316.2231167</v>
      </c>
      <c r="AL36">
        <v>282113621.02087498</v>
      </c>
      <c r="AM36">
        <v>305359302.004426</v>
      </c>
      <c r="AN36">
        <v>209121035.65969899</v>
      </c>
      <c r="AO36">
        <v>256181581.70000899</v>
      </c>
      <c r="AP36">
        <v>26263720.004854701</v>
      </c>
      <c r="AQ36">
        <v>251155714.98518199</v>
      </c>
      <c r="AR36">
        <v>462064786.13521099</v>
      </c>
      <c r="AS36">
        <v>77396475.404652402</v>
      </c>
      <c r="AT36">
        <v>94438068.963535294</v>
      </c>
      <c r="AU36">
        <v>275062624.26809698</v>
      </c>
      <c r="AV36">
        <v>51288611.5756457</v>
      </c>
      <c r="AW36">
        <v>95361179.846312404</v>
      </c>
      <c r="AX36">
        <v>108817708.738708</v>
      </c>
      <c r="AY36">
        <v>99316095.542280599</v>
      </c>
      <c r="AZ36">
        <v>494243167.915326</v>
      </c>
      <c r="BA36">
        <v>218681036.895255</v>
      </c>
      <c r="BB36">
        <v>518423213.56822598</v>
      </c>
      <c r="BC36">
        <v>234730602.892129</v>
      </c>
      <c r="BD36">
        <v>304384003.860735</v>
      </c>
      <c r="BE36">
        <v>378764457.75090498</v>
      </c>
      <c r="BF36">
        <v>81750943.084053501</v>
      </c>
      <c r="BG36">
        <v>556147794.63722205</v>
      </c>
      <c r="BH36">
        <v>354599150.85005701</v>
      </c>
      <c r="BI36">
        <v>54544496.1898987</v>
      </c>
      <c r="BJ36">
        <v>119857300.449909</v>
      </c>
      <c r="BK36">
        <v>488417971.68734998</v>
      </c>
      <c r="BL36">
        <v>77871161.847071499</v>
      </c>
      <c r="BM36">
        <v>345193034.20407802</v>
      </c>
      <c r="BN36">
        <v>366381980.78037697</v>
      </c>
      <c r="BO36">
        <v>199811832.28154299</v>
      </c>
      <c r="BP36">
        <v>123866311.84666</v>
      </c>
      <c r="BQ36">
        <v>343461077.97261602</v>
      </c>
      <c r="BR36">
        <v>61495826.928792499</v>
      </c>
      <c r="BS36">
        <v>134982446.27896899</v>
      </c>
      <c r="BT36">
        <v>58404434.843683302</v>
      </c>
      <c r="BU36">
        <v>190012170.73743299</v>
      </c>
      <c r="BV36">
        <v>461905221.82021898</v>
      </c>
      <c r="BW36">
        <v>140878344.63947201</v>
      </c>
      <c r="BX36">
        <v>333467089.00109202</v>
      </c>
      <c r="BY36">
        <v>224690107.143657</v>
      </c>
      <c r="BZ36">
        <v>34189554.409692504</v>
      </c>
      <c r="CA36">
        <v>140862586.86952499</v>
      </c>
      <c r="CB36">
        <v>200197289.63343301</v>
      </c>
      <c r="CC36">
        <v>7528770.8573553804</v>
      </c>
      <c r="CD36">
        <v>174311674.157033</v>
      </c>
      <c r="CE36">
        <v>18750405.166065902</v>
      </c>
      <c r="CF36">
        <v>567735510.38440597</v>
      </c>
      <c r="CG36">
        <v>153562490.01967499</v>
      </c>
      <c r="CH36">
        <v>14235738.440746401</v>
      </c>
      <c r="CI36">
        <v>371624220.54684198</v>
      </c>
      <c r="CJ36">
        <v>135622861.74674401</v>
      </c>
      <c r="CK36">
        <v>23775946.395111602</v>
      </c>
      <c r="CL36">
        <v>507594472.55368</v>
      </c>
      <c r="CM36">
        <v>514033278.78131801</v>
      </c>
      <c r="CN36">
        <v>34676513.400238603</v>
      </c>
      <c r="CO36">
        <v>13560226.800828001</v>
      </c>
      <c r="CP36">
        <v>19330869.474050101</v>
      </c>
      <c r="CQ36">
        <v>12034479.8229523</v>
      </c>
      <c r="CR36">
        <v>125954628.279323</v>
      </c>
      <c r="CS36">
        <v>94082063.310801998</v>
      </c>
      <c r="CT36">
        <v>14564597.132230001</v>
      </c>
      <c r="CU36">
        <v>177518057.74451599</v>
      </c>
      <c r="CV36">
        <v>7531874.5188898696</v>
      </c>
      <c r="CW36">
        <v>7548604.3546539498</v>
      </c>
    </row>
    <row r="37" spans="1:101" x14ac:dyDescent="0.2">
      <c r="A37">
        <v>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2">
      <c r="A38">
        <v>10</v>
      </c>
      <c r="B38">
        <v>22055418</v>
      </c>
      <c r="C38">
        <v>22055418</v>
      </c>
      <c r="D38">
        <v>22055418</v>
      </c>
      <c r="E38">
        <v>24096776</v>
      </c>
      <c r="F38">
        <v>22055418</v>
      </c>
      <c r="G38">
        <v>20159685</v>
      </c>
      <c r="H38">
        <v>24096776</v>
      </c>
      <c r="I38">
        <v>20842504</v>
      </c>
      <c r="J38">
        <v>20159685</v>
      </c>
      <c r="K38">
        <v>22055418</v>
      </c>
      <c r="L38">
        <v>22055418</v>
      </c>
      <c r="M38">
        <v>22055418</v>
      </c>
      <c r="N38">
        <v>20842504</v>
      </c>
      <c r="O38">
        <v>20159685</v>
      </c>
      <c r="P38">
        <v>22055418</v>
      </c>
      <c r="Q38">
        <v>20159685</v>
      </c>
      <c r="R38">
        <v>20159685</v>
      </c>
      <c r="S38">
        <v>24096776</v>
      </c>
      <c r="T38">
        <v>20842504</v>
      </c>
      <c r="U38">
        <v>22055418</v>
      </c>
      <c r="V38">
        <v>22055418</v>
      </c>
      <c r="W38">
        <v>22055418</v>
      </c>
      <c r="X38">
        <v>22055418</v>
      </c>
      <c r="Y38">
        <v>22055418</v>
      </c>
      <c r="Z38">
        <v>22055418</v>
      </c>
      <c r="AA38">
        <v>20842504</v>
      </c>
      <c r="AB38">
        <v>22055418</v>
      </c>
      <c r="AC38">
        <v>20842504</v>
      </c>
      <c r="AD38">
        <v>22055418</v>
      </c>
      <c r="AE38">
        <v>22055418</v>
      </c>
      <c r="AF38">
        <v>22055418</v>
      </c>
      <c r="AG38">
        <v>22055418</v>
      </c>
      <c r="AH38">
        <v>22055418</v>
      </c>
      <c r="AI38">
        <v>24096776</v>
      </c>
      <c r="AJ38">
        <v>20842504</v>
      </c>
      <c r="AK38">
        <v>20159685</v>
      </c>
      <c r="AL38">
        <v>22055418</v>
      </c>
      <c r="AM38">
        <v>22055418</v>
      </c>
      <c r="AN38">
        <v>22055418</v>
      </c>
      <c r="AO38">
        <v>22055418</v>
      </c>
      <c r="AP38">
        <v>20842504</v>
      </c>
      <c r="AQ38">
        <v>22055418</v>
      </c>
      <c r="AR38">
        <v>22055418</v>
      </c>
      <c r="AS38">
        <v>24096776</v>
      </c>
      <c r="AT38">
        <v>22055418</v>
      </c>
      <c r="AU38">
        <v>22055418</v>
      </c>
      <c r="AV38">
        <v>24096776</v>
      </c>
      <c r="AW38">
        <v>20159685</v>
      </c>
      <c r="AX38">
        <v>22055418</v>
      </c>
      <c r="AY38">
        <v>24096776</v>
      </c>
      <c r="AZ38">
        <v>22055418</v>
      </c>
      <c r="BA38">
        <v>22055418</v>
      </c>
      <c r="BB38">
        <v>22055418</v>
      </c>
      <c r="BC38">
        <v>22055418</v>
      </c>
      <c r="BD38">
        <v>22055418</v>
      </c>
      <c r="BE38">
        <v>22055418</v>
      </c>
      <c r="BF38">
        <v>24096776</v>
      </c>
      <c r="BG38">
        <v>22055418</v>
      </c>
      <c r="BH38">
        <v>22055418</v>
      </c>
      <c r="BI38">
        <v>22055418</v>
      </c>
      <c r="BJ38">
        <v>22055418</v>
      </c>
      <c r="BK38">
        <v>22055418</v>
      </c>
      <c r="BL38">
        <v>24096776</v>
      </c>
      <c r="BM38">
        <v>22055418</v>
      </c>
      <c r="BN38">
        <v>22055418</v>
      </c>
      <c r="BO38">
        <v>22055418</v>
      </c>
      <c r="BP38">
        <v>24096776</v>
      </c>
      <c r="BQ38">
        <v>22055418</v>
      </c>
      <c r="BR38">
        <v>22055418</v>
      </c>
      <c r="BS38">
        <v>22055418</v>
      </c>
      <c r="BT38">
        <v>20159685</v>
      </c>
      <c r="BU38">
        <v>20159685</v>
      </c>
      <c r="BV38">
        <v>22055418</v>
      </c>
      <c r="BW38">
        <v>22055418</v>
      </c>
      <c r="BX38">
        <v>22055418</v>
      </c>
      <c r="BY38">
        <v>22055418</v>
      </c>
      <c r="BZ38">
        <v>22055418</v>
      </c>
      <c r="CA38">
        <v>22055418</v>
      </c>
      <c r="CB38">
        <v>22055418</v>
      </c>
      <c r="CC38">
        <v>20842504</v>
      </c>
      <c r="CD38">
        <v>22055418</v>
      </c>
      <c r="CE38">
        <v>20842504</v>
      </c>
      <c r="CF38">
        <v>22055418</v>
      </c>
      <c r="CG38">
        <v>22055418</v>
      </c>
      <c r="CH38">
        <v>22055418</v>
      </c>
      <c r="CI38">
        <v>22055418</v>
      </c>
      <c r="CJ38">
        <v>22055418</v>
      </c>
      <c r="CK38">
        <v>24096776</v>
      </c>
      <c r="CL38">
        <v>22055418</v>
      </c>
      <c r="CM38">
        <v>22055418</v>
      </c>
      <c r="CN38">
        <v>22055418</v>
      </c>
      <c r="CO38">
        <v>20842504</v>
      </c>
      <c r="CP38">
        <v>20842504</v>
      </c>
      <c r="CQ38">
        <v>20842504</v>
      </c>
      <c r="CR38">
        <v>22055418</v>
      </c>
      <c r="CS38">
        <v>24096776</v>
      </c>
      <c r="CT38">
        <v>20842504</v>
      </c>
      <c r="CU38">
        <v>24096776</v>
      </c>
      <c r="CV38">
        <v>24096776</v>
      </c>
      <c r="CW38">
        <v>20842504</v>
      </c>
    </row>
    <row r="39" spans="1:101" x14ac:dyDescent="0.2">
      <c r="A39">
        <v>11</v>
      </c>
      <c r="B39">
        <v>246212697.11915499</v>
      </c>
      <c r="C39">
        <v>178296660.50003999</v>
      </c>
      <c r="D39">
        <v>178741135.90944001</v>
      </c>
      <c r="E39">
        <v>246564924.34672901</v>
      </c>
      <c r="F39">
        <v>245763161.471255</v>
      </c>
      <c r="G39">
        <v>232858985.43313301</v>
      </c>
      <c r="H39">
        <v>218527244.18679601</v>
      </c>
      <c r="I39">
        <v>246945659.07906401</v>
      </c>
      <c r="J39">
        <v>214767041.94192299</v>
      </c>
      <c r="K39">
        <v>178448040.79062399</v>
      </c>
      <c r="L39">
        <v>178296660.50003999</v>
      </c>
      <c r="M39">
        <v>246302905.66001001</v>
      </c>
      <c r="N39">
        <v>206106805.741815</v>
      </c>
      <c r="O39">
        <v>239499391.76786101</v>
      </c>
      <c r="P39">
        <v>234224979.51755899</v>
      </c>
      <c r="Q39">
        <v>234862128.395879</v>
      </c>
      <c r="R39">
        <v>217483403.344675</v>
      </c>
      <c r="S39">
        <v>196862172.10340399</v>
      </c>
      <c r="T39">
        <v>245329020.04570299</v>
      </c>
      <c r="U39">
        <v>190325209.88439199</v>
      </c>
      <c r="V39">
        <v>193088191.58265001</v>
      </c>
      <c r="W39">
        <v>182272003.21247101</v>
      </c>
      <c r="X39">
        <v>199757077.20580599</v>
      </c>
      <c r="Y39">
        <v>188544185.86792001</v>
      </c>
      <c r="Z39">
        <v>238979944.63081101</v>
      </c>
      <c r="AA39">
        <v>238150255.726399</v>
      </c>
      <c r="AB39">
        <v>238371772.93828401</v>
      </c>
      <c r="AC39">
        <v>245944753.582885</v>
      </c>
      <c r="AD39">
        <v>187848213.680159</v>
      </c>
      <c r="AE39">
        <v>203542402.729651</v>
      </c>
      <c r="AF39">
        <v>180820468.85115999</v>
      </c>
      <c r="AG39">
        <v>218552461.428462</v>
      </c>
      <c r="AH39">
        <v>235347044.59677801</v>
      </c>
      <c r="AI39">
        <v>214715106.95039999</v>
      </c>
      <c r="AJ39">
        <v>232306690.47109601</v>
      </c>
      <c r="AK39">
        <v>231714673.90938401</v>
      </c>
      <c r="AL39">
        <v>203545632.810644</v>
      </c>
      <c r="AM39">
        <v>201039104.661576</v>
      </c>
      <c r="AN39">
        <v>213669859.89701399</v>
      </c>
      <c r="AO39">
        <v>205483069.603405</v>
      </c>
      <c r="AP39">
        <v>235531449.024288</v>
      </c>
      <c r="AQ39">
        <v>207312881.13013899</v>
      </c>
      <c r="AR39">
        <v>186722573.96691501</v>
      </c>
      <c r="AS39">
        <v>226671910.56541401</v>
      </c>
      <c r="AT39">
        <v>226958984.25023699</v>
      </c>
      <c r="AU39">
        <v>206140456.370096</v>
      </c>
      <c r="AV39">
        <v>223786109.43536001</v>
      </c>
      <c r="AW39">
        <v>222330646.03188601</v>
      </c>
      <c r="AX39">
        <v>224273488.41093999</v>
      </c>
      <c r="AY39">
        <v>220004724.021584</v>
      </c>
      <c r="AZ39">
        <v>185961002.016534</v>
      </c>
      <c r="BA39">
        <v>209978204.20487899</v>
      </c>
      <c r="BB39">
        <v>183359312.69318199</v>
      </c>
      <c r="BC39">
        <v>208602782.794072</v>
      </c>
      <c r="BD39">
        <v>200713954.03177601</v>
      </c>
      <c r="BE39">
        <v>193974976.096288</v>
      </c>
      <c r="BF39">
        <v>225886070.501073</v>
      </c>
      <c r="BG39">
        <v>180327287.18900901</v>
      </c>
      <c r="BH39">
        <v>196869836.660907</v>
      </c>
      <c r="BI39">
        <v>232549158.789763</v>
      </c>
      <c r="BJ39">
        <v>228526405.95784801</v>
      </c>
      <c r="BK39">
        <v>184953102.49518099</v>
      </c>
      <c r="BL39">
        <v>219036271.93448299</v>
      </c>
      <c r="BM39">
        <v>202068356.15044001</v>
      </c>
      <c r="BN39">
        <v>195774898.944556</v>
      </c>
      <c r="BO39">
        <v>212696412.33375901</v>
      </c>
      <c r="BP39">
        <v>216921750.08273399</v>
      </c>
      <c r="BQ39">
        <v>197635048.07900399</v>
      </c>
      <c r="BR39">
        <v>228678523.794348</v>
      </c>
      <c r="BS39">
        <v>224742223.045876</v>
      </c>
      <c r="BT39">
        <v>222975853.885335</v>
      </c>
      <c r="BU39">
        <v>211636953.98427001</v>
      </c>
      <c r="BV39">
        <v>189584602.40967</v>
      </c>
      <c r="BW39">
        <v>215722183.00468501</v>
      </c>
      <c r="BX39">
        <v>198177268.72684699</v>
      </c>
      <c r="BY39">
        <v>209037965.72910601</v>
      </c>
      <c r="BZ39">
        <v>237737235.20905</v>
      </c>
      <c r="CA39">
        <v>221634041.21540099</v>
      </c>
      <c r="CB39">
        <v>211023510.193077</v>
      </c>
      <c r="CC39">
        <v>244714416.18265101</v>
      </c>
      <c r="CD39">
        <v>212963822.54770201</v>
      </c>
      <c r="CE39">
        <v>241101754.254417</v>
      </c>
      <c r="CF39">
        <v>178804462.79655999</v>
      </c>
      <c r="CG39">
        <v>220944785.83312699</v>
      </c>
      <c r="CH39">
        <v>240835639.72793499</v>
      </c>
      <c r="CI39">
        <v>194797716.474641</v>
      </c>
      <c r="CJ39">
        <v>214143897.846131</v>
      </c>
      <c r="CK39">
        <v>223793041.887088</v>
      </c>
      <c r="CL39">
        <v>184049775.82201299</v>
      </c>
      <c r="CM39">
        <v>183800140.794967</v>
      </c>
      <c r="CN39">
        <v>231790778.02032101</v>
      </c>
      <c r="CO39">
        <v>242013710.09351501</v>
      </c>
      <c r="CP39">
        <v>232603216.24940801</v>
      </c>
      <c r="CQ39">
        <v>242263952.11664799</v>
      </c>
      <c r="CR39">
        <v>224246166.38576001</v>
      </c>
      <c r="CS39">
        <v>217831477.23087701</v>
      </c>
      <c r="CT39">
        <v>240785530.85250601</v>
      </c>
      <c r="CU39">
        <v>213044570.586178</v>
      </c>
      <c r="CV39">
        <v>239985157.61958301</v>
      </c>
      <c r="CW39">
        <v>245080020.18631899</v>
      </c>
    </row>
    <row r="40" spans="1:101" x14ac:dyDescent="0.2">
      <c r="A40">
        <v>12</v>
      </c>
      <c r="B40">
        <v>297848934.20279199</v>
      </c>
      <c r="C40">
        <v>297432379.906663</v>
      </c>
      <c r="D40">
        <v>297775195.84883499</v>
      </c>
      <c r="E40">
        <v>297576928.27090698</v>
      </c>
      <c r="F40">
        <v>297919744.21307898</v>
      </c>
      <c r="G40">
        <v>297432379.906663</v>
      </c>
      <c r="H40">
        <v>297919744.21307898</v>
      </c>
      <c r="I40">
        <v>297848934.20279199</v>
      </c>
      <c r="J40">
        <v>297506118.26062</v>
      </c>
      <c r="K40">
        <v>297846005.85912102</v>
      </c>
      <c r="L40">
        <v>297503189.91694897</v>
      </c>
      <c r="M40">
        <v>297576928.27090698</v>
      </c>
      <c r="N40">
        <v>297846005.85912102</v>
      </c>
      <c r="O40">
        <v>297775195.84883499</v>
      </c>
      <c r="P40">
        <v>297506118.26062</v>
      </c>
      <c r="Q40">
        <v>297848934.20279199</v>
      </c>
      <c r="R40">
        <v>297503189.91694897</v>
      </c>
      <c r="S40">
        <v>297848934.20279199</v>
      </c>
      <c r="T40">
        <v>297775195.84883499</v>
      </c>
      <c r="U40">
        <v>297503189.91694897</v>
      </c>
      <c r="V40">
        <v>297506118.26062</v>
      </c>
      <c r="W40">
        <v>297846005.85912102</v>
      </c>
      <c r="X40">
        <v>297775195.84883499</v>
      </c>
      <c r="Y40">
        <v>297775195.84883499</v>
      </c>
      <c r="Z40">
        <v>297506118.26062</v>
      </c>
      <c r="AA40">
        <v>297775195.84883499</v>
      </c>
      <c r="AB40">
        <v>297576928.27090698</v>
      </c>
      <c r="AC40">
        <v>297848934.20279199</v>
      </c>
      <c r="AD40">
        <v>297506118.26062</v>
      </c>
      <c r="AE40">
        <v>297775195.84883499</v>
      </c>
      <c r="AF40">
        <v>297775195.84883499</v>
      </c>
      <c r="AG40">
        <v>297848934.20279199</v>
      </c>
      <c r="AH40">
        <v>297775195.84883499</v>
      </c>
      <c r="AI40">
        <v>297506118.26062</v>
      </c>
      <c r="AJ40">
        <v>297503189.91694897</v>
      </c>
      <c r="AK40">
        <v>297848934.20279199</v>
      </c>
      <c r="AL40">
        <v>297432379.906663</v>
      </c>
      <c r="AM40">
        <v>297432379.906663</v>
      </c>
      <c r="AN40">
        <v>297848934.20279199</v>
      </c>
      <c r="AO40">
        <v>297775195.84883499</v>
      </c>
      <c r="AP40">
        <v>297846005.85912102</v>
      </c>
      <c r="AQ40">
        <v>297846005.85912102</v>
      </c>
      <c r="AR40">
        <v>297503189.91694897</v>
      </c>
      <c r="AS40">
        <v>297919744.21307898</v>
      </c>
      <c r="AT40">
        <v>297848934.20279199</v>
      </c>
      <c r="AU40">
        <v>297848934.20279199</v>
      </c>
      <c r="AV40">
        <v>297506118.26062</v>
      </c>
      <c r="AW40">
        <v>297432379.906663</v>
      </c>
      <c r="AX40">
        <v>297848934.20279199</v>
      </c>
      <c r="AY40">
        <v>297919744.21307898</v>
      </c>
      <c r="AZ40">
        <v>297775195.84883499</v>
      </c>
      <c r="BA40">
        <v>297503189.91694897</v>
      </c>
      <c r="BB40">
        <v>297432379.906663</v>
      </c>
      <c r="BC40">
        <v>297506118.26062</v>
      </c>
      <c r="BD40">
        <v>297503189.91694897</v>
      </c>
      <c r="BE40">
        <v>297503189.91694897</v>
      </c>
      <c r="BF40">
        <v>297432379.906663</v>
      </c>
      <c r="BG40">
        <v>297503189.91694897</v>
      </c>
      <c r="BH40">
        <v>297775195.84883499</v>
      </c>
      <c r="BI40">
        <v>297848934.20279199</v>
      </c>
      <c r="BJ40">
        <v>297848934.20279199</v>
      </c>
      <c r="BK40">
        <v>297846005.85912102</v>
      </c>
      <c r="BL40">
        <v>297503189.91694897</v>
      </c>
      <c r="BM40">
        <v>297506118.26062</v>
      </c>
      <c r="BN40">
        <v>297576928.27090698</v>
      </c>
      <c r="BO40">
        <v>297775195.84883499</v>
      </c>
      <c r="BP40">
        <v>297848934.20279199</v>
      </c>
      <c r="BQ40">
        <v>297506118.26062</v>
      </c>
      <c r="BR40">
        <v>297775195.84883499</v>
      </c>
      <c r="BS40">
        <v>297432379.906663</v>
      </c>
      <c r="BT40">
        <v>297503189.91694897</v>
      </c>
      <c r="BU40">
        <v>297506118.26062</v>
      </c>
      <c r="BV40">
        <v>297775195.84883499</v>
      </c>
      <c r="BW40">
        <v>297503189.91694897</v>
      </c>
      <c r="BX40">
        <v>297576928.27090698</v>
      </c>
      <c r="BY40">
        <v>297432379.906663</v>
      </c>
      <c r="BZ40">
        <v>297506118.26062</v>
      </c>
      <c r="CA40">
        <v>297919744.21307898</v>
      </c>
      <c r="CB40">
        <v>297919744.21307898</v>
      </c>
      <c r="CC40">
        <v>297775195.84883499</v>
      </c>
      <c r="CD40">
        <v>297848934.20279199</v>
      </c>
      <c r="CE40">
        <v>297775195.84883499</v>
      </c>
      <c r="CF40">
        <v>297503189.91694897</v>
      </c>
      <c r="CG40">
        <v>297432379.906663</v>
      </c>
      <c r="CH40">
        <v>297919744.21307898</v>
      </c>
      <c r="CI40">
        <v>297432379.906663</v>
      </c>
      <c r="CJ40">
        <v>297576928.27090698</v>
      </c>
      <c r="CK40">
        <v>297846005.85912102</v>
      </c>
      <c r="CL40">
        <v>297506118.26062</v>
      </c>
      <c r="CM40">
        <v>297775195.84883499</v>
      </c>
      <c r="CN40">
        <v>297846005.85912102</v>
      </c>
      <c r="CO40">
        <v>297432379.906663</v>
      </c>
      <c r="CP40">
        <v>297919744.21307898</v>
      </c>
      <c r="CQ40">
        <v>297775195.84883499</v>
      </c>
      <c r="CR40">
        <v>297919744.21307898</v>
      </c>
      <c r="CS40">
        <v>297846005.85912102</v>
      </c>
      <c r="CT40">
        <v>297775195.84883499</v>
      </c>
      <c r="CU40">
        <v>297506118.26062</v>
      </c>
      <c r="CV40">
        <v>297503189.91694897</v>
      </c>
      <c r="CW40">
        <v>297775195.84883499</v>
      </c>
    </row>
    <row r="41" spans="1:101" x14ac:dyDescent="0.2">
      <c r="A41">
        <v>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2">
      <c r="A42">
        <v>14</v>
      </c>
      <c r="B42">
        <v>8923.9987598850894</v>
      </c>
      <c r="C42">
        <v>67847.791179740001</v>
      </c>
      <c r="D42">
        <v>67346.8389366146</v>
      </c>
      <c r="E42">
        <v>9865.7894029465897</v>
      </c>
      <c r="F42">
        <v>10474.5983486817</v>
      </c>
      <c r="G42">
        <v>26476.157486631098</v>
      </c>
      <c r="H42">
        <v>40510.735831703401</v>
      </c>
      <c r="I42">
        <v>9387.1069503543295</v>
      </c>
      <c r="J42">
        <v>42962.712540473702</v>
      </c>
      <c r="K42">
        <v>67816.734260502897</v>
      </c>
      <c r="L42">
        <v>67847.791179740001</v>
      </c>
      <c r="M42">
        <v>10252.7931458156</v>
      </c>
      <c r="N42">
        <v>51046.422806746203</v>
      </c>
      <c r="O42">
        <v>18463.5107485628</v>
      </c>
      <c r="P42">
        <v>25864.656778890901</v>
      </c>
      <c r="Q42">
        <v>22152.937976205802</v>
      </c>
      <c r="R42">
        <v>40184.742127081001</v>
      </c>
      <c r="S42">
        <v>58612.992047967098</v>
      </c>
      <c r="T42">
        <v>9490.2879406359898</v>
      </c>
      <c r="U42">
        <v>59039.974124468397</v>
      </c>
      <c r="V42">
        <v>55369.990525663401</v>
      </c>
      <c r="W42">
        <v>65584.132119824397</v>
      </c>
      <c r="X42">
        <v>50295.2521109968</v>
      </c>
      <c r="Y42">
        <v>66863.3730102228</v>
      </c>
      <c r="Z42">
        <v>20287.123418771</v>
      </c>
      <c r="AA42">
        <v>19529.8875018775</v>
      </c>
      <c r="AB42">
        <v>20013.779652739599</v>
      </c>
      <c r="AC42">
        <v>9358.7688355624105</v>
      </c>
      <c r="AD42">
        <v>62920.469786830501</v>
      </c>
      <c r="AE42">
        <v>48549.011823590699</v>
      </c>
      <c r="AF42">
        <v>65088.932925651497</v>
      </c>
      <c r="AG42">
        <v>36952.207460908503</v>
      </c>
      <c r="AH42">
        <v>25189.7661278419</v>
      </c>
      <c r="AI42">
        <v>45477.890349847497</v>
      </c>
      <c r="AJ42">
        <v>26114.9120497845</v>
      </c>
      <c r="AK42">
        <v>26995.040994885901</v>
      </c>
      <c r="AL42">
        <v>48407.964504524498</v>
      </c>
      <c r="AM42">
        <v>50124.059940558298</v>
      </c>
      <c r="AN42">
        <v>35919.613605036502</v>
      </c>
      <c r="AO42">
        <v>52921.032038921498</v>
      </c>
      <c r="AP42">
        <v>22528.6808622102</v>
      </c>
      <c r="AQ42">
        <v>40329.607243487197</v>
      </c>
      <c r="AR42">
        <v>59950.645691689497</v>
      </c>
      <c r="AS42">
        <v>31977.7137622923</v>
      </c>
      <c r="AT42">
        <v>30230.463642126801</v>
      </c>
      <c r="AU42">
        <v>46437.496108958803</v>
      </c>
      <c r="AV42">
        <v>32618.221224493202</v>
      </c>
      <c r="AW42">
        <v>36774.494127563099</v>
      </c>
      <c r="AX42">
        <v>30461.140635568601</v>
      </c>
      <c r="AY42">
        <v>40064.332058150299</v>
      </c>
      <c r="AZ42">
        <v>61992.146345614201</v>
      </c>
      <c r="BA42">
        <v>41472.525153979201</v>
      </c>
      <c r="BB42">
        <v>65646.800776986202</v>
      </c>
      <c r="BC42">
        <v>46518.2860175963</v>
      </c>
      <c r="BD42">
        <v>50909.391946134499</v>
      </c>
      <c r="BE42">
        <v>55574.743278125599</v>
      </c>
      <c r="BF42">
        <v>32270.332443621701</v>
      </c>
      <c r="BG42">
        <v>66415.012968907104</v>
      </c>
      <c r="BH42">
        <v>51431.961251539004</v>
      </c>
      <c r="BI42">
        <v>27921.147354996101</v>
      </c>
      <c r="BJ42">
        <v>26811.623202218001</v>
      </c>
      <c r="BK42">
        <v>62994.721021031997</v>
      </c>
      <c r="BL42">
        <v>39146.514925926203</v>
      </c>
      <c r="BM42">
        <v>48035.951326077498</v>
      </c>
      <c r="BN42">
        <v>59580.238714958898</v>
      </c>
      <c r="BO42">
        <v>36541.8021213303</v>
      </c>
      <c r="BP42">
        <v>43639.949299790598</v>
      </c>
      <c r="BQ42">
        <v>51035.049669420398</v>
      </c>
      <c r="BR42">
        <v>32567.945376679101</v>
      </c>
      <c r="BS42">
        <v>30978.558242884701</v>
      </c>
      <c r="BT42">
        <v>32220.839349358699</v>
      </c>
      <c r="BU42">
        <v>44632.593369626898</v>
      </c>
      <c r="BV42">
        <v>61795.001235520896</v>
      </c>
      <c r="BW42">
        <v>42490.080472242502</v>
      </c>
      <c r="BX42">
        <v>50940.805771158499</v>
      </c>
      <c r="BY42">
        <v>49016.950864180297</v>
      </c>
      <c r="BZ42">
        <v>21029.468237544999</v>
      </c>
      <c r="CA42">
        <v>28014.503514681899</v>
      </c>
      <c r="CB42">
        <v>48178.030941835597</v>
      </c>
      <c r="CC42">
        <v>10497.2391024279</v>
      </c>
      <c r="CD42">
        <v>46065.715844901002</v>
      </c>
      <c r="CE42">
        <v>15121.4940323952</v>
      </c>
      <c r="CF42">
        <v>67320.4397407668</v>
      </c>
      <c r="CG42">
        <v>36606.023666311397</v>
      </c>
      <c r="CH42">
        <v>11694.4114697486</v>
      </c>
      <c r="CI42">
        <v>54100.770934485699</v>
      </c>
      <c r="CJ42">
        <v>44209.075326695704</v>
      </c>
      <c r="CK42">
        <v>34184.848603732302</v>
      </c>
      <c r="CL42">
        <v>64452.668067985796</v>
      </c>
      <c r="CM42">
        <v>64754.140239398599</v>
      </c>
      <c r="CN42">
        <v>27642.757237447699</v>
      </c>
      <c r="CO42">
        <v>14153.755721764001</v>
      </c>
      <c r="CP42">
        <v>27798.783177167301</v>
      </c>
      <c r="CQ42">
        <v>13544.3326324555</v>
      </c>
      <c r="CR42">
        <v>24769.632153088802</v>
      </c>
      <c r="CS42">
        <v>40239.952179493703</v>
      </c>
      <c r="CT42">
        <v>15983.570156248499</v>
      </c>
      <c r="CU42">
        <v>46115.699653854703</v>
      </c>
      <c r="CV42">
        <v>18745.6944572469</v>
      </c>
      <c r="CW42">
        <v>10155.204221064199</v>
      </c>
    </row>
    <row r="43" spans="1:101" x14ac:dyDescent="0.2">
      <c r="A43">
        <v>15</v>
      </c>
      <c r="B43">
        <v>5597481.0749180997</v>
      </c>
      <c r="C43">
        <v>10522690.9884464</v>
      </c>
      <c r="D43">
        <v>10454763.833216701</v>
      </c>
      <c r="E43">
        <v>4303505.8319450701</v>
      </c>
      <c r="F43">
        <v>5640699.1270979904</v>
      </c>
      <c r="G43">
        <v>7279323.3745398903</v>
      </c>
      <c r="H43">
        <v>8449755.9563210998</v>
      </c>
      <c r="I43">
        <v>2937762.5775315398</v>
      </c>
      <c r="J43">
        <v>8578094.2958421409</v>
      </c>
      <c r="K43">
        <v>10455232.341036201</v>
      </c>
      <c r="L43">
        <v>10522690.9884464</v>
      </c>
      <c r="M43">
        <v>5553117.8094821498</v>
      </c>
      <c r="N43">
        <v>7829368.5006410703</v>
      </c>
      <c r="O43">
        <v>6096435.0260212598</v>
      </c>
      <c r="P43">
        <v>7718008.4740718501</v>
      </c>
      <c r="Q43">
        <v>6624998.5235556299</v>
      </c>
      <c r="R43">
        <v>8267047.2497353898</v>
      </c>
      <c r="S43">
        <v>9609530.8195859008</v>
      </c>
      <c r="T43">
        <v>3322507.0736835101</v>
      </c>
      <c r="U43">
        <v>10117470.5756371</v>
      </c>
      <c r="V43">
        <v>10023499.440275701</v>
      </c>
      <c r="W43">
        <v>10379226.5658776</v>
      </c>
      <c r="X43">
        <v>9706706.5492714494</v>
      </c>
      <c r="Y43">
        <v>10115746.6747183</v>
      </c>
      <c r="Z43">
        <v>6867178.6756943902</v>
      </c>
      <c r="AA43">
        <v>4417906.5331734801</v>
      </c>
      <c r="AB43">
        <v>6363510.9401706103</v>
      </c>
      <c r="AC43">
        <v>3116391.9462199099</v>
      </c>
      <c r="AD43">
        <v>10058987.5172778</v>
      </c>
      <c r="AE43">
        <v>9578511.4902270194</v>
      </c>
      <c r="AF43">
        <v>10400449.858478099</v>
      </c>
      <c r="AG43">
        <v>8770316.4492896907</v>
      </c>
      <c r="AH43">
        <v>7505209.3196831504</v>
      </c>
      <c r="AI43">
        <v>8710893.9091648906</v>
      </c>
      <c r="AJ43">
        <v>5194627.9833104797</v>
      </c>
      <c r="AK43">
        <v>7453979.5891050501</v>
      </c>
      <c r="AL43">
        <v>9611802.1416217107</v>
      </c>
      <c r="AM43">
        <v>9687924.2225299999</v>
      </c>
      <c r="AN43">
        <v>8995593.0596814696</v>
      </c>
      <c r="AO43">
        <v>9521437.3895833008</v>
      </c>
      <c r="AP43">
        <v>4700618.7742704498</v>
      </c>
      <c r="AQ43">
        <v>9424797.6600069199</v>
      </c>
      <c r="AR43">
        <v>10264428.113178801</v>
      </c>
      <c r="AS43">
        <v>7158600.4604211999</v>
      </c>
      <c r="AT43">
        <v>8157732.9947432699</v>
      </c>
      <c r="AU43">
        <v>9413011.6352669392</v>
      </c>
      <c r="AV43">
        <v>8025881.3910539197</v>
      </c>
      <c r="AW43">
        <v>8014606.8920165896</v>
      </c>
      <c r="AX43">
        <v>8474250.6408984903</v>
      </c>
      <c r="AY43">
        <v>8187923.65281926</v>
      </c>
      <c r="AZ43">
        <v>10210503.239150099</v>
      </c>
      <c r="BA43">
        <v>9259634.1123836804</v>
      </c>
      <c r="BB43">
        <v>10336345.099637801</v>
      </c>
      <c r="BC43">
        <v>9266896.1970347501</v>
      </c>
      <c r="BD43">
        <v>9720933.3498489894</v>
      </c>
      <c r="BE43">
        <v>10001917.029358501</v>
      </c>
      <c r="BF43">
        <v>7337839.9601475401</v>
      </c>
      <c r="BG43">
        <v>10449041.216591001</v>
      </c>
      <c r="BH43">
        <v>9851203.9043438099</v>
      </c>
      <c r="BI43">
        <v>7750785.2649940401</v>
      </c>
      <c r="BJ43">
        <v>7770578.6879161596</v>
      </c>
      <c r="BK43">
        <v>10306197.755354</v>
      </c>
      <c r="BL43">
        <v>8627891.3372641299</v>
      </c>
      <c r="BM43">
        <v>9401194.0406715795</v>
      </c>
      <c r="BN43">
        <v>9921491.7108062003</v>
      </c>
      <c r="BO43">
        <v>9148596.3408454992</v>
      </c>
      <c r="BP43">
        <v>8562178.3199848197</v>
      </c>
      <c r="BQ43">
        <v>9840031.3066886701</v>
      </c>
      <c r="BR43">
        <v>8279497.0402014703</v>
      </c>
      <c r="BS43">
        <v>8341699.0538357701</v>
      </c>
      <c r="BT43">
        <v>8122972.7214882895</v>
      </c>
      <c r="BU43">
        <v>8659943.4737304393</v>
      </c>
      <c r="BV43">
        <v>10011039.202529</v>
      </c>
      <c r="BW43">
        <v>9065086.8729718793</v>
      </c>
      <c r="BX43">
        <v>9843432.6403148994</v>
      </c>
      <c r="BY43">
        <v>9356506.6311083101</v>
      </c>
      <c r="BZ43">
        <v>7160857.0052004699</v>
      </c>
      <c r="CA43">
        <v>8544483.84766699</v>
      </c>
      <c r="CB43">
        <v>9232227.8547537308</v>
      </c>
      <c r="CC43">
        <v>3371651.3694377202</v>
      </c>
      <c r="CD43">
        <v>9212916.6639439296</v>
      </c>
      <c r="CE43">
        <v>3875969.7784219598</v>
      </c>
      <c r="CF43">
        <v>10502437.5146713</v>
      </c>
      <c r="CG43">
        <v>8542943.2296193503</v>
      </c>
      <c r="CH43">
        <v>6609320.1507686703</v>
      </c>
      <c r="CI43">
        <v>9906029.2829506192</v>
      </c>
      <c r="CJ43">
        <v>9339844.9829139896</v>
      </c>
      <c r="CK43">
        <v>8343136.6512188399</v>
      </c>
      <c r="CL43">
        <v>10299532.7571309</v>
      </c>
      <c r="CM43">
        <v>10294827.7548516</v>
      </c>
      <c r="CN43">
        <v>8036677.6487012701</v>
      </c>
      <c r="CO43">
        <v>3886869.1310813702</v>
      </c>
      <c r="CP43">
        <v>5423328.9240070796</v>
      </c>
      <c r="CQ43">
        <v>3844525.33291109</v>
      </c>
      <c r="CR43">
        <v>8401414.5590590592</v>
      </c>
      <c r="CS43">
        <v>8757692.5761999208</v>
      </c>
      <c r="CT43">
        <v>4039949.0142438598</v>
      </c>
      <c r="CU43">
        <v>8686387.6740097906</v>
      </c>
      <c r="CV43">
        <v>5826230.9101180397</v>
      </c>
      <c r="CW43">
        <v>3292478.09482778</v>
      </c>
    </row>
    <row r="44" spans="1:101" x14ac:dyDescent="0.2">
      <c r="A44">
        <v>16</v>
      </c>
      <c r="B44">
        <v>527612618.395625</v>
      </c>
      <c r="C44">
        <v>464264161.18632901</v>
      </c>
      <c r="D44">
        <v>464983024.43042898</v>
      </c>
      <c r="E44">
        <v>524358448.238985</v>
      </c>
      <c r="F44">
        <v>527278661.40978098</v>
      </c>
      <c r="G44">
        <v>517437479.87182301</v>
      </c>
      <c r="H44">
        <v>500840479.09202802</v>
      </c>
      <c r="I44">
        <v>526899238.96633798</v>
      </c>
      <c r="J44">
        <v>500734532.21092701</v>
      </c>
      <c r="K44">
        <v>464761677.72504199</v>
      </c>
      <c r="L44">
        <v>464334971.19661599</v>
      </c>
      <c r="M44">
        <v>527387786.53354597</v>
      </c>
      <c r="N44">
        <v>490990722.52438402</v>
      </c>
      <c r="O44">
        <v>523229801.15346599</v>
      </c>
      <c r="P44">
        <v>517419552.90903002</v>
      </c>
      <c r="Q44">
        <v>519198529.06020403</v>
      </c>
      <c r="R44">
        <v>503134140.253488</v>
      </c>
      <c r="S44">
        <v>480282474.11782998</v>
      </c>
      <c r="T44">
        <v>525593709.25616199</v>
      </c>
      <c r="U44">
        <v>475949492.35110402</v>
      </c>
      <c r="V44">
        <v>478617761.27407199</v>
      </c>
      <c r="W44">
        <v>468507401.76959002</v>
      </c>
      <c r="X44">
        <v>485233856.85602403</v>
      </c>
      <c r="Y44">
        <v>474446573.76448298</v>
      </c>
      <c r="Z44">
        <v>521318110.69054502</v>
      </c>
      <c r="AA44">
        <v>519520383.99590898</v>
      </c>
      <c r="AB44">
        <v>520276807.92901498</v>
      </c>
      <c r="AC44">
        <v>526076934.50073302</v>
      </c>
      <c r="AD44">
        <v>473420821.927845</v>
      </c>
      <c r="AE44">
        <v>488889241.08053702</v>
      </c>
      <c r="AF44">
        <v>467005785.49139899</v>
      </c>
      <c r="AG44">
        <v>503153246.28800499</v>
      </c>
      <c r="AH44">
        <v>518597221.53142399</v>
      </c>
      <c r="AI44">
        <v>496880821.01053602</v>
      </c>
      <c r="AJ44">
        <v>514188119.28340602</v>
      </c>
      <c r="AK44">
        <v>516884897.74227703</v>
      </c>
      <c r="AL44">
        <v>488582804.82343298</v>
      </c>
      <c r="AM44">
        <v>486154114.85070997</v>
      </c>
      <c r="AN44">
        <v>498494888.77309299</v>
      </c>
      <c r="AO44">
        <v>490777205.87386203</v>
      </c>
      <c r="AP44">
        <v>517258098.33854198</v>
      </c>
      <c r="AQ44">
        <v>492568596.25651097</v>
      </c>
      <c r="AR44">
        <v>472494724.642735</v>
      </c>
      <c r="AS44">
        <v>507685456.95267701</v>
      </c>
      <c r="AT44">
        <v>510940463.91141498</v>
      </c>
      <c r="AU44">
        <v>491393421.704265</v>
      </c>
      <c r="AV44">
        <v>505253951.30825901</v>
      </c>
      <c r="AW44">
        <v>507654722.32469398</v>
      </c>
      <c r="AX44">
        <v>508571716.39526701</v>
      </c>
      <c r="AY44">
        <v>502055680.21954</v>
      </c>
      <c r="AZ44">
        <v>471953275.25086498</v>
      </c>
      <c r="BA44">
        <v>494727082.75936598</v>
      </c>
      <c r="BB44">
        <v>469138266.50026</v>
      </c>
      <c r="BC44">
        <v>493366897.537745</v>
      </c>
      <c r="BD44">
        <v>485933568.690521</v>
      </c>
      <c r="BE44">
        <v>479480239.78587401</v>
      </c>
      <c r="BF44">
        <v>506591784.70032799</v>
      </c>
      <c r="BG44">
        <v>466290515.33551902</v>
      </c>
      <c r="BH44">
        <v>482492250.375337</v>
      </c>
      <c r="BI44">
        <v>516121381.40490401</v>
      </c>
      <c r="BJ44">
        <v>512117312.47175902</v>
      </c>
      <c r="BK44">
        <v>471112882.83067799</v>
      </c>
      <c r="BL44">
        <v>501109723.703623</v>
      </c>
      <c r="BM44">
        <v>486968286.40305799</v>
      </c>
      <c r="BN44">
        <v>481277481.164985</v>
      </c>
      <c r="BO44">
        <v>497601328.32556099</v>
      </c>
      <c r="BP44">
        <v>499279726.554811</v>
      </c>
      <c r="BQ44">
        <v>482976814.69598299</v>
      </c>
      <c r="BR44">
        <v>512710366.62876099</v>
      </c>
      <c r="BS44">
        <v>508491862.56461799</v>
      </c>
      <c r="BT44">
        <v>508474552.363123</v>
      </c>
      <c r="BU44">
        <v>497687963.31199098</v>
      </c>
      <c r="BV44">
        <v>475377214.46227002</v>
      </c>
      <c r="BW44">
        <v>500277531.87507898</v>
      </c>
      <c r="BX44">
        <v>483593152.44384003</v>
      </c>
      <c r="BY44">
        <v>493820451.21774203</v>
      </c>
      <c r="BZ44">
        <v>520369821.94310802</v>
      </c>
      <c r="CA44">
        <v>506070865.779661</v>
      </c>
      <c r="CB44">
        <v>496168242.29185098</v>
      </c>
      <c r="CC44">
        <v>525029256.64002597</v>
      </c>
      <c r="CD44">
        <v>498016321.130283</v>
      </c>
      <c r="CE44">
        <v>521925537.37570602</v>
      </c>
      <c r="CF44">
        <v>464821992.66792202</v>
      </c>
      <c r="CG44">
        <v>504901296.99307603</v>
      </c>
      <c r="CH44">
        <v>523320980.50325203</v>
      </c>
      <c r="CI44">
        <v>480134808.43519002</v>
      </c>
      <c r="CJ44">
        <v>499049462.17527902</v>
      </c>
      <c r="CK44">
        <v>505919593.246032</v>
      </c>
      <c r="CL44">
        <v>469864461.507833</v>
      </c>
      <c r="CM44">
        <v>469879500.53889298</v>
      </c>
      <c r="CN44">
        <v>515645686.28538102</v>
      </c>
      <c r="CO44">
        <v>522504608.88698202</v>
      </c>
      <c r="CP44">
        <v>515131584.169671</v>
      </c>
      <c r="CQ44">
        <v>523054713.63102698</v>
      </c>
      <c r="CR44">
        <v>508536676.79005098</v>
      </c>
      <c r="CS44">
        <v>500378639.61837798</v>
      </c>
      <c r="CT44">
        <v>521774155.28574097</v>
      </c>
      <c r="CU44">
        <v>495186416.22046202</v>
      </c>
      <c r="CV44">
        <v>519236548.14110798</v>
      </c>
      <c r="CW44">
        <v>525315345.334203</v>
      </c>
    </row>
    <row r="45" spans="1:101" x14ac:dyDescent="0.2">
      <c r="A45">
        <v>17</v>
      </c>
      <c r="B45">
        <v>1693304587.3347001</v>
      </c>
      <c r="C45">
        <v>1376002637.04287</v>
      </c>
      <c r="D45">
        <v>1370871840.63166</v>
      </c>
      <c r="E45">
        <v>1698720620.6104801</v>
      </c>
      <c r="F45">
        <v>1696341203.5533099</v>
      </c>
      <c r="G45">
        <v>1672718651.07107</v>
      </c>
      <c r="H45">
        <v>1645131101.0715101</v>
      </c>
      <c r="I45">
        <v>1698678158.5670199</v>
      </c>
      <c r="J45">
        <v>1628336297.04217</v>
      </c>
      <c r="K45">
        <v>1372655906.67905</v>
      </c>
      <c r="L45">
        <v>1376002637.04287</v>
      </c>
      <c r="M45">
        <v>1698710312.4607201</v>
      </c>
      <c r="N45">
        <v>1562960865.11326</v>
      </c>
      <c r="O45">
        <v>1683337430.9865</v>
      </c>
      <c r="P45">
        <v>1675477090.8470099</v>
      </c>
      <c r="Q45">
        <v>1678248733.6215501</v>
      </c>
      <c r="R45">
        <v>1616883281.0786901</v>
      </c>
      <c r="S45">
        <v>1503555559.19519</v>
      </c>
      <c r="T45">
        <v>1695736550.3599801</v>
      </c>
      <c r="U45">
        <v>1456840634.79369</v>
      </c>
      <c r="V45">
        <v>1476601172.9361801</v>
      </c>
      <c r="W45">
        <v>1399442394.76336</v>
      </c>
      <c r="X45">
        <v>1513730820.3134799</v>
      </c>
      <c r="Y45">
        <v>1448203785.16554</v>
      </c>
      <c r="Z45">
        <v>1678770664.0919001</v>
      </c>
      <c r="AA45">
        <v>1694515217.44489</v>
      </c>
      <c r="AB45">
        <v>1667625789.89732</v>
      </c>
      <c r="AC45">
        <v>1698761690.4194901</v>
      </c>
      <c r="AD45">
        <v>1429597826.7437799</v>
      </c>
      <c r="AE45">
        <v>1536259919.49981</v>
      </c>
      <c r="AF45">
        <v>1388915922.42191</v>
      </c>
      <c r="AG45">
        <v>1608699527.9351399</v>
      </c>
      <c r="AH45">
        <v>1675009887.90534</v>
      </c>
      <c r="AI45">
        <v>1614782607.2832899</v>
      </c>
      <c r="AJ45">
        <v>1668741706.2132001</v>
      </c>
      <c r="AK45">
        <v>1684450261.8443</v>
      </c>
      <c r="AL45">
        <v>1539626045.17941</v>
      </c>
      <c r="AM45">
        <v>1530267346.3713801</v>
      </c>
      <c r="AN45">
        <v>1580673448.6358399</v>
      </c>
      <c r="AO45">
        <v>1557585229.5284801</v>
      </c>
      <c r="AP45">
        <v>1686035615.71363</v>
      </c>
      <c r="AQ45">
        <v>1554541078.0209501</v>
      </c>
      <c r="AR45">
        <v>1436295586.01876</v>
      </c>
      <c r="AS45">
        <v>1657317170.5401599</v>
      </c>
      <c r="AT45">
        <v>1647706561.3685801</v>
      </c>
      <c r="AU45">
        <v>1544987292.9066501</v>
      </c>
      <c r="AV45">
        <v>1667122193.92191</v>
      </c>
      <c r="AW45">
        <v>1641740341.1621399</v>
      </c>
      <c r="AX45">
        <v>1635984000.3691299</v>
      </c>
      <c r="AY45">
        <v>1643424312.6423199</v>
      </c>
      <c r="AZ45">
        <v>1420949314.3831601</v>
      </c>
      <c r="BA45">
        <v>1575069580.5877199</v>
      </c>
      <c r="BB45">
        <v>1409916568.67202</v>
      </c>
      <c r="BC45">
        <v>1565793293.4151101</v>
      </c>
      <c r="BD45">
        <v>1530725628.1600001</v>
      </c>
      <c r="BE45">
        <v>1487185723.8250101</v>
      </c>
      <c r="BF45">
        <v>1654275411.8299401</v>
      </c>
      <c r="BG45">
        <v>1386967229.78722</v>
      </c>
      <c r="BH45">
        <v>1499930563.2869201</v>
      </c>
      <c r="BI45">
        <v>1670464485.8308499</v>
      </c>
      <c r="BJ45">
        <v>1633144207.8557701</v>
      </c>
      <c r="BK45">
        <v>1421642636.9403501</v>
      </c>
      <c r="BL45">
        <v>1654442056.2455499</v>
      </c>
      <c r="BM45">
        <v>1502891046.4251499</v>
      </c>
      <c r="BN45">
        <v>1494055375.63306</v>
      </c>
      <c r="BO45">
        <v>1582439944.9723699</v>
      </c>
      <c r="BP45">
        <v>1630081308.51373</v>
      </c>
      <c r="BQ45">
        <v>1502027867.30229</v>
      </c>
      <c r="BR45">
        <v>1664201350.2745099</v>
      </c>
      <c r="BS45">
        <v>1624682369.0279601</v>
      </c>
      <c r="BT45">
        <v>1661030812.0271499</v>
      </c>
      <c r="BU45">
        <v>1594280695.6761999</v>
      </c>
      <c r="BV45">
        <v>1439551660.8377299</v>
      </c>
      <c r="BW45">
        <v>1619188014.4363799</v>
      </c>
      <c r="BX45">
        <v>1508056485.8731</v>
      </c>
      <c r="BY45">
        <v>1573110008.55775</v>
      </c>
      <c r="BZ45">
        <v>1679977987.0992301</v>
      </c>
      <c r="CA45">
        <v>1619111470.1986001</v>
      </c>
      <c r="CB45">
        <v>1585869428.6986301</v>
      </c>
      <c r="CC45">
        <v>1697204694.9837101</v>
      </c>
      <c r="CD45">
        <v>1600025965.8617301</v>
      </c>
      <c r="CE45">
        <v>1690598074.9764099</v>
      </c>
      <c r="CF45">
        <v>1379060245.95892</v>
      </c>
      <c r="CG45">
        <v>1613694296.67888</v>
      </c>
      <c r="CH45">
        <v>1689192595.2541599</v>
      </c>
      <c r="CI45">
        <v>1485765443.9192801</v>
      </c>
      <c r="CJ45">
        <v>1622735987.20842</v>
      </c>
      <c r="CK45">
        <v>1685292365.2981801</v>
      </c>
      <c r="CL45">
        <v>1414215203.3415</v>
      </c>
      <c r="CM45">
        <v>1412116156.56673</v>
      </c>
      <c r="CN45">
        <v>1679525820.9838901</v>
      </c>
      <c r="CO45">
        <v>1693433445.64399</v>
      </c>
      <c r="CP45">
        <v>1687441427.7252901</v>
      </c>
      <c r="CQ45">
        <v>1694320387.3434999</v>
      </c>
      <c r="CR45">
        <v>1627693786.2384601</v>
      </c>
      <c r="CS45">
        <v>1645873757.7409799</v>
      </c>
      <c r="CT45">
        <v>1693338187.83236</v>
      </c>
      <c r="CU45">
        <v>1601308153.5934501</v>
      </c>
      <c r="CV45">
        <v>1695388591.84655</v>
      </c>
      <c r="CW45">
        <v>1697290635.0583501</v>
      </c>
    </row>
    <row r="46" spans="1:101" x14ac:dyDescent="0.2">
      <c r="A46">
        <v>18</v>
      </c>
      <c r="B46">
        <v>506498123.66775399</v>
      </c>
      <c r="C46">
        <v>405833179.74614799</v>
      </c>
      <c r="D46">
        <v>404302574.59207302</v>
      </c>
      <c r="E46">
        <v>507495188.29282999</v>
      </c>
      <c r="F46">
        <v>506780400.26006699</v>
      </c>
      <c r="G46">
        <v>498206561.12733102</v>
      </c>
      <c r="H46">
        <v>484542716.09653002</v>
      </c>
      <c r="I46">
        <v>507492131.35414302</v>
      </c>
      <c r="J46">
        <v>478798737.06535703</v>
      </c>
      <c r="K46">
        <v>404877812.848984</v>
      </c>
      <c r="L46">
        <v>405833179.74614799</v>
      </c>
      <c r="M46">
        <v>507376939.06312197</v>
      </c>
      <c r="N46">
        <v>460229157.32509398</v>
      </c>
      <c r="O46">
        <v>501591242.89776802</v>
      </c>
      <c r="P46">
        <v>498020813.30290103</v>
      </c>
      <c r="Q46">
        <v>498953155.96464598</v>
      </c>
      <c r="R46">
        <v>478290394.75884801</v>
      </c>
      <c r="S46">
        <v>441547131.59851903</v>
      </c>
      <c r="T46">
        <v>506746398.94758499</v>
      </c>
      <c r="U46">
        <v>429292778.39634699</v>
      </c>
      <c r="V46">
        <v>435845942.73810101</v>
      </c>
      <c r="W46">
        <v>412692552.74075401</v>
      </c>
      <c r="X46">
        <v>445952250.41883498</v>
      </c>
      <c r="Y46">
        <v>425086079.64362401</v>
      </c>
      <c r="Z46">
        <v>500341730.77976501</v>
      </c>
      <c r="AA46">
        <v>503181508.845128</v>
      </c>
      <c r="AB46">
        <v>497439033.15851098</v>
      </c>
      <c r="AC46">
        <v>507081021.39675498</v>
      </c>
      <c r="AD46">
        <v>421516827.01059097</v>
      </c>
      <c r="AE46">
        <v>453218647.149575</v>
      </c>
      <c r="AF46">
        <v>410215610.17222899</v>
      </c>
      <c r="AG46">
        <v>475776220.987966</v>
      </c>
      <c r="AH46">
        <v>498278277.82542402</v>
      </c>
      <c r="AI46">
        <v>475878238.46627402</v>
      </c>
      <c r="AJ46">
        <v>495609565.27007997</v>
      </c>
      <c r="AK46">
        <v>499035777.63798201</v>
      </c>
      <c r="AL46">
        <v>454393777.44826698</v>
      </c>
      <c r="AM46">
        <v>449782422.94395399</v>
      </c>
      <c r="AN46">
        <v>467821015.5018</v>
      </c>
      <c r="AO46">
        <v>458049390.61763799</v>
      </c>
      <c r="AP46">
        <v>499660467.95460403</v>
      </c>
      <c r="AQ46">
        <v>459840746.40560502</v>
      </c>
      <c r="AR46">
        <v>424070951.18208998</v>
      </c>
      <c r="AS46">
        <v>490075681.652879</v>
      </c>
      <c r="AT46">
        <v>487891443.88659197</v>
      </c>
      <c r="AU46">
        <v>455887873.92807001</v>
      </c>
      <c r="AV46">
        <v>492705552.48299301</v>
      </c>
      <c r="AW46">
        <v>486193962.08397698</v>
      </c>
      <c r="AX46">
        <v>484969441.72447002</v>
      </c>
      <c r="AY46">
        <v>484607997.24889302</v>
      </c>
      <c r="AZ46">
        <v>419290442.96325302</v>
      </c>
      <c r="BA46">
        <v>465527209.0686</v>
      </c>
      <c r="BB46">
        <v>414902413.78194398</v>
      </c>
      <c r="BC46">
        <v>462707555.07532799</v>
      </c>
      <c r="BD46">
        <v>449901778.80676901</v>
      </c>
      <c r="BE46">
        <v>437721404.33537602</v>
      </c>
      <c r="BF46">
        <v>489557329.27553499</v>
      </c>
      <c r="BG46">
        <v>408896308.18928301</v>
      </c>
      <c r="BH46">
        <v>441813402.53787202</v>
      </c>
      <c r="BI46">
        <v>495387553.30590898</v>
      </c>
      <c r="BJ46">
        <v>485496524.87227499</v>
      </c>
      <c r="BK46">
        <v>419869675.10307997</v>
      </c>
      <c r="BL46">
        <v>487332861.33644599</v>
      </c>
      <c r="BM46">
        <v>445181133.90662903</v>
      </c>
      <c r="BN46">
        <v>439976203.34389699</v>
      </c>
      <c r="BO46">
        <v>468635295.98446798</v>
      </c>
      <c r="BP46">
        <v>480225017.648745</v>
      </c>
      <c r="BQ46">
        <v>443902082.28698498</v>
      </c>
      <c r="BR46">
        <v>492920084.78834498</v>
      </c>
      <c r="BS46">
        <v>482563656.366175</v>
      </c>
      <c r="BT46">
        <v>491494353.11703098</v>
      </c>
      <c r="BU46">
        <v>469635802.68477201</v>
      </c>
      <c r="BV46">
        <v>424902066.75823897</v>
      </c>
      <c r="BW46">
        <v>477479997.66292697</v>
      </c>
      <c r="BX46">
        <v>445592444.08447999</v>
      </c>
      <c r="BY46">
        <v>463711513.91306901</v>
      </c>
      <c r="BZ46">
        <v>500311228.02662998</v>
      </c>
      <c r="CA46">
        <v>480256498.09559602</v>
      </c>
      <c r="CB46">
        <v>467975745.56657398</v>
      </c>
      <c r="CC46">
        <v>506446014.69511402</v>
      </c>
      <c r="CD46">
        <v>472134961.165968</v>
      </c>
      <c r="CE46">
        <v>503574512.09972203</v>
      </c>
      <c r="CF46">
        <v>406767415.56975901</v>
      </c>
      <c r="CG46">
        <v>478553654.10615897</v>
      </c>
      <c r="CH46">
        <v>503750234.16611201</v>
      </c>
      <c r="CI46">
        <v>439539512.54921001</v>
      </c>
      <c r="CJ46">
        <v>478119698.29233098</v>
      </c>
      <c r="CK46">
        <v>496119614.59525299</v>
      </c>
      <c r="CL46">
        <v>416796685.58812398</v>
      </c>
      <c r="CM46">
        <v>415555960.54051298</v>
      </c>
      <c r="CN46">
        <v>498105468.01079601</v>
      </c>
      <c r="CO46">
        <v>504798226.66691399</v>
      </c>
      <c r="CP46">
        <v>500300064.74409801</v>
      </c>
      <c r="CQ46">
        <v>505032522.87010098</v>
      </c>
      <c r="CR46">
        <v>483166187.942653</v>
      </c>
      <c r="CS46">
        <v>484405673.64893502</v>
      </c>
      <c r="CT46">
        <v>504355758.38398099</v>
      </c>
      <c r="CU46">
        <v>471718645.13464302</v>
      </c>
      <c r="CV46">
        <v>504421896.92248601</v>
      </c>
      <c r="CW46">
        <v>506520984.313622</v>
      </c>
    </row>
    <row r="47" spans="1:101" x14ac:dyDescent="0.2">
      <c r="A47">
        <v>19</v>
      </c>
      <c r="B47">
        <v>1559889.9377699399</v>
      </c>
      <c r="C47">
        <v>12639082.0003874</v>
      </c>
      <c r="D47">
        <v>9350968.3028330803</v>
      </c>
      <c r="E47">
        <v>3288113.6975544002</v>
      </c>
      <c r="F47">
        <v>161933.53</v>
      </c>
      <c r="G47">
        <v>12477148.470387399</v>
      </c>
      <c r="H47">
        <v>0</v>
      </c>
      <c r="I47">
        <v>1397956.4077699401</v>
      </c>
      <c r="J47">
        <v>4686070.1053243401</v>
      </c>
      <c r="K47">
        <v>7953011.8950631302</v>
      </c>
      <c r="L47">
        <v>11241125.592617501</v>
      </c>
      <c r="M47">
        <v>3450047.2275544</v>
      </c>
      <c r="N47">
        <v>7791078.3650631299</v>
      </c>
      <c r="O47">
        <v>9189034.7728330791</v>
      </c>
      <c r="P47">
        <v>4848003.6353243403</v>
      </c>
      <c r="Q47">
        <v>1397956.4077699401</v>
      </c>
      <c r="R47">
        <v>11079192.062617499</v>
      </c>
      <c r="S47">
        <v>1397956.4077699401</v>
      </c>
      <c r="T47">
        <v>9189034.7728330791</v>
      </c>
      <c r="U47">
        <v>11241125.592617501</v>
      </c>
      <c r="V47">
        <v>4848003.6353243403</v>
      </c>
      <c r="W47">
        <v>7953011.8950631302</v>
      </c>
      <c r="X47">
        <v>9350968.3028330803</v>
      </c>
      <c r="Y47">
        <v>9350968.3028330803</v>
      </c>
      <c r="Z47">
        <v>4848003.6353243403</v>
      </c>
      <c r="AA47">
        <v>9189034.7728330791</v>
      </c>
      <c r="AB47">
        <v>3450047.2275544</v>
      </c>
      <c r="AC47">
        <v>1397956.4077699401</v>
      </c>
      <c r="AD47">
        <v>4848003.6353243403</v>
      </c>
      <c r="AE47">
        <v>9350968.3028330803</v>
      </c>
      <c r="AF47">
        <v>9350968.3028330803</v>
      </c>
      <c r="AG47">
        <v>1559889.9377699399</v>
      </c>
      <c r="AH47">
        <v>9350968.3028330803</v>
      </c>
      <c r="AI47">
        <v>4686070.1053243401</v>
      </c>
      <c r="AJ47">
        <v>11079192.062617499</v>
      </c>
      <c r="AK47">
        <v>1397956.4077699401</v>
      </c>
      <c r="AL47">
        <v>12639082.0003874</v>
      </c>
      <c r="AM47">
        <v>12639082.0003874</v>
      </c>
      <c r="AN47">
        <v>1559889.9377699399</v>
      </c>
      <c r="AO47">
        <v>9350968.3028330803</v>
      </c>
      <c r="AP47">
        <v>7791078.3650631299</v>
      </c>
      <c r="AQ47">
        <v>7953011.8950631302</v>
      </c>
      <c r="AR47">
        <v>11241125.592617501</v>
      </c>
      <c r="AS47">
        <v>0</v>
      </c>
      <c r="AT47">
        <v>1559889.9377699399</v>
      </c>
      <c r="AU47">
        <v>1559889.9377699399</v>
      </c>
      <c r="AV47">
        <v>4686070.1053243401</v>
      </c>
      <c r="AW47">
        <v>12477148.470387399</v>
      </c>
      <c r="AX47">
        <v>1559889.9377699399</v>
      </c>
      <c r="AY47">
        <v>0</v>
      </c>
      <c r="AZ47">
        <v>9350968.3028330803</v>
      </c>
      <c r="BA47">
        <v>11241125.592617501</v>
      </c>
      <c r="BB47">
        <v>12639082.0003874</v>
      </c>
      <c r="BC47">
        <v>4848003.6353243403</v>
      </c>
      <c r="BD47">
        <v>11241125.592617501</v>
      </c>
      <c r="BE47">
        <v>11241125.592617501</v>
      </c>
      <c r="BF47">
        <v>12477148.470387399</v>
      </c>
      <c r="BG47">
        <v>11241125.592617501</v>
      </c>
      <c r="BH47">
        <v>9350968.3028330803</v>
      </c>
      <c r="BI47">
        <v>1559889.9377699399</v>
      </c>
      <c r="BJ47">
        <v>1559889.9377699399</v>
      </c>
      <c r="BK47">
        <v>7953011.8950631302</v>
      </c>
      <c r="BL47">
        <v>11079192.062617499</v>
      </c>
      <c r="BM47">
        <v>4848003.6353243403</v>
      </c>
      <c r="BN47">
        <v>3450047.2275544</v>
      </c>
      <c r="BO47">
        <v>9350968.3028330803</v>
      </c>
      <c r="BP47">
        <v>1397956.4077699401</v>
      </c>
      <c r="BQ47">
        <v>4848003.6353243403</v>
      </c>
      <c r="BR47">
        <v>9350968.3028330803</v>
      </c>
      <c r="BS47">
        <v>12639082.0003874</v>
      </c>
      <c r="BT47">
        <v>11079192.062617499</v>
      </c>
      <c r="BU47">
        <v>4686070.1053243401</v>
      </c>
      <c r="BV47">
        <v>9350968.3028330803</v>
      </c>
      <c r="BW47">
        <v>11241125.592617501</v>
      </c>
      <c r="BX47">
        <v>3450047.2275544</v>
      </c>
      <c r="BY47">
        <v>12639082.0003874</v>
      </c>
      <c r="BZ47">
        <v>4848003.6353243403</v>
      </c>
      <c r="CA47">
        <v>161933.53</v>
      </c>
      <c r="CB47">
        <v>161933.53</v>
      </c>
      <c r="CC47">
        <v>9189034.7728330791</v>
      </c>
      <c r="CD47">
        <v>1559889.9377699399</v>
      </c>
      <c r="CE47">
        <v>9189034.7728330791</v>
      </c>
      <c r="CF47">
        <v>11241125.592617501</v>
      </c>
      <c r="CG47">
        <v>12639082.0003874</v>
      </c>
      <c r="CH47">
        <v>161933.53</v>
      </c>
      <c r="CI47">
        <v>12639082.0003874</v>
      </c>
      <c r="CJ47">
        <v>3450047.2275544</v>
      </c>
      <c r="CK47">
        <v>7791078.3650631299</v>
      </c>
      <c r="CL47">
        <v>4848003.6353243403</v>
      </c>
      <c r="CM47">
        <v>9350968.3028330803</v>
      </c>
      <c r="CN47">
        <v>7953011.8950631302</v>
      </c>
      <c r="CO47">
        <v>12477148.470387399</v>
      </c>
      <c r="CP47">
        <v>0</v>
      </c>
      <c r="CQ47">
        <v>9189034.7728330791</v>
      </c>
      <c r="CR47">
        <v>161933.53</v>
      </c>
      <c r="CS47">
        <v>7791078.3650631299</v>
      </c>
      <c r="CT47">
        <v>9189034.7728330791</v>
      </c>
      <c r="CU47">
        <v>4686070.1053243401</v>
      </c>
      <c r="CV47">
        <v>11079192.062617499</v>
      </c>
      <c r="CW47">
        <v>9189034.7728330791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B8A5-8097-4896-9527-1D0A00943F2B}">
  <dimension ref="A1:AQ110"/>
  <sheetViews>
    <sheetView tabSelected="1" topLeftCell="Q1" zoomScale="70" zoomScaleNormal="70" workbookViewId="0">
      <selection activeCell="X10" sqref="X10"/>
    </sheetView>
  </sheetViews>
  <sheetFormatPr defaultRowHeight="14.25" x14ac:dyDescent="0.2"/>
  <cols>
    <col min="1" max="1" width="18.75" bestFit="1" customWidth="1"/>
    <col min="2" max="2" width="13.75" style="14" bestFit="1" customWidth="1"/>
    <col min="3" max="4" width="9" style="14"/>
    <col min="6" max="6" width="10" bestFit="1" customWidth="1"/>
    <col min="7" max="7" width="9.25" bestFit="1" customWidth="1"/>
    <col min="8" max="8" width="13.875" customWidth="1"/>
    <col min="9" max="9" width="13.25" bestFit="1" customWidth="1"/>
    <col min="11" max="11" width="10" bestFit="1" customWidth="1"/>
    <col min="12" max="12" width="9.25" bestFit="1" customWidth="1"/>
    <col min="13" max="13" width="13.5" customWidth="1"/>
    <col min="14" max="14" width="13.25" bestFit="1" customWidth="1"/>
    <col min="16" max="16" width="36.75" style="14" bestFit="1" customWidth="1"/>
    <col min="17" max="17" width="15.125" style="163" bestFit="1" customWidth="1"/>
    <col min="18" max="19" width="12" style="14" customWidth="1"/>
    <col min="20" max="20" width="22.25" style="14" customWidth="1"/>
    <col min="21" max="21" width="19.625" style="14" bestFit="1" customWidth="1"/>
    <col min="23" max="23" width="16.25" style="14" customWidth="1"/>
    <col min="24" max="24" width="14.75" style="163" bestFit="1" customWidth="1"/>
    <col min="25" max="25" width="14.75" style="14" bestFit="1" customWidth="1"/>
    <col min="26" max="26" width="12.25" style="14" customWidth="1"/>
    <col min="27" max="27" width="16.25" style="14" customWidth="1"/>
    <col min="28" max="28" width="11.375" style="14" customWidth="1"/>
    <col min="29" max="29" width="7.875" style="14" bestFit="1" customWidth="1"/>
  </cols>
  <sheetData>
    <row r="1" spans="1:43" s="155" customFormat="1" x14ac:dyDescent="0.2">
      <c r="A1" s="155" t="s">
        <v>625</v>
      </c>
      <c r="B1" s="154"/>
      <c r="C1" s="154"/>
      <c r="D1" s="154"/>
      <c r="F1" s="160" t="s">
        <v>621</v>
      </c>
      <c r="G1" s="160"/>
      <c r="H1" s="160"/>
      <c r="I1" s="160"/>
      <c r="K1" s="160" t="s">
        <v>620</v>
      </c>
      <c r="L1" s="160"/>
      <c r="M1" s="160"/>
      <c r="N1" s="160"/>
      <c r="P1" s="158" t="s">
        <v>621</v>
      </c>
      <c r="Q1" s="158"/>
      <c r="R1" s="158"/>
      <c r="S1" s="158"/>
      <c r="T1" s="158"/>
      <c r="U1" s="158"/>
      <c r="V1" s="155" t="s">
        <v>737</v>
      </c>
      <c r="W1" s="158" t="s">
        <v>620</v>
      </c>
      <c r="X1" s="156"/>
      <c r="Y1" s="158"/>
      <c r="Z1" s="158"/>
      <c r="AA1" s="158"/>
      <c r="AB1" s="158"/>
      <c r="AC1" s="158"/>
    </row>
    <row r="2" spans="1:43" s="155" customFormat="1" x14ac:dyDescent="0.2">
      <c r="A2" s="154" t="s">
        <v>518</v>
      </c>
      <c r="B2" s="154" t="s">
        <v>514</v>
      </c>
      <c r="C2" s="154" t="s">
        <v>515</v>
      </c>
      <c r="D2" s="154"/>
      <c r="F2" s="155" t="s">
        <v>622</v>
      </c>
      <c r="G2" s="155" t="s">
        <v>623</v>
      </c>
      <c r="H2" s="155" t="s">
        <v>732</v>
      </c>
      <c r="I2" s="155" t="s">
        <v>624</v>
      </c>
      <c r="K2" s="155" t="s">
        <v>622</v>
      </c>
      <c r="L2" s="155" t="s">
        <v>623</v>
      </c>
      <c r="M2" s="155" t="s">
        <v>732</v>
      </c>
      <c r="N2" s="155" t="s">
        <v>624</v>
      </c>
      <c r="P2" s="158" t="s">
        <v>727</v>
      </c>
      <c r="Q2" s="156" t="s">
        <v>731</v>
      </c>
      <c r="R2" s="158" t="s">
        <v>738</v>
      </c>
      <c r="S2" s="158" t="s">
        <v>741</v>
      </c>
      <c r="T2" s="158" t="s">
        <v>729</v>
      </c>
      <c r="U2" s="158" t="s">
        <v>735</v>
      </c>
      <c r="W2" s="158" t="s">
        <v>727</v>
      </c>
      <c r="X2" s="156" t="s">
        <v>731</v>
      </c>
      <c r="Y2" s="158" t="s">
        <v>738</v>
      </c>
      <c r="Z2" s="158" t="s">
        <v>741</v>
      </c>
      <c r="AA2" s="158" t="s">
        <v>729</v>
      </c>
      <c r="AB2" s="158" t="s">
        <v>735</v>
      </c>
      <c r="AC2" s="158" t="s">
        <v>736</v>
      </c>
      <c r="AE2" s="155" t="s">
        <v>726</v>
      </c>
      <c r="AF2" s="155" t="s">
        <v>730</v>
      </c>
      <c r="AG2" s="155" t="s">
        <v>730</v>
      </c>
      <c r="AH2" s="155" t="s">
        <v>728</v>
      </c>
      <c r="AI2" s="155" t="s">
        <v>734</v>
      </c>
      <c r="AJ2" s="155" t="s">
        <v>733</v>
      </c>
      <c r="AL2" s="155" t="s">
        <v>726</v>
      </c>
      <c r="AM2" s="155" t="s">
        <v>730</v>
      </c>
      <c r="AN2" s="155" t="s">
        <v>730</v>
      </c>
      <c r="AO2" s="155" t="s">
        <v>728</v>
      </c>
      <c r="AP2" s="155" t="s">
        <v>734</v>
      </c>
      <c r="AQ2" s="155" t="s">
        <v>733</v>
      </c>
    </row>
    <row r="3" spans="1:43" x14ac:dyDescent="0.2">
      <c r="A3" s="94" t="s">
        <v>244</v>
      </c>
      <c r="B3" s="93">
        <v>7927673.0393279996</v>
      </c>
      <c r="C3" s="14" t="s">
        <v>516</v>
      </c>
      <c r="E3" t="s">
        <v>626</v>
      </c>
      <c r="F3" s="43">
        <v>4740186.0403667903</v>
      </c>
      <c r="G3" s="43">
        <v>654909.24563754397</v>
      </c>
      <c r="H3" s="43">
        <v>4433987.4645375097</v>
      </c>
      <c r="I3" s="43">
        <v>445453724.46146399</v>
      </c>
      <c r="J3" s="43"/>
      <c r="K3" s="43">
        <v>6660672.7733653197</v>
      </c>
      <c r="L3" s="43">
        <v>208700.458629584</v>
      </c>
      <c r="M3" s="43">
        <v>5597481.0749180997</v>
      </c>
      <c r="N3" s="43">
        <v>527612618.395625</v>
      </c>
      <c r="P3" s="78">
        <f>($B$6-I3)/($B$4-G3)</f>
        <v>706.27497886517938</v>
      </c>
      <c r="Q3" s="161">
        <f>($B$6-I3+H3)*59660/113700/($B$4-L4)</f>
        <v>73.557961752760818</v>
      </c>
      <c r="R3" s="78">
        <f>H3/113700*59660/($B$4-L3)</f>
        <v>4.1133921581292743</v>
      </c>
      <c r="S3" s="126">
        <f>($B$4-G3)/$B$4</f>
        <v>0.15420335229678245</v>
      </c>
      <c r="T3" s="93">
        <f>($B$6-I3)/($B$3-F3)</f>
        <v>26.456621002853318</v>
      </c>
      <c r="U3" s="125">
        <v>0.218727</v>
      </c>
      <c r="W3" s="157">
        <f>($B$6-N3)/($B$4-L3)</f>
        <v>3.838760448407879</v>
      </c>
      <c r="X3" s="164">
        <f>($B$6-N3+M3)*59660/113700/($B$4-L3)</f>
        <v>7.2070124182765571</v>
      </c>
      <c r="Y3" s="165">
        <f>M3/113700*59660/($B$4-L3)</f>
        <v>5.1927604538788952</v>
      </c>
      <c r="Z3" s="126">
        <f>($B$4-L3)/$B$4</f>
        <v>0.73046929867177479</v>
      </c>
      <c r="AA3" s="93">
        <f>($B$6-N3)/($B$3-K3)</f>
        <v>1.7136867348865805</v>
      </c>
      <c r="AB3" s="125">
        <v>3.5520399999999998E-3</v>
      </c>
      <c r="AC3" s="14" t="s">
        <v>360</v>
      </c>
      <c r="AE3">
        <v>103.47640406996054</v>
      </c>
      <c r="AF3">
        <v>668.79850260879857</v>
      </c>
      <c r="AG3">
        <v>92.547853900144233</v>
      </c>
      <c r="AH3">
        <v>19.487125215977301</v>
      </c>
      <c r="AI3" s="65">
        <v>0.18723600000000001</v>
      </c>
      <c r="AJ3" t="s">
        <v>360</v>
      </c>
      <c r="AL3">
        <v>20.696135125353308</v>
      </c>
      <c r="AM3">
        <v>172.60952899929538</v>
      </c>
      <c r="AN3">
        <v>64.022193267721107</v>
      </c>
      <c r="AO3">
        <v>8.0503578331701355</v>
      </c>
      <c r="AP3" s="65">
        <v>1.2141000000000001E-2</v>
      </c>
      <c r="AQ3" t="s">
        <v>119</v>
      </c>
    </row>
    <row r="4" spans="1:43" x14ac:dyDescent="0.2">
      <c r="A4" s="94" t="s">
        <v>245</v>
      </c>
      <c r="B4" s="93">
        <v>774310.52418565005</v>
      </c>
      <c r="C4" s="14" t="s">
        <v>516</v>
      </c>
      <c r="E4" t="s">
        <v>627</v>
      </c>
      <c r="F4" s="43">
        <v>4745276.17293684</v>
      </c>
      <c r="G4" s="43">
        <v>653308.33020019997</v>
      </c>
      <c r="H4" s="43">
        <v>4424958.9590675496</v>
      </c>
      <c r="I4" s="43">
        <v>445341468.47478998</v>
      </c>
      <c r="J4" s="43"/>
      <c r="K4" s="43">
        <v>4565468.6078372505</v>
      </c>
      <c r="L4" s="43">
        <v>141125.60297524501</v>
      </c>
      <c r="M4" s="43">
        <v>10522690.9884464</v>
      </c>
      <c r="N4" s="43">
        <v>464264161.18632901</v>
      </c>
      <c r="P4" s="78">
        <f t="shared" ref="P4:P67" si="0">($B$6-I4)/($B$4-G4)</f>
        <v>697.85835023674701</v>
      </c>
      <c r="Q4" s="161">
        <f t="shared" ref="Q4:Q67" si="1">($B$6-I4+H4)*59660/113700/($B$4-L5)</f>
        <v>73.934070486349611</v>
      </c>
      <c r="R4" s="78">
        <f t="shared" ref="R4:R67" si="2">H4/113700*59660/($B$4-L4)</f>
        <v>3.6669202720659984</v>
      </c>
      <c r="S4" s="126">
        <f t="shared" ref="S4:S67" si="3">($B$4-G4)/$B$4</f>
        <v>0.15627088901149738</v>
      </c>
      <c r="T4" s="93">
        <f t="shared" ref="T4:T67" si="4">($B$6-I4)/($B$3-F4)</f>
        <v>26.534211481131443</v>
      </c>
      <c r="U4" s="125">
        <v>0.22722100000000001</v>
      </c>
      <c r="W4" s="157">
        <f t="shared" ref="W4:W67" si="5">($B$6-N4)/($B$4-L4)</f>
        <v>103.47640406996054</v>
      </c>
      <c r="X4" s="164">
        <f>($B$6-N4+M4)*59660/113700/($B$4-L4)</f>
        <v>63.015585698671622</v>
      </c>
      <c r="Y4" s="165">
        <f t="shared" ref="Y4:Y67" si="6">M4/113700*59660/($B$4-L4)</f>
        <v>8.7200512500010436</v>
      </c>
      <c r="Z4" s="126">
        <f t="shared" ref="Z4:Z67" si="7">($B$4-L4)/$B$4</f>
        <v>0.81774030112315965</v>
      </c>
      <c r="AA4" s="93">
        <f t="shared" ref="AA4:AA67" si="8">($B$6-N4)/($B$3-K4)</f>
        <v>19.487125215977301</v>
      </c>
      <c r="AB4" s="125">
        <v>0.18723600000000001</v>
      </c>
      <c r="AC4" s="14" t="s">
        <v>360</v>
      </c>
      <c r="AE4">
        <v>102.74488407316636</v>
      </c>
      <c r="AF4">
        <v>661.87862222771082</v>
      </c>
      <c r="AG4">
        <v>91.950429491791567</v>
      </c>
      <c r="AH4">
        <v>19.495374923880302</v>
      </c>
      <c r="AI4" s="65">
        <v>0.191163</v>
      </c>
      <c r="AJ4" t="s">
        <v>360</v>
      </c>
      <c r="AL4">
        <v>47.135165705076034</v>
      </c>
      <c r="AM4">
        <v>330.93598970464501</v>
      </c>
      <c r="AN4">
        <v>75.444980614266854</v>
      </c>
      <c r="AO4">
        <v>12.820381828280251</v>
      </c>
      <c r="AP4" s="65">
        <v>4.1982600000000002E-2</v>
      </c>
      <c r="AQ4" t="s">
        <v>119</v>
      </c>
    </row>
    <row r="5" spans="1:43" x14ac:dyDescent="0.2">
      <c r="A5" s="95" t="s">
        <v>256</v>
      </c>
      <c r="B5" s="93">
        <v>0</v>
      </c>
      <c r="C5" s="14" t="s">
        <v>517</v>
      </c>
      <c r="E5" t="s">
        <v>628</v>
      </c>
      <c r="F5" s="43">
        <v>5098079.2214778196</v>
      </c>
      <c r="G5" s="43">
        <v>658277.27678134397</v>
      </c>
      <c r="H5" s="43">
        <v>3799182.6733351299</v>
      </c>
      <c r="I5" s="43">
        <v>465200960.46133101</v>
      </c>
      <c r="J5" s="43"/>
      <c r="K5" s="43">
        <v>4603764.8935709205</v>
      </c>
      <c r="L5" s="43">
        <v>143614.05595149199</v>
      </c>
      <c r="M5" s="43">
        <v>10454763.833216701</v>
      </c>
      <c r="N5" s="43">
        <v>464983024.43042898</v>
      </c>
      <c r="P5" s="78">
        <f t="shared" si="0"/>
        <v>556.58960623707651</v>
      </c>
      <c r="Q5" s="161">
        <f t="shared" si="1"/>
        <v>67.26196054081251</v>
      </c>
      <c r="R5" s="78">
        <f t="shared" si="2"/>
        <v>3.1607675733056273</v>
      </c>
      <c r="S5" s="126">
        <f t="shared" si="3"/>
        <v>0.14985363595095053</v>
      </c>
      <c r="T5" s="93">
        <f t="shared" si="4"/>
        <v>22.824088417128252</v>
      </c>
      <c r="U5" s="125">
        <v>0.148756</v>
      </c>
      <c r="W5" s="157">
        <f t="shared" si="5"/>
        <v>102.74488407316636</v>
      </c>
      <c r="X5" s="164">
        <f t="shared" ref="X5:X67" si="9">($B$6-N5+M5)*59660/113700/($B$4-L5)</f>
        <v>62.609639645936106</v>
      </c>
      <c r="Y5" s="165">
        <f t="shared" si="6"/>
        <v>8.6979440979580538</v>
      </c>
      <c r="Z5" s="126">
        <f t="shared" si="7"/>
        <v>0.81452653494212512</v>
      </c>
      <c r="AA5" s="93">
        <f t="shared" si="8"/>
        <v>19.495374923880302</v>
      </c>
      <c r="AB5" s="125">
        <v>0.191163</v>
      </c>
      <c r="AC5" s="14" t="s">
        <v>360</v>
      </c>
      <c r="AE5">
        <v>102.81952001075507</v>
      </c>
      <c r="AF5">
        <v>663.82950361035375</v>
      </c>
      <c r="AG5">
        <v>91.954550053088838</v>
      </c>
      <c r="AH5">
        <v>19.56041284227523</v>
      </c>
      <c r="AI5" s="65">
        <v>0.189359</v>
      </c>
      <c r="AJ5" t="s">
        <v>360</v>
      </c>
      <c r="AL5">
        <v>11.269162028815622</v>
      </c>
      <c r="AM5">
        <v>111.26203884835782</v>
      </c>
      <c r="AN5">
        <v>53.618601811972383</v>
      </c>
      <c r="AO5">
        <v>5.5022160410619243</v>
      </c>
      <c r="AP5" s="65">
        <v>1.0436300000000001E-2</v>
      </c>
      <c r="AQ5" t="s">
        <v>119</v>
      </c>
    </row>
    <row r="6" spans="1:43" x14ac:dyDescent="0.2">
      <c r="A6" s="95" t="s">
        <v>257</v>
      </c>
      <c r="B6" s="93">
        <v>529783859.94450301</v>
      </c>
      <c r="C6" s="14" t="s">
        <v>517</v>
      </c>
      <c r="E6" t="s">
        <v>629</v>
      </c>
      <c r="F6" s="43">
        <v>4753736.5973226596</v>
      </c>
      <c r="G6" s="43">
        <v>654422.41399531194</v>
      </c>
      <c r="H6" s="43">
        <v>4409952.4760743603</v>
      </c>
      <c r="I6" s="43">
        <v>447837629.21747398</v>
      </c>
      <c r="J6" s="43"/>
      <c r="K6" s="43">
        <v>6671608.7642277703</v>
      </c>
      <c r="L6" s="43">
        <v>240858.23534190599</v>
      </c>
      <c r="M6" s="43">
        <v>4303505.8319450701</v>
      </c>
      <c r="N6" s="43">
        <v>524358448.238985</v>
      </c>
      <c r="P6" s="78">
        <f t="shared" si="0"/>
        <v>683.52258282267212</v>
      </c>
      <c r="Q6" s="161">
        <f t="shared" si="1"/>
        <v>80.016402532658319</v>
      </c>
      <c r="R6" s="78">
        <f t="shared" si="2"/>
        <v>4.3377159641569349</v>
      </c>
      <c r="S6" s="126">
        <f t="shared" si="3"/>
        <v>0.15483208150428487</v>
      </c>
      <c r="T6" s="93">
        <f t="shared" si="4"/>
        <v>25.818485097091038</v>
      </c>
      <c r="U6" s="125">
        <v>0.20438200000000001</v>
      </c>
      <c r="W6" s="157">
        <f t="shared" si="5"/>
        <v>10.170378530529071</v>
      </c>
      <c r="X6" s="164">
        <f t="shared" si="9"/>
        <v>9.5695545802766961</v>
      </c>
      <c r="Y6" s="165">
        <f t="shared" si="6"/>
        <v>4.2330129520325093</v>
      </c>
      <c r="Z6" s="126">
        <f t="shared" si="7"/>
        <v>0.68893844547028604</v>
      </c>
      <c r="AA6" s="93">
        <f t="shared" si="8"/>
        <v>4.3193742653695644</v>
      </c>
      <c r="AB6" s="125">
        <v>1.86297E-3</v>
      </c>
      <c r="AC6" s="14" t="s">
        <v>359</v>
      </c>
      <c r="AE6">
        <v>103.36457258453662</v>
      </c>
      <c r="AF6">
        <v>668.1757232747002</v>
      </c>
      <c r="AG6">
        <v>92.547853900144233</v>
      </c>
      <c r="AH6">
        <v>19.46606462560279</v>
      </c>
      <c r="AI6" s="65">
        <v>0.18723600000000001</v>
      </c>
      <c r="AJ6" t="s">
        <v>360</v>
      </c>
      <c r="AL6">
        <v>18.035221663246261</v>
      </c>
      <c r="AM6">
        <v>151.3661337542182</v>
      </c>
      <c r="AN6">
        <v>58.267357287208704</v>
      </c>
      <c r="AO6">
        <v>7.7265656896405792</v>
      </c>
      <c r="AP6" s="65">
        <v>1.22264E-2</v>
      </c>
      <c r="AQ6" t="s">
        <v>119</v>
      </c>
    </row>
    <row r="7" spans="1:43" x14ac:dyDescent="0.2">
      <c r="E7" t="s">
        <v>630</v>
      </c>
      <c r="F7" s="43">
        <v>4790548.1411359003</v>
      </c>
      <c r="G7" s="43">
        <v>653474.29026918497</v>
      </c>
      <c r="H7" s="43">
        <v>4344658.8476468604</v>
      </c>
      <c r="I7" s="43">
        <v>447332199.62394702</v>
      </c>
      <c r="J7" s="43"/>
      <c r="K7" s="43">
        <v>6651451.4196805498</v>
      </c>
      <c r="L7" s="43">
        <v>208022.72940751599</v>
      </c>
      <c r="M7" s="43">
        <v>5640699.1270979904</v>
      </c>
      <c r="N7" s="43">
        <v>527278661.40978098</v>
      </c>
      <c r="P7" s="78">
        <f t="shared" si="0"/>
        <v>682.34218866466313</v>
      </c>
      <c r="Q7" s="161">
        <f t="shared" si="1"/>
        <v>76.343787414352548</v>
      </c>
      <c r="R7" s="78">
        <f t="shared" si="2"/>
        <v>4.0256986625121396</v>
      </c>
      <c r="S7" s="126">
        <f t="shared" si="3"/>
        <v>0.15605655630672169</v>
      </c>
      <c r="T7" s="93">
        <f t="shared" si="4"/>
        <v>26.282555842157333</v>
      </c>
      <c r="U7" s="125">
        <v>0.22833500000000001</v>
      </c>
      <c r="W7" s="157">
        <f t="shared" si="5"/>
        <v>4.4238963965372804</v>
      </c>
      <c r="X7" s="164">
        <f t="shared" si="9"/>
        <v>7.5478721050585627</v>
      </c>
      <c r="Y7" s="165">
        <f t="shared" si="6"/>
        <v>5.2265910231112089</v>
      </c>
      <c r="Z7" s="126">
        <f t="shared" si="7"/>
        <v>0.73134456666943082</v>
      </c>
      <c r="AA7" s="93">
        <f t="shared" si="8"/>
        <v>1.9629807990669201</v>
      </c>
      <c r="AB7" s="125">
        <v>3.0742199999999999E-3</v>
      </c>
      <c r="AC7" s="14" t="s">
        <v>360</v>
      </c>
      <c r="AE7">
        <v>97.087574688185413</v>
      </c>
      <c r="AF7">
        <v>630.21710414063841</v>
      </c>
      <c r="AG7">
        <v>91.286073578518909</v>
      </c>
      <c r="AH7">
        <v>18.674323780941275</v>
      </c>
      <c r="AI7" s="65">
        <v>0.17401800000000001</v>
      </c>
      <c r="AJ7" t="s">
        <v>360</v>
      </c>
      <c r="AL7">
        <v>43.383707480386448</v>
      </c>
      <c r="AM7">
        <v>307.09557555629198</v>
      </c>
      <c r="AN7">
        <v>72.709298590460776</v>
      </c>
      <c r="AO7">
        <v>12.747968552454255</v>
      </c>
      <c r="AP7" s="65">
        <v>4.6143099999999999E-2</v>
      </c>
      <c r="AQ7" t="s">
        <v>119</v>
      </c>
    </row>
    <row r="8" spans="1:43" x14ac:dyDescent="0.2">
      <c r="E8" t="s">
        <v>631</v>
      </c>
      <c r="F8" s="43">
        <v>4835449.5105742496</v>
      </c>
      <c r="G8" s="43">
        <v>654760.79891367001</v>
      </c>
      <c r="H8" s="43">
        <v>4265016.0772466799</v>
      </c>
      <c r="I8" s="43">
        <v>450959628.24744302</v>
      </c>
      <c r="J8" s="43"/>
      <c r="K8" s="43">
        <v>6394029.40154971</v>
      </c>
      <c r="L8" s="43">
        <v>177755.66029923499</v>
      </c>
      <c r="M8" s="43">
        <v>7279323.3745398903</v>
      </c>
      <c r="N8" s="43">
        <v>517437479.87182301</v>
      </c>
      <c r="P8" s="78">
        <f t="shared" si="0"/>
        <v>659.34264188171028</v>
      </c>
      <c r="Q8" s="161">
        <f t="shared" si="1"/>
        <v>75.087878678942829</v>
      </c>
      <c r="R8" s="78">
        <f t="shared" si="2"/>
        <v>3.7513973385106421</v>
      </c>
      <c r="S8" s="126">
        <f t="shared" si="3"/>
        <v>0.15439506701489258</v>
      </c>
      <c r="T8" s="93">
        <f t="shared" si="4"/>
        <v>25.491116979123529</v>
      </c>
      <c r="U8" s="125">
        <v>0.21035699999999999</v>
      </c>
      <c r="W8" s="157">
        <f t="shared" si="5"/>
        <v>20.696135125353308</v>
      </c>
      <c r="X8" s="164">
        <f t="shared" si="9"/>
        <v>17.262258885980177</v>
      </c>
      <c r="Y8" s="165">
        <f t="shared" si="6"/>
        <v>6.4027037269777294</v>
      </c>
      <c r="Z8" s="126">
        <f t="shared" si="7"/>
        <v>0.77043362482231226</v>
      </c>
      <c r="AA8" s="93">
        <f t="shared" si="8"/>
        <v>8.0503578331701355</v>
      </c>
      <c r="AB8" s="125">
        <v>1.2141000000000001E-2</v>
      </c>
      <c r="AC8" s="14" t="s">
        <v>119</v>
      </c>
      <c r="AE8">
        <v>87.836080016265512</v>
      </c>
      <c r="AF8">
        <v>575.66431710411905</v>
      </c>
      <c r="AG8">
        <v>88.968748238507473</v>
      </c>
      <c r="AH8">
        <v>17.663980856259293</v>
      </c>
      <c r="AI8" s="65">
        <v>0.14868300000000001</v>
      </c>
      <c r="AJ8" t="s">
        <v>360</v>
      </c>
      <c r="AL8">
        <v>21.56956738814165</v>
      </c>
      <c r="AM8">
        <v>179.00564460273557</v>
      </c>
      <c r="AN8">
        <v>65.558307731794642</v>
      </c>
      <c r="AO8">
        <v>7.9032328693439684</v>
      </c>
      <c r="AP8" s="65">
        <v>8.0322699999999993E-3</v>
      </c>
      <c r="AQ8" t="s">
        <v>119</v>
      </c>
    </row>
    <row r="9" spans="1:43" x14ac:dyDescent="0.2">
      <c r="E9" t="s">
        <v>632</v>
      </c>
      <c r="F9" s="43">
        <v>5061857.6348336097</v>
      </c>
      <c r="G9" s="43">
        <v>658327.872663585</v>
      </c>
      <c r="H9" s="43">
        <v>3863429.87881504</v>
      </c>
      <c r="I9" s="43">
        <v>464643790.38383698</v>
      </c>
      <c r="J9" s="43"/>
      <c r="K9" s="43">
        <v>5388184.0502667204</v>
      </c>
      <c r="L9" s="43">
        <v>193682.79007175801</v>
      </c>
      <c r="M9" s="43">
        <v>8449755.9563210998</v>
      </c>
      <c r="N9" s="43">
        <v>500840479.09202802</v>
      </c>
      <c r="P9" s="78">
        <f t="shared" si="0"/>
        <v>561.63631979282252</v>
      </c>
      <c r="Q9" s="161">
        <f t="shared" si="1"/>
        <v>72.276784919025047</v>
      </c>
      <c r="R9" s="78">
        <f t="shared" si="2"/>
        <v>3.4913874152892732</v>
      </c>
      <c r="S9" s="126">
        <f t="shared" si="3"/>
        <v>0.14978829280932884</v>
      </c>
      <c r="T9" s="93">
        <f t="shared" si="4"/>
        <v>22.730029805307211</v>
      </c>
      <c r="U9" s="125">
        <v>0.14628099999999999</v>
      </c>
      <c r="W9" s="157">
        <f t="shared" si="5"/>
        <v>49.848429814752265</v>
      </c>
      <c r="X9" s="164">
        <f t="shared" si="9"/>
        <v>33.792234197987611</v>
      </c>
      <c r="Y9" s="165">
        <f t="shared" si="6"/>
        <v>7.6360572169135583</v>
      </c>
      <c r="Z9" s="126">
        <f t="shared" si="7"/>
        <v>0.749864190112286</v>
      </c>
      <c r="AA9" s="93">
        <f t="shared" si="8"/>
        <v>11.39732480713527</v>
      </c>
      <c r="AB9" s="125">
        <v>3.1362800000000003E-2</v>
      </c>
      <c r="AC9" s="14" t="s">
        <v>359</v>
      </c>
      <c r="AE9">
        <v>89.632254345422453</v>
      </c>
      <c r="AF9">
        <v>584.18668015774676</v>
      </c>
      <c r="AG9">
        <v>88.469547205609501</v>
      </c>
      <c r="AH9">
        <v>18.177077707923253</v>
      </c>
      <c r="AI9" s="65">
        <v>0.156947</v>
      </c>
      <c r="AJ9" t="s">
        <v>360</v>
      </c>
      <c r="AL9">
        <v>36.323119053553761</v>
      </c>
      <c r="AM9">
        <v>265.11648647164134</v>
      </c>
      <c r="AN9">
        <v>70.489066772353468</v>
      </c>
      <c r="AO9">
        <v>11.358847119963945</v>
      </c>
      <c r="AP9" s="65">
        <v>3.12302E-2</v>
      </c>
      <c r="AQ9" t="s">
        <v>119</v>
      </c>
    </row>
    <row r="10" spans="1:43" x14ac:dyDescent="0.2">
      <c r="E10" t="s">
        <v>633</v>
      </c>
      <c r="F10" s="43">
        <v>4991141.7676215405</v>
      </c>
      <c r="G10" s="43">
        <v>658242.082051298</v>
      </c>
      <c r="H10" s="43">
        <v>3988860.5203849599</v>
      </c>
      <c r="I10" s="43">
        <v>461418002.09132099</v>
      </c>
      <c r="J10" s="43"/>
      <c r="K10" s="43">
        <v>6715325.9828646705</v>
      </c>
      <c r="L10" s="43">
        <v>273359.72385789099</v>
      </c>
      <c r="M10" s="43">
        <v>2937762.5775315398</v>
      </c>
      <c r="N10" s="43">
        <v>526899238.96633798</v>
      </c>
      <c r="P10" s="78">
        <f t="shared" si="0"/>
        <v>589.01331486853996</v>
      </c>
      <c r="Q10" s="161">
        <f t="shared" si="1"/>
        <v>61.602536354668985</v>
      </c>
      <c r="R10" s="78">
        <f t="shared" si="2"/>
        <v>4.1780781590172387</v>
      </c>
      <c r="S10" s="126">
        <f t="shared" si="3"/>
        <v>0.14989908894293069</v>
      </c>
      <c r="T10" s="93">
        <f t="shared" si="4"/>
        <v>23.281161182204496</v>
      </c>
      <c r="U10" s="125">
        <v>0.16045599999999999</v>
      </c>
      <c r="W10" s="157">
        <f t="shared" si="5"/>
        <v>5.7582919845176379</v>
      </c>
      <c r="X10" s="164">
        <f t="shared" si="9"/>
        <v>6.0985771357904639</v>
      </c>
      <c r="Y10" s="165">
        <f t="shared" si="6"/>
        <v>3.0771197936944019</v>
      </c>
      <c r="Z10" s="126">
        <f t="shared" si="7"/>
        <v>0.64696369825867206</v>
      </c>
      <c r="AA10" s="93">
        <f t="shared" si="8"/>
        <v>2.3793689791931985</v>
      </c>
      <c r="AB10" s="125">
        <v>1.9093199999999999E-3</v>
      </c>
      <c r="AC10" s="14" t="s">
        <v>120</v>
      </c>
      <c r="AE10">
        <v>99.693022818359296</v>
      </c>
      <c r="AF10">
        <v>643.61059201039677</v>
      </c>
      <c r="AG10">
        <v>91.472734023554082</v>
      </c>
      <c r="AH10">
        <v>19.06243792060577</v>
      </c>
      <c r="AI10" s="65">
        <v>0.179038</v>
      </c>
      <c r="AJ10" t="s">
        <v>360</v>
      </c>
      <c r="AL10">
        <v>35.162623994823491</v>
      </c>
      <c r="AM10">
        <v>258.85910556612401</v>
      </c>
      <c r="AN10">
        <v>71.442152343784429</v>
      </c>
      <c r="AO10">
        <v>10.605443639125358</v>
      </c>
      <c r="AP10" s="65">
        <v>1.9006800000000001E-2</v>
      </c>
      <c r="AQ10" t="s">
        <v>119</v>
      </c>
    </row>
    <row r="11" spans="1:43" x14ac:dyDescent="0.2">
      <c r="E11" t="s">
        <v>634</v>
      </c>
      <c r="F11" s="43">
        <v>5016706.02942756</v>
      </c>
      <c r="G11" s="43">
        <v>658296.94670496101</v>
      </c>
      <c r="H11" s="43">
        <v>3943516.4995024102</v>
      </c>
      <c r="I11" s="43">
        <v>462775605.51309001</v>
      </c>
      <c r="J11" s="43"/>
      <c r="K11" s="43">
        <v>5661802.3248149101</v>
      </c>
      <c r="L11" s="43">
        <v>158012.11303043799</v>
      </c>
      <c r="M11" s="43">
        <v>8578094.2958421409</v>
      </c>
      <c r="N11" s="43">
        <v>500734532.21092701</v>
      </c>
      <c r="P11" s="78">
        <f t="shared" si="0"/>
        <v>577.58976049649709</v>
      </c>
      <c r="Q11" s="161">
        <f t="shared" si="1"/>
        <v>58.870815980760604</v>
      </c>
      <c r="R11" s="78">
        <f t="shared" si="2"/>
        <v>3.3574951846482892</v>
      </c>
      <c r="S11" s="126">
        <f t="shared" si="3"/>
        <v>0.14982823280453492</v>
      </c>
      <c r="T11" s="93">
        <f t="shared" si="4"/>
        <v>23.019242129337908</v>
      </c>
      <c r="U11" s="125">
        <v>0.15462799999999999</v>
      </c>
      <c r="W11" s="157">
        <f t="shared" si="5"/>
        <v>47.135165705076034</v>
      </c>
      <c r="X11" s="164">
        <f t="shared" si="9"/>
        <v>32.035846253069074</v>
      </c>
      <c r="Y11" s="165">
        <f t="shared" si="6"/>
        <v>7.3033573703528347</v>
      </c>
      <c r="Z11" s="126">
        <f t="shared" si="7"/>
        <v>0.79593185408835709</v>
      </c>
      <c r="AA11" s="93">
        <f t="shared" si="8"/>
        <v>12.820381828280251</v>
      </c>
      <c r="AB11" s="125">
        <v>4.1982600000000002E-2</v>
      </c>
      <c r="AC11" s="14" t="s">
        <v>119</v>
      </c>
      <c r="AE11">
        <v>91.150777413234749</v>
      </c>
      <c r="AF11">
        <v>594.13864041290071</v>
      </c>
      <c r="AG11">
        <v>90.276412604914697</v>
      </c>
      <c r="AH11">
        <v>17.810464149887121</v>
      </c>
      <c r="AI11" s="65">
        <v>0.150726</v>
      </c>
      <c r="AJ11" t="s">
        <v>360</v>
      </c>
      <c r="AL11">
        <v>52.090328802149095</v>
      </c>
      <c r="AM11">
        <v>358.45066056501736</v>
      </c>
      <c r="AN11">
        <v>76.164850252686364</v>
      </c>
      <c r="AO11">
        <v>13.88221202586681</v>
      </c>
      <c r="AP11" s="65">
        <v>6.1947099999999998E-2</v>
      </c>
      <c r="AQ11" t="s">
        <v>119</v>
      </c>
    </row>
    <row r="12" spans="1:43" x14ac:dyDescent="0.2">
      <c r="E12" t="s">
        <v>635</v>
      </c>
      <c r="F12" s="43">
        <v>5037268.7781737801</v>
      </c>
      <c r="G12" s="43">
        <v>657808.67870548496</v>
      </c>
      <c r="H12" s="43">
        <v>3907043.7972735902</v>
      </c>
      <c r="I12" s="43">
        <v>462817739.26740599</v>
      </c>
      <c r="J12" s="43"/>
      <c r="K12" s="43">
        <v>4603500.7560656099</v>
      </c>
      <c r="L12" s="43">
        <v>141919.104612211</v>
      </c>
      <c r="M12" s="43">
        <v>10455232.341036201</v>
      </c>
      <c r="N12" s="43">
        <v>464761677.72504199</v>
      </c>
      <c r="P12" s="78">
        <f t="shared" si="0"/>
        <v>574.80738095688173</v>
      </c>
      <c r="Q12" s="161">
        <f t="shared" si="1"/>
        <v>58.731899201908519</v>
      </c>
      <c r="R12" s="78">
        <f t="shared" si="2"/>
        <v>3.2417916198599688</v>
      </c>
      <c r="S12" s="126">
        <f t="shared" si="3"/>
        <v>0.1504588170265298</v>
      </c>
      <c r="T12" s="93">
        <f t="shared" si="4"/>
        <v>23.168427190996312</v>
      </c>
      <c r="U12" s="125">
        <v>0.15939200000000001</v>
      </c>
      <c r="W12" s="157">
        <f t="shared" si="5"/>
        <v>102.81952001075507</v>
      </c>
      <c r="X12" s="164">
        <f t="shared" si="9"/>
        <v>62.625878466389473</v>
      </c>
      <c r="Y12" s="165">
        <f t="shared" si="6"/>
        <v>8.6750203851084891</v>
      </c>
      <c r="Z12" s="126">
        <f t="shared" si="7"/>
        <v>0.81671551634730943</v>
      </c>
      <c r="AA12" s="93">
        <f t="shared" si="8"/>
        <v>19.56041284227523</v>
      </c>
      <c r="AB12" s="125">
        <v>0.189359</v>
      </c>
      <c r="AC12" s="14" t="s">
        <v>360</v>
      </c>
      <c r="AE12">
        <v>92.242552714678254</v>
      </c>
      <c r="AF12">
        <v>598.42645499373907</v>
      </c>
      <c r="AG12">
        <v>89.802139306509233</v>
      </c>
      <c r="AH12">
        <v>18.15034367504067</v>
      </c>
      <c r="AI12" s="65">
        <v>0.161498</v>
      </c>
      <c r="AJ12" t="s">
        <v>360</v>
      </c>
    </row>
    <row r="13" spans="1:43" x14ac:dyDescent="0.2">
      <c r="E13" t="s">
        <v>636</v>
      </c>
      <c r="F13" s="43">
        <v>4838092.0452272603</v>
      </c>
      <c r="G13" s="43">
        <v>655027.65490712796</v>
      </c>
      <c r="H13" s="43">
        <v>4260328.9422377301</v>
      </c>
      <c r="I13" s="43">
        <v>451439889.86866802</v>
      </c>
      <c r="J13" s="43"/>
      <c r="K13" s="43">
        <v>4565468.6078372505</v>
      </c>
      <c r="L13" s="43">
        <v>141125.60297524501</v>
      </c>
      <c r="M13" s="43">
        <v>10522690.9884464</v>
      </c>
      <c r="N13" s="43">
        <v>464334971.19661599</v>
      </c>
      <c r="P13" s="78">
        <f t="shared" si="0"/>
        <v>656.79146175553558</v>
      </c>
      <c r="Q13" s="161">
        <f t="shared" si="1"/>
        <v>76.773315410166504</v>
      </c>
      <c r="R13" s="78">
        <f t="shared" si="2"/>
        <v>3.5304929850135913</v>
      </c>
      <c r="S13" s="126">
        <f t="shared" si="3"/>
        <v>0.1540504300958237</v>
      </c>
      <c r="T13" s="93">
        <f t="shared" si="4"/>
        <v>25.357474112323107</v>
      </c>
      <c r="U13" s="125">
        <v>0.207894</v>
      </c>
      <c r="W13" s="157">
        <f t="shared" si="5"/>
        <v>103.36457258453662</v>
      </c>
      <c r="X13" s="164">
        <f t="shared" si="9"/>
        <v>62.956906134727994</v>
      </c>
      <c r="Y13" s="165">
        <f t="shared" si="6"/>
        <v>8.7200512500010436</v>
      </c>
      <c r="Z13" s="126">
        <f t="shared" si="7"/>
        <v>0.81774030112315965</v>
      </c>
      <c r="AA13" s="93">
        <f t="shared" si="8"/>
        <v>19.46606462560279</v>
      </c>
      <c r="AB13" s="125">
        <v>0.18723600000000001</v>
      </c>
      <c r="AC13" s="14" t="s">
        <v>360</v>
      </c>
      <c r="AE13">
        <v>96.159187712792516</v>
      </c>
      <c r="AF13">
        <v>624.29145597080753</v>
      </c>
      <c r="AG13">
        <v>90.908927877201421</v>
      </c>
      <c r="AH13">
        <v>18.619246126263981</v>
      </c>
      <c r="AI13" s="65">
        <v>0.16913600000000001</v>
      </c>
      <c r="AJ13" t="s">
        <v>360</v>
      </c>
    </row>
    <row r="14" spans="1:43" x14ac:dyDescent="0.2">
      <c r="E14" t="s">
        <v>637</v>
      </c>
      <c r="F14" s="43">
        <v>5075862.8375216797</v>
      </c>
      <c r="G14" s="43">
        <v>658279.07506663795</v>
      </c>
      <c r="H14" s="43">
        <v>3838588.4729504599</v>
      </c>
      <c r="I14" s="43">
        <v>464744730.91072899</v>
      </c>
      <c r="J14" s="43"/>
      <c r="K14" s="43">
        <v>6662365.9098513499</v>
      </c>
      <c r="L14" s="43">
        <v>209743.97986093699</v>
      </c>
      <c r="M14" s="43">
        <v>5553117.8094821498</v>
      </c>
      <c r="N14" s="43">
        <v>527387786.53354597</v>
      </c>
      <c r="P14" s="78">
        <f t="shared" si="0"/>
        <v>560.530179771039</v>
      </c>
      <c r="Q14" s="161">
        <f t="shared" si="1"/>
        <v>65.126988978522803</v>
      </c>
      <c r="R14" s="78">
        <f t="shared" si="2"/>
        <v>3.5676250154871276</v>
      </c>
      <c r="S14" s="126">
        <f t="shared" si="3"/>
        <v>0.14985131351668443</v>
      </c>
      <c r="T14" s="93">
        <f t="shared" si="4"/>
        <v>22.806261437938126</v>
      </c>
      <c r="U14" s="125">
        <v>0.148396</v>
      </c>
      <c r="W14" s="157">
        <f t="shared" si="5"/>
        <v>4.2440938717383965</v>
      </c>
      <c r="X14" s="164">
        <f t="shared" si="9"/>
        <v>7.3880629952320245</v>
      </c>
      <c r="Y14" s="165">
        <f t="shared" si="6"/>
        <v>5.1611268440630473</v>
      </c>
      <c r="Z14" s="126">
        <f t="shared" si="7"/>
        <v>0.72912162070698083</v>
      </c>
      <c r="AA14" s="93">
        <f t="shared" si="8"/>
        <v>1.8936694144354429</v>
      </c>
      <c r="AB14" s="125">
        <v>1.8579200000000001E-3</v>
      </c>
      <c r="AC14" s="14" t="s">
        <v>360</v>
      </c>
      <c r="AE14">
        <v>100.44566825702238</v>
      </c>
      <c r="AF14">
        <v>650.32881113082669</v>
      </c>
      <c r="AG14">
        <v>91.900098650756377</v>
      </c>
      <c r="AH14">
        <v>19.12057462987822</v>
      </c>
      <c r="AI14" s="65">
        <v>0.181426</v>
      </c>
      <c r="AJ14" t="s">
        <v>360</v>
      </c>
      <c r="AL14" s="155" t="s">
        <v>726</v>
      </c>
      <c r="AM14" s="155" t="s">
        <v>730</v>
      </c>
      <c r="AN14" s="155" t="s">
        <v>730</v>
      </c>
      <c r="AO14" s="155" t="s">
        <v>728</v>
      </c>
      <c r="AP14" s="155" t="s">
        <v>734</v>
      </c>
      <c r="AQ14" s="155" t="s">
        <v>733</v>
      </c>
    </row>
    <row r="15" spans="1:43" x14ac:dyDescent="0.2">
      <c r="E15" t="s">
        <v>638</v>
      </c>
      <c r="F15" s="43">
        <v>4796560.7392356796</v>
      </c>
      <c r="G15" s="43">
        <v>653451.93661346706</v>
      </c>
      <c r="H15" s="43">
        <v>4333994.14017893</v>
      </c>
      <c r="I15" s="43">
        <v>447831525.021258</v>
      </c>
      <c r="J15" s="43"/>
      <c r="K15" s="43">
        <v>5163782.1000769399</v>
      </c>
      <c r="L15" s="43">
        <v>219377.55006914501</v>
      </c>
      <c r="M15" s="43">
        <v>7829368.5006410703</v>
      </c>
      <c r="N15" s="43">
        <v>490990722.52438402</v>
      </c>
      <c r="P15" s="78">
        <f t="shared" si="0"/>
        <v>678.08449998887204</v>
      </c>
      <c r="Q15" s="161">
        <f t="shared" si="1"/>
        <v>77.847750515268544</v>
      </c>
      <c r="R15" s="78">
        <f t="shared" si="2"/>
        <v>4.0979869661456014</v>
      </c>
      <c r="S15" s="126">
        <f t="shared" si="3"/>
        <v>0.15608542541674886</v>
      </c>
      <c r="T15" s="93">
        <f t="shared" si="4"/>
        <v>26.173553379362559</v>
      </c>
      <c r="U15" s="125">
        <v>0.22528699999999999</v>
      </c>
      <c r="W15" s="157">
        <f t="shared" si="5"/>
        <v>69.905987262480807</v>
      </c>
      <c r="X15" s="164">
        <f t="shared" si="9"/>
        <v>44.083682490727348</v>
      </c>
      <c r="Y15" s="165">
        <f t="shared" si="6"/>
        <v>7.4030211004054145</v>
      </c>
      <c r="Z15" s="126">
        <f t="shared" si="7"/>
        <v>0.71668013901804251</v>
      </c>
      <c r="AA15" s="93">
        <f t="shared" si="8"/>
        <v>14.035697599063329</v>
      </c>
      <c r="AB15" s="125">
        <v>7.9566600000000001E-2</v>
      </c>
      <c r="AC15" s="14" t="s">
        <v>120</v>
      </c>
      <c r="AE15">
        <v>93.146806802962558</v>
      </c>
      <c r="AF15">
        <v>606.65940957941098</v>
      </c>
      <c r="AG15">
        <v>90.643779730466136</v>
      </c>
      <c r="AH15">
        <v>18.10749424558395</v>
      </c>
      <c r="AI15" s="65">
        <v>0.15931000000000001</v>
      </c>
      <c r="AJ15" t="s">
        <v>360</v>
      </c>
      <c r="AL15">
        <v>69.905987262480807</v>
      </c>
      <c r="AM15">
        <v>410.04842498469708</v>
      </c>
      <c r="AN15">
        <v>68.85988127212903</v>
      </c>
      <c r="AO15">
        <v>14.035697599063329</v>
      </c>
      <c r="AP15" s="19">
        <v>7.9566600000000001E-2</v>
      </c>
      <c r="AQ15" t="s">
        <v>120</v>
      </c>
    </row>
    <row r="16" spans="1:43" x14ac:dyDescent="0.2">
      <c r="E16" t="s">
        <v>639</v>
      </c>
      <c r="F16" s="43">
        <v>4793924.3507829197</v>
      </c>
      <c r="G16" s="43">
        <v>653536.65640658105</v>
      </c>
      <c r="H16" s="43">
        <v>4338670.3735066699</v>
      </c>
      <c r="I16" s="43">
        <v>447552630.97197002</v>
      </c>
      <c r="J16" s="43"/>
      <c r="K16" s="43">
        <v>6736505.9273634003</v>
      </c>
      <c r="L16" s="43">
        <v>192718.14187025899</v>
      </c>
      <c r="M16" s="43">
        <v>6096435.0260212598</v>
      </c>
      <c r="N16" s="43">
        <v>523229801.15346599</v>
      </c>
      <c r="P16" s="78">
        <f t="shared" si="0"/>
        <v>680.869384120066</v>
      </c>
      <c r="Q16" s="161">
        <f t="shared" si="1"/>
        <v>76.926833554978117</v>
      </c>
      <c r="R16" s="78">
        <f t="shared" si="2"/>
        <v>3.9143596960356262</v>
      </c>
      <c r="S16" s="126">
        <f t="shared" si="3"/>
        <v>0.15597601221562635</v>
      </c>
      <c r="T16" s="93">
        <f t="shared" si="4"/>
        <v>26.240530797225755</v>
      </c>
      <c r="U16" s="125">
        <v>0.227135</v>
      </c>
      <c r="W16" s="157">
        <f t="shared" si="5"/>
        <v>11.269162028815622</v>
      </c>
      <c r="X16" s="164">
        <f t="shared" si="9"/>
        <v>11.413308426198354</v>
      </c>
      <c r="Y16" s="165">
        <f t="shared" si="6"/>
        <v>5.5002195375515628</v>
      </c>
      <c r="Z16" s="126">
        <f t="shared" si="7"/>
        <v>0.75111000580427023</v>
      </c>
      <c r="AA16" s="93">
        <f t="shared" si="8"/>
        <v>5.5022160410619243</v>
      </c>
      <c r="AB16" s="125">
        <v>1.0436300000000001E-2</v>
      </c>
      <c r="AC16" s="14" t="s">
        <v>119</v>
      </c>
      <c r="AE16">
        <v>86.868530016031627</v>
      </c>
      <c r="AF16">
        <v>566.5583525484783</v>
      </c>
      <c r="AG16">
        <v>88.047838192867189</v>
      </c>
      <c r="AH16">
        <v>17.700453520573529</v>
      </c>
      <c r="AI16" s="65">
        <v>0.151036</v>
      </c>
      <c r="AJ16" t="s">
        <v>360</v>
      </c>
      <c r="AL16">
        <v>83.789717456287903</v>
      </c>
      <c r="AM16">
        <v>519.88493092576016</v>
      </c>
      <c r="AN16">
        <v>84.516541948864557</v>
      </c>
      <c r="AO16">
        <v>16.686982342169667</v>
      </c>
      <c r="AP16" s="19">
        <v>0.115977</v>
      </c>
      <c r="AQ16" t="s">
        <v>359</v>
      </c>
    </row>
    <row r="17" spans="5:43" x14ac:dyDescent="0.2">
      <c r="E17" t="s">
        <v>640</v>
      </c>
      <c r="F17" s="43">
        <v>4822436.0266006999</v>
      </c>
      <c r="G17" s="43">
        <v>654559.87521108997</v>
      </c>
      <c r="H17" s="43">
        <v>4288098.4448710196</v>
      </c>
      <c r="I17" s="43">
        <v>450072195.50677902</v>
      </c>
      <c r="J17" s="43"/>
      <c r="K17" s="43">
        <v>6021089.5847455896</v>
      </c>
      <c r="L17" s="43">
        <v>183821.48513962101</v>
      </c>
      <c r="M17" s="43">
        <v>7718008.4740718501</v>
      </c>
      <c r="N17" s="43">
        <v>517419552.90903002</v>
      </c>
      <c r="P17" s="78">
        <f t="shared" si="0"/>
        <v>665.64703507083289</v>
      </c>
      <c r="Q17" s="161">
        <f t="shared" si="1"/>
        <v>75.096187776355904</v>
      </c>
      <c r="R17" s="78">
        <f t="shared" si="2"/>
        <v>3.8104449448114566</v>
      </c>
      <c r="S17" s="126">
        <f t="shared" si="3"/>
        <v>0.1546545542571606</v>
      </c>
      <c r="T17" s="93">
        <f t="shared" si="4"/>
        <v>25.670074171798568</v>
      </c>
      <c r="U17" s="125">
        <v>0.214643</v>
      </c>
      <c r="W17" s="157">
        <f t="shared" si="5"/>
        <v>20.939096609563283</v>
      </c>
      <c r="X17" s="164">
        <f t="shared" si="9"/>
        <v>17.845336014844115</v>
      </c>
      <c r="Y17" s="165">
        <f t="shared" si="6"/>
        <v>6.8582955247249817</v>
      </c>
      <c r="Z17" s="126">
        <f t="shared" si="7"/>
        <v>0.76259978471434597</v>
      </c>
      <c r="AA17" s="93">
        <f t="shared" si="8"/>
        <v>6.4850594427197974</v>
      </c>
      <c r="AB17" s="125">
        <v>1.3263199999999999E-2</v>
      </c>
      <c r="AC17" s="14" t="s">
        <v>360</v>
      </c>
      <c r="AE17">
        <v>102.64636296101722</v>
      </c>
      <c r="AF17">
        <v>663.71420220978268</v>
      </c>
      <c r="AG17">
        <v>92.369723084180293</v>
      </c>
      <c r="AH17">
        <v>19.387054406805703</v>
      </c>
      <c r="AI17" s="65">
        <v>0.185418</v>
      </c>
      <c r="AJ17" t="s">
        <v>360</v>
      </c>
      <c r="AL17">
        <v>85.974006722365544</v>
      </c>
      <c r="AM17">
        <v>562.46119761685213</v>
      </c>
      <c r="AN17">
        <v>88.983910075963948</v>
      </c>
      <c r="AO17">
        <v>17.178911010165415</v>
      </c>
      <c r="AP17" s="19">
        <v>0.14113999999999999</v>
      </c>
      <c r="AQ17" t="s">
        <v>360</v>
      </c>
    </row>
    <row r="18" spans="5:43" x14ac:dyDescent="0.2">
      <c r="E18" t="s">
        <v>641</v>
      </c>
      <c r="F18" s="43">
        <v>4932082.2938001798</v>
      </c>
      <c r="G18" s="43">
        <v>656434.29966441903</v>
      </c>
      <c r="H18" s="43">
        <v>4093615.9025112698</v>
      </c>
      <c r="I18" s="43">
        <v>457388055.04468298</v>
      </c>
      <c r="J18" s="43"/>
      <c r="K18" s="43">
        <v>6557681.3367412603</v>
      </c>
      <c r="L18" s="43">
        <v>187385.057898164</v>
      </c>
      <c r="M18" s="43">
        <v>6624998.5235556299</v>
      </c>
      <c r="N18" s="43">
        <v>519198529.06020403</v>
      </c>
      <c r="P18" s="78">
        <f t="shared" si="0"/>
        <v>614.1679986262252</v>
      </c>
      <c r="Q18" s="161">
        <f t="shared" si="1"/>
        <v>65.336847278124722</v>
      </c>
      <c r="R18" s="78">
        <f t="shared" si="2"/>
        <v>3.6597120985797473</v>
      </c>
      <c r="S18" s="126">
        <f t="shared" si="3"/>
        <v>0.15223378843417193</v>
      </c>
      <c r="T18" s="93">
        <f t="shared" si="4"/>
        <v>24.16745511979607</v>
      </c>
      <c r="U18" s="125">
        <v>0.179891</v>
      </c>
      <c r="W18" s="157">
        <f t="shared" si="5"/>
        <v>18.035221663246261</v>
      </c>
      <c r="X18" s="164">
        <f t="shared" si="9"/>
        <v>15.386116395490264</v>
      </c>
      <c r="Y18" s="165">
        <f t="shared" si="6"/>
        <v>5.9227802087772323</v>
      </c>
      <c r="Z18" s="126">
        <f t="shared" si="7"/>
        <v>0.75799753193947772</v>
      </c>
      <c r="AA18" s="93">
        <f t="shared" si="8"/>
        <v>7.7265656896405792</v>
      </c>
      <c r="AB18" s="125">
        <v>1.22264E-2</v>
      </c>
      <c r="AC18" s="14" t="s">
        <v>119</v>
      </c>
      <c r="AE18">
        <v>95.124211999071449</v>
      </c>
      <c r="AF18">
        <v>617.5807492858479</v>
      </c>
      <c r="AG18">
        <v>90.585160572831143</v>
      </c>
      <c r="AH18">
        <v>18.514262885951219</v>
      </c>
      <c r="AI18" s="65">
        <v>0.16569</v>
      </c>
      <c r="AJ18" t="s">
        <v>360</v>
      </c>
      <c r="AL18">
        <v>81.551103797732779</v>
      </c>
      <c r="AM18">
        <v>538.16708980392889</v>
      </c>
      <c r="AN18">
        <v>88.157426915353568</v>
      </c>
      <c r="AO18">
        <v>16.608228901465804</v>
      </c>
      <c r="AP18" s="19">
        <v>0.12567500000000001</v>
      </c>
      <c r="AQ18" t="s">
        <v>360</v>
      </c>
    </row>
    <row r="19" spans="5:43" x14ac:dyDescent="0.2">
      <c r="E19" t="s">
        <v>642</v>
      </c>
      <c r="F19" s="43">
        <v>4907673.3954088902</v>
      </c>
      <c r="G19" s="43">
        <v>656448.78205708205</v>
      </c>
      <c r="H19" s="43">
        <v>4136910.6241336898</v>
      </c>
      <c r="I19" s="43">
        <v>455815909.73408699</v>
      </c>
      <c r="J19" s="43"/>
      <c r="K19" s="43">
        <v>5837165.8670394104</v>
      </c>
      <c r="L19" s="43">
        <v>160031.08061658201</v>
      </c>
      <c r="M19" s="43">
        <v>8267047.2497353898</v>
      </c>
      <c r="N19" s="43">
        <v>503134140.253488</v>
      </c>
      <c r="P19" s="78">
        <f t="shared" si="0"/>
        <v>627.58235942015017</v>
      </c>
      <c r="Q19" s="161">
        <f t="shared" si="1"/>
        <v>69.370402717117017</v>
      </c>
      <c r="R19" s="78">
        <f t="shared" si="2"/>
        <v>3.533726557438337</v>
      </c>
      <c r="S19" s="126">
        <f t="shared" si="3"/>
        <v>0.15221508483631208</v>
      </c>
      <c r="T19" s="93">
        <f t="shared" si="4"/>
        <v>24.492701633046035</v>
      </c>
      <c r="U19" s="125">
        <v>0.187449</v>
      </c>
      <c r="W19" s="157">
        <f t="shared" si="5"/>
        <v>43.383707480386448</v>
      </c>
      <c r="X19" s="164">
        <f t="shared" si="9"/>
        <v>29.825712433478774</v>
      </c>
      <c r="Y19" s="165">
        <f t="shared" si="6"/>
        <v>7.0616668021695794</v>
      </c>
      <c r="Z19" s="126">
        <f t="shared" si="7"/>
        <v>0.79332441492398909</v>
      </c>
      <c r="AA19" s="93">
        <f t="shared" si="8"/>
        <v>12.747968552454255</v>
      </c>
      <c r="AB19" s="125">
        <v>4.6143099999999999E-2</v>
      </c>
      <c r="AC19" s="14" t="s">
        <v>119</v>
      </c>
      <c r="AE19">
        <v>95.111339386312906</v>
      </c>
      <c r="AF19">
        <v>617.40709903660172</v>
      </c>
      <c r="AG19">
        <v>90.543779726047489</v>
      </c>
      <c r="AH19">
        <v>18.524799312523427</v>
      </c>
      <c r="AI19" s="65">
        <v>0.167768</v>
      </c>
      <c r="AJ19" t="s">
        <v>360</v>
      </c>
      <c r="AL19">
        <v>71.793350806843506</v>
      </c>
      <c r="AM19">
        <v>477.19181739446287</v>
      </c>
      <c r="AN19">
        <v>85.371209756125324</v>
      </c>
      <c r="AO19">
        <v>15.350610267952367</v>
      </c>
      <c r="AP19" s="19">
        <v>0.10803400000000001</v>
      </c>
      <c r="AQ19" t="s">
        <v>360</v>
      </c>
    </row>
    <row r="20" spans="5:43" x14ac:dyDescent="0.2">
      <c r="E20" t="s">
        <v>643</v>
      </c>
      <c r="F20" s="43">
        <v>4825349.4952494698</v>
      </c>
      <c r="G20" s="43">
        <v>654599.39220240002</v>
      </c>
      <c r="H20" s="43">
        <v>4282930.7469240502</v>
      </c>
      <c r="I20" s="43">
        <v>450407267.24959397</v>
      </c>
      <c r="J20" s="43"/>
      <c r="K20" s="43">
        <v>4961205.8368321899</v>
      </c>
      <c r="L20" s="43">
        <v>183529.37192198099</v>
      </c>
      <c r="M20" s="43">
        <v>9609530.8195859008</v>
      </c>
      <c r="N20" s="43">
        <v>480282474.11782998</v>
      </c>
      <c r="P20" s="78">
        <f t="shared" si="0"/>
        <v>663.06776470892783</v>
      </c>
      <c r="Q20" s="161">
        <f t="shared" si="1"/>
        <v>86.775055001405221</v>
      </c>
      <c r="R20" s="78">
        <f t="shared" si="2"/>
        <v>3.8039710659367572</v>
      </c>
      <c r="S20" s="126">
        <f t="shared" si="3"/>
        <v>0.15460351918779794</v>
      </c>
      <c r="T20" s="93">
        <f t="shared" si="4"/>
        <v>25.586174867678391</v>
      </c>
      <c r="U20" s="125">
        <v>0.21298900000000001</v>
      </c>
      <c r="W20" s="157">
        <f t="shared" si="5"/>
        <v>83.789717456287903</v>
      </c>
      <c r="X20" s="164">
        <f t="shared" si="9"/>
        <v>52.500549247698551</v>
      </c>
      <c r="Y20" s="165">
        <f t="shared" si="6"/>
        <v>8.5348980300896109</v>
      </c>
      <c r="Z20" s="126">
        <f t="shared" si="7"/>
        <v>0.7629770406194587</v>
      </c>
      <c r="AA20" s="93">
        <f t="shared" si="8"/>
        <v>16.686982342169667</v>
      </c>
      <c r="AB20" s="125">
        <v>0.115977</v>
      </c>
      <c r="AC20" s="14" t="s">
        <v>359</v>
      </c>
      <c r="AL20">
        <v>66.170775935442947</v>
      </c>
      <c r="AM20">
        <v>443.91495474224286</v>
      </c>
      <c r="AN20">
        <v>84.243724628205982</v>
      </c>
      <c r="AO20">
        <v>14.45095426185847</v>
      </c>
      <c r="AP20" s="19">
        <v>9.3999100000000002E-2</v>
      </c>
      <c r="AQ20" t="s">
        <v>360</v>
      </c>
    </row>
    <row r="21" spans="5:43" x14ac:dyDescent="0.2">
      <c r="E21" t="s">
        <v>644</v>
      </c>
      <c r="F21" s="43">
        <v>4987116.1880934397</v>
      </c>
      <c r="G21" s="43">
        <v>658240.64970369102</v>
      </c>
      <c r="H21" s="43">
        <v>3996000.79940305</v>
      </c>
      <c r="I21" s="43">
        <v>461090294.25230098</v>
      </c>
      <c r="J21" s="43"/>
      <c r="K21" s="43">
        <v>6608448.9854000704</v>
      </c>
      <c r="L21" s="43">
        <v>268435.45935328299</v>
      </c>
      <c r="M21" s="43">
        <v>3322507.0736835101</v>
      </c>
      <c r="N21" s="43">
        <v>525593709.25616199</v>
      </c>
      <c r="P21" s="78">
        <f t="shared" si="0"/>
        <v>591.8294130909843</v>
      </c>
      <c r="Q21" s="161">
        <f t="shared" si="1"/>
        <v>60.911937592869158</v>
      </c>
      <c r="R21" s="78">
        <f t="shared" si="2"/>
        <v>4.144814300728715</v>
      </c>
      <c r="S21" s="126">
        <f t="shared" si="3"/>
        <v>0.14990093877909105</v>
      </c>
      <c r="T21" s="93">
        <f t="shared" si="4"/>
        <v>23.360733754683846</v>
      </c>
      <c r="U21" s="125">
        <v>0.16250600000000001</v>
      </c>
      <c r="W21" s="157">
        <f t="shared" si="5"/>
        <v>8.2829753423990589</v>
      </c>
      <c r="X21" s="164">
        <f t="shared" si="9"/>
        <v>7.7924337085146611</v>
      </c>
      <c r="Y21" s="165">
        <f t="shared" si="6"/>
        <v>3.4462392588442325</v>
      </c>
      <c r="Z21" s="126">
        <f t="shared" si="7"/>
        <v>0.65332324568931932</v>
      </c>
      <c r="AA21" s="93">
        <f t="shared" si="8"/>
        <v>3.176223686844581</v>
      </c>
      <c r="AB21" s="125">
        <v>2.1296399999999999E-3</v>
      </c>
      <c r="AC21" s="14" t="s">
        <v>120</v>
      </c>
      <c r="AL21">
        <v>66.4652840366319</v>
      </c>
      <c r="AM21">
        <v>446.90287829983936</v>
      </c>
      <c r="AN21">
        <v>84.53651839596931</v>
      </c>
      <c r="AO21">
        <v>14.463314392871755</v>
      </c>
      <c r="AP21" s="19">
        <v>9.1560900000000001E-2</v>
      </c>
      <c r="AQ21" t="s">
        <v>360</v>
      </c>
    </row>
    <row r="22" spans="5:43" x14ac:dyDescent="0.2">
      <c r="E22" t="s">
        <v>645</v>
      </c>
      <c r="F22" s="43">
        <v>4924577.9522585701</v>
      </c>
      <c r="G22" s="43">
        <v>656541.32080863998</v>
      </c>
      <c r="H22" s="43">
        <v>4106926.5555688301</v>
      </c>
      <c r="I22" s="43">
        <v>457067249.09769899</v>
      </c>
      <c r="J22" s="43"/>
      <c r="K22" s="43">
        <v>4793925.6462864298</v>
      </c>
      <c r="L22" s="43">
        <v>148140.24731062399</v>
      </c>
      <c r="M22" s="43">
        <v>10117470.5756371</v>
      </c>
      <c r="N22" s="43">
        <v>475949492.35110402</v>
      </c>
      <c r="P22" s="78">
        <f t="shared" si="0"/>
        <v>617.45013774118092</v>
      </c>
      <c r="Q22" s="161">
        <f t="shared" si="1"/>
        <v>64.248741429075338</v>
      </c>
      <c r="R22" s="78">
        <f t="shared" si="2"/>
        <v>3.4414960237821304</v>
      </c>
      <c r="S22" s="126">
        <f t="shared" si="3"/>
        <v>0.15209557367293838</v>
      </c>
      <c r="T22" s="93">
        <f t="shared" si="4"/>
        <v>24.213888917438354</v>
      </c>
      <c r="U22" s="125">
        <v>0.18082100000000001</v>
      </c>
      <c r="W22" s="157">
        <f t="shared" si="5"/>
        <v>85.974006722365544</v>
      </c>
      <c r="X22" s="164">
        <f t="shared" si="9"/>
        <v>53.589951949314177</v>
      </c>
      <c r="Y22" s="165">
        <f t="shared" si="6"/>
        <v>8.4781732241045997</v>
      </c>
      <c r="Z22" s="126">
        <f t="shared" si="7"/>
        <v>0.80868108764707214</v>
      </c>
      <c r="AA22" s="93">
        <f t="shared" si="8"/>
        <v>17.178911010165415</v>
      </c>
      <c r="AB22" s="125">
        <v>0.14113999999999999</v>
      </c>
      <c r="AC22" s="14" t="s">
        <v>360</v>
      </c>
      <c r="AE22" t="s">
        <v>726</v>
      </c>
      <c r="AF22" t="s">
        <v>730</v>
      </c>
      <c r="AG22" t="s">
        <v>730</v>
      </c>
      <c r="AH22" t="s">
        <v>728</v>
      </c>
      <c r="AI22" t="s">
        <v>734</v>
      </c>
      <c r="AJ22" t="s">
        <v>733</v>
      </c>
      <c r="AL22">
        <v>70.408470871054689</v>
      </c>
      <c r="AM22">
        <v>468.93288756660542</v>
      </c>
      <c r="AN22">
        <v>85.206017788302546</v>
      </c>
      <c r="AO22">
        <v>15.088570614350079</v>
      </c>
      <c r="AP22" s="19">
        <v>9.9579899999999999E-2</v>
      </c>
      <c r="AQ22" t="s">
        <v>360</v>
      </c>
    </row>
    <row r="23" spans="5:43" x14ac:dyDescent="0.2">
      <c r="E23" t="s">
        <v>646</v>
      </c>
      <c r="F23" s="43">
        <v>5087459.5019971002</v>
      </c>
      <c r="G23" s="43">
        <v>658255.98779471102</v>
      </c>
      <c r="H23" s="43">
        <v>3818019.1562953801</v>
      </c>
      <c r="I23" s="43">
        <v>464823641.622729</v>
      </c>
      <c r="J23" s="43"/>
      <c r="K23" s="43">
        <v>4846905.1275902698</v>
      </c>
      <c r="L23" s="43">
        <v>146899.04490836401</v>
      </c>
      <c r="M23" s="43">
        <v>10023499.440275701</v>
      </c>
      <c r="N23" s="43">
        <v>478617761.27407199</v>
      </c>
      <c r="P23" s="78">
        <f t="shared" si="0"/>
        <v>559.7387257913839</v>
      </c>
      <c r="Q23" s="161">
        <f t="shared" si="1"/>
        <v>57.17995695998556</v>
      </c>
      <c r="R23" s="78">
        <f t="shared" si="2"/>
        <v>3.1930699085004846</v>
      </c>
      <c r="S23" s="126">
        <f t="shared" si="3"/>
        <v>0.14988113007116197</v>
      </c>
      <c r="T23" s="93">
        <f t="shared" si="4"/>
        <v>22.871596613408371</v>
      </c>
      <c r="U23" s="125">
        <v>0.14960999999999999</v>
      </c>
      <c r="W23" s="157">
        <f t="shared" si="5"/>
        <v>81.551103797732779</v>
      </c>
      <c r="X23" s="164">
        <f t="shared" si="9"/>
        <v>51.173830314176662</v>
      </c>
      <c r="Y23" s="165">
        <f t="shared" si="6"/>
        <v>8.3828113821385113</v>
      </c>
      <c r="Z23" s="126">
        <f t="shared" si="7"/>
        <v>0.81028406521678209</v>
      </c>
      <c r="AA23" s="93">
        <f t="shared" si="8"/>
        <v>16.608228901465804</v>
      </c>
      <c r="AB23" s="125">
        <v>0.12567500000000001</v>
      </c>
      <c r="AC23" s="14" t="s">
        <v>360</v>
      </c>
      <c r="AE23">
        <v>3.838760448407879</v>
      </c>
      <c r="AF23">
        <v>68.326496251504963</v>
      </c>
      <c r="AG23">
        <v>49.230264511153031</v>
      </c>
      <c r="AH23">
        <v>1.7136867348865805</v>
      </c>
      <c r="AI23" s="65">
        <v>3.5520399999999998E-3</v>
      </c>
      <c r="AJ23" t="s">
        <v>360</v>
      </c>
      <c r="AL23">
        <v>51.624692567852705</v>
      </c>
      <c r="AM23">
        <v>354.30575401135877</v>
      </c>
      <c r="AN23">
        <v>79.116913453662875</v>
      </c>
      <c r="AO23">
        <v>12.509333309079418</v>
      </c>
      <c r="AP23" s="19">
        <v>6.7992999999999998E-2</v>
      </c>
      <c r="AQ23" t="s">
        <v>360</v>
      </c>
    </row>
    <row r="24" spans="5:43" x14ac:dyDescent="0.2">
      <c r="E24" t="s">
        <v>647</v>
      </c>
      <c r="F24" s="43">
        <v>4907078.0074317995</v>
      </c>
      <c r="G24" s="43">
        <v>656377.07063181303</v>
      </c>
      <c r="H24" s="43">
        <v>4137966.6798520698</v>
      </c>
      <c r="I24" s="43">
        <v>455564508.71173</v>
      </c>
      <c r="J24" s="43"/>
      <c r="K24" s="43">
        <v>4646351.6435058499</v>
      </c>
      <c r="L24" s="43">
        <v>143164.27945028001</v>
      </c>
      <c r="M24" s="43">
        <v>10379226.5658776</v>
      </c>
      <c r="N24" s="43">
        <v>468507401.76959002</v>
      </c>
      <c r="P24" s="78">
        <f t="shared" si="0"/>
        <v>629.33246671091183</v>
      </c>
      <c r="Q24" s="161">
        <f t="shared" si="1"/>
        <v>66.258077663845327</v>
      </c>
      <c r="R24" s="78">
        <f t="shared" si="2"/>
        <v>3.4401689448823216</v>
      </c>
      <c r="S24" s="126">
        <f t="shared" si="3"/>
        <v>0.15230769810066677</v>
      </c>
      <c r="T24" s="93">
        <f t="shared" si="4"/>
        <v>24.571102861869331</v>
      </c>
      <c r="U24" s="125">
        <v>0.188888</v>
      </c>
      <c r="W24" s="157">
        <f t="shared" si="5"/>
        <v>97.087574688185413</v>
      </c>
      <c r="X24" s="164">
        <f t="shared" si="9"/>
        <v>59.572171658559213</v>
      </c>
      <c r="Y24" s="165">
        <f t="shared" si="6"/>
        <v>8.6289464527796031</v>
      </c>
      <c r="Z24" s="126">
        <f t="shared" si="7"/>
        <v>0.81510740848983387</v>
      </c>
      <c r="AA24" s="93">
        <f t="shared" si="8"/>
        <v>18.674323780941275</v>
      </c>
      <c r="AB24" s="125">
        <v>0.17401800000000001</v>
      </c>
      <c r="AC24" s="14" t="s">
        <v>360</v>
      </c>
      <c r="AE24">
        <v>4.4238963965372804</v>
      </c>
      <c r="AF24">
        <v>71.643778907827794</v>
      </c>
      <c r="AG24">
        <v>49.610370510976168</v>
      </c>
      <c r="AH24">
        <v>1.9629807990669201</v>
      </c>
      <c r="AI24" s="65">
        <v>3.0742199999999999E-3</v>
      </c>
      <c r="AJ24" t="s">
        <v>360</v>
      </c>
      <c r="AL24">
        <v>62.937580154880045</v>
      </c>
      <c r="AM24">
        <v>426.80819226230682</v>
      </c>
      <c r="AN24">
        <v>83.74175364629113</v>
      </c>
      <c r="AO24">
        <v>13.942335549850938</v>
      </c>
      <c r="AP24" s="19">
        <v>8.3761799999999997E-2</v>
      </c>
      <c r="AQ24" t="s">
        <v>360</v>
      </c>
    </row>
    <row r="25" spans="5:43" x14ac:dyDescent="0.2">
      <c r="E25" t="s">
        <v>648</v>
      </c>
      <c r="F25" s="43">
        <v>4882706.3739077998</v>
      </c>
      <c r="G25" s="43">
        <v>656085.09085105197</v>
      </c>
      <c r="H25" s="43">
        <v>4181195.3037739801</v>
      </c>
      <c r="I25" s="43">
        <v>454098726.20804501</v>
      </c>
      <c r="J25" s="43"/>
      <c r="K25" s="43">
        <v>5025508.08882525</v>
      </c>
      <c r="L25" s="43">
        <v>153779.47795633299</v>
      </c>
      <c r="M25" s="43">
        <v>9706706.5492714494</v>
      </c>
      <c r="N25" s="43">
        <v>485233856.85602403</v>
      </c>
      <c r="P25" s="78">
        <f t="shared" si="0"/>
        <v>640.17641214522939</v>
      </c>
      <c r="Q25" s="161">
        <f t="shared" si="1"/>
        <v>66.51836964305906</v>
      </c>
      <c r="R25" s="78">
        <f t="shared" si="2"/>
        <v>3.5355723057555659</v>
      </c>
      <c r="S25" s="126">
        <f t="shared" si="3"/>
        <v>0.1526847816758489</v>
      </c>
      <c r="T25" s="93">
        <f t="shared" si="4"/>
        <v>24.855816845539621</v>
      </c>
      <c r="U25" s="125">
        <v>0.19564500000000001</v>
      </c>
      <c r="W25" s="157">
        <f t="shared" si="5"/>
        <v>71.793350806843506</v>
      </c>
      <c r="X25" s="164">
        <f t="shared" si="9"/>
        <v>45.878871006935647</v>
      </c>
      <c r="Y25" s="165">
        <f t="shared" si="6"/>
        <v>8.2078832396860104</v>
      </c>
      <c r="Z25" s="126">
        <f t="shared" si="7"/>
        <v>0.80139818179784605</v>
      </c>
      <c r="AA25" s="93">
        <f t="shared" si="8"/>
        <v>15.350610267952367</v>
      </c>
      <c r="AB25" s="125">
        <v>0.10803400000000001</v>
      </c>
      <c r="AC25" s="14" t="s">
        <v>360</v>
      </c>
      <c r="AE25">
        <v>4.2440938717383965</v>
      </c>
      <c r="AF25">
        <v>69.913731050476585</v>
      </c>
      <c r="AG25">
        <v>48.840086275128847</v>
      </c>
      <c r="AH25">
        <v>1.8936694144354429</v>
      </c>
      <c r="AI25" s="65">
        <v>1.8579200000000001E-3</v>
      </c>
      <c r="AJ25" t="s">
        <v>360</v>
      </c>
      <c r="AL25">
        <v>60.405360074005401</v>
      </c>
      <c r="AM25">
        <v>410.20282627967418</v>
      </c>
      <c r="AN25">
        <v>82.891800000060854</v>
      </c>
      <c r="AO25">
        <v>13.5662254108433</v>
      </c>
      <c r="AP25" s="19">
        <v>8.1532800000000002E-2</v>
      </c>
      <c r="AQ25" t="s">
        <v>360</v>
      </c>
    </row>
    <row r="26" spans="5:43" x14ac:dyDescent="0.2">
      <c r="E26" t="s">
        <v>649</v>
      </c>
      <c r="F26" s="43">
        <v>4894121.8801845098</v>
      </c>
      <c r="G26" s="43">
        <v>656289.58107636997</v>
      </c>
      <c r="H26" s="43">
        <v>4160947.3123035599</v>
      </c>
      <c r="I26" s="43">
        <v>454867939.84709197</v>
      </c>
      <c r="J26" s="43"/>
      <c r="K26" s="43">
        <v>4794897.5551193496</v>
      </c>
      <c r="L26" s="43">
        <v>144304.19683392101</v>
      </c>
      <c r="M26" s="43">
        <v>10115746.6747183</v>
      </c>
      <c r="N26" s="43">
        <v>474446573.76448298</v>
      </c>
      <c r="P26" s="78">
        <f t="shared" si="0"/>
        <v>634.76801763940773</v>
      </c>
      <c r="Q26" s="161">
        <f t="shared" si="1"/>
        <v>71.425509498273925</v>
      </c>
      <c r="R26" s="78">
        <f t="shared" si="2"/>
        <v>3.465533407021574</v>
      </c>
      <c r="S26" s="126">
        <f t="shared" si="3"/>
        <v>0.15242068837099154</v>
      </c>
      <c r="T26" s="93">
        <f t="shared" si="4"/>
        <v>24.695782654466004</v>
      </c>
      <c r="U26" s="125">
        <v>0.19192699999999999</v>
      </c>
      <c r="W26" s="157">
        <f t="shared" si="5"/>
        <v>87.836080016265512</v>
      </c>
      <c r="X26" s="164">
        <f t="shared" si="9"/>
        <v>54.513949570632803</v>
      </c>
      <c r="Y26" s="165">
        <f t="shared" si="6"/>
        <v>8.4251146210250649</v>
      </c>
      <c r="Z26" s="126">
        <f t="shared" si="7"/>
        <v>0.81363523763843049</v>
      </c>
      <c r="AA26" s="93">
        <f t="shared" si="8"/>
        <v>17.663980856259293</v>
      </c>
      <c r="AB26" s="125">
        <v>0.14868300000000001</v>
      </c>
      <c r="AC26" s="14" t="s">
        <v>360</v>
      </c>
      <c r="AE26">
        <v>20.939096609563283</v>
      </c>
      <c r="AF26">
        <v>176.62546622290975</v>
      </c>
      <c r="AG26">
        <v>67.880461513384788</v>
      </c>
      <c r="AH26">
        <v>6.4850594427197974</v>
      </c>
      <c r="AI26" s="65">
        <v>1.3263199999999999E-2</v>
      </c>
      <c r="AJ26" t="s">
        <v>360</v>
      </c>
      <c r="AL26">
        <v>62.624425380648979</v>
      </c>
      <c r="AM26">
        <v>420.43491535184648</v>
      </c>
      <c r="AN26">
        <v>82.788141031371495</v>
      </c>
      <c r="AO26">
        <v>14.028597113216172</v>
      </c>
      <c r="AP26" s="19">
        <v>8.9598499999999998E-2</v>
      </c>
      <c r="AQ26" t="s">
        <v>360</v>
      </c>
    </row>
    <row r="27" spans="5:43" x14ac:dyDescent="0.2">
      <c r="E27" t="s">
        <v>650</v>
      </c>
      <c r="F27" s="43">
        <v>4812342.2720109504</v>
      </c>
      <c r="G27" s="43">
        <v>654357.31249743805</v>
      </c>
      <c r="H27" s="43">
        <v>4306002.0097137503</v>
      </c>
      <c r="I27" s="43">
        <v>449255276.12913603</v>
      </c>
      <c r="J27" s="43"/>
      <c r="K27" s="43">
        <v>6287024.3444387596</v>
      </c>
      <c r="L27" s="43">
        <v>193387.09283250899</v>
      </c>
      <c r="M27" s="43">
        <v>6867178.6756943902</v>
      </c>
      <c r="N27" s="43">
        <v>521318110.69054502</v>
      </c>
      <c r="P27" s="21">
        <f t="shared" si="0"/>
        <v>671.33328638736782</v>
      </c>
      <c r="Q27" s="162">
        <f t="shared" si="1"/>
        <v>85.781495777900062</v>
      </c>
      <c r="R27" s="21">
        <f t="shared" si="2"/>
        <v>3.8893597776309048</v>
      </c>
      <c r="S27" s="126">
        <f t="shared" si="3"/>
        <v>0.15491615823557089</v>
      </c>
      <c r="T27" s="93">
        <f t="shared" si="4"/>
        <v>25.849128015616436</v>
      </c>
      <c r="U27" s="125">
        <v>0.21889900000000001</v>
      </c>
      <c r="W27" s="157">
        <f t="shared" si="5"/>
        <v>14.57291752587561</v>
      </c>
      <c r="X27" s="164">
        <f t="shared" si="9"/>
        <v>13.849337048235107</v>
      </c>
      <c r="Y27" s="165">
        <f t="shared" si="6"/>
        <v>6.2027208688706477</v>
      </c>
      <c r="Z27" s="126">
        <f t="shared" si="7"/>
        <v>0.75024607467928184</v>
      </c>
      <c r="AA27" s="93">
        <f t="shared" si="8"/>
        <v>5.1600012119166738</v>
      </c>
      <c r="AB27" s="125">
        <v>1.1945799999999999E-2</v>
      </c>
      <c r="AC27" s="14" t="s">
        <v>360</v>
      </c>
      <c r="AE27">
        <v>14.57291752587561</v>
      </c>
      <c r="AF27">
        <v>134.85424740239557</v>
      </c>
      <c r="AG27">
        <v>60.397349830205719</v>
      </c>
      <c r="AH27">
        <v>5.1600012119166738</v>
      </c>
      <c r="AI27" s="65">
        <v>1.1945799999999999E-2</v>
      </c>
      <c r="AJ27" t="s">
        <v>360</v>
      </c>
      <c r="AL27">
        <v>57.153811926163449</v>
      </c>
      <c r="AM27">
        <v>389.76615037397283</v>
      </c>
      <c r="AN27">
        <v>81.439174251395613</v>
      </c>
      <c r="AO27">
        <v>13.228411516463394</v>
      </c>
      <c r="AP27" s="19">
        <v>7.1151800000000001E-2</v>
      </c>
      <c r="AQ27" t="s">
        <v>360</v>
      </c>
    </row>
    <row r="28" spans="5:43" x14ac:dyDescent="0.2">
      <c r="E28" t="s">
        <v>651</v>
      </c>
      <c r="F28" s="43">
        <v>4915400.0679343604</v>
      </c>
      <c r="G28" s="43">
        <v>656744.99830659898</v>
      </c>
      <c r="H28" s="43">
        <v>4123205.6166116302</v>
      </c>
      <c r="I28" s="43">
        <v>456485554.66992301</v>
      </c>
      <c r="J28" s="43"/>
      <c r="K28" s="43">
        <v>6282423.0433245404</v>
      </c>
      <c r="L28" s="43">
        <v>255388.488116511</v>
      </c>
      <c r="M28" s="43">
        <v>4417906.5331734801</v>
      </c>
      <c r="N28" s="43">
        <v>519520383.99590898</v>
      </c>
      <c r="P28" s="21">
        <f t="shared" si="0"/>
        <v>623.46767665538073</v>
      </c>
      <c r="Q28" s="162">
        <f t="shared" si="1"/>
        <v>70.735944376678418</v>
      </c>
      <c r="R28" s="21">
        <f t="shared" si="2"/>
        <v>4.1692281721285553</v>
      </c>
      <c r="S28" s="126">
        <f t="shared" si="3"/>
        <v>0.1518325299823296</v>
      </c>
      <c r="T28" s="93">
        <f t="shared" si="4"/>
        <v>24.333221447944762</v>
      </c>
      <c r="U28" s="125">
        <v>0.183754</v>
      </c>
      <c r="W28" s="157">
        <f t="shared" si="5"/>
        <v>19.778454633263195</v>
      </c>
      <c r="X28" s="164">
        <f t="shared" si="9"/>
        <v>14.845253703132315</v>
      </c>
      <c r="Y28" s="165">
        <f t="shared" si="6"/>
        <v>4.4672184927498861</v>
      </c>
      <c r="Z28" s="126">
        <f t="shared" si="7"/>
        <v>0.67017303763873592</v>
      </c>
      <c r="AA28" s="93">
        <f t="shared" si="8"/>
        <v>6.2382470588211172</v>
      </c>
      <c r="AB28" s="125">
        <v>3.8551599999999998E-3</v>
      </c>
      <c r="AC28" s="14" t="s">
        <v>120</v>
      </c>
      <c r="AE28">
        <v>16.553948485852182</v>
      </c>
      <c r="AF28">
        <v>139.58278764871275</v>
      </c>
      <c r="AG28">
        <v>55.967554443013285</v>
      </c>
      <c r="AH28">
        <v>6.3189410868295974</v>
      </c>
      <c r="AI28" s="65">
        <v>1.9675000000000002E-2</v>
      </c>
      <c r="AJ28" t="s">
        <v>360</v>
      </c>
      <c r="AL28">
        <v>59.250521950971446</v>
      </c>
      <c r="AM28">
        <v>401.79295166044642</v>
      </c>
      <c r="AN28">
        <v>81.503044828801677</v>
      </c>
      <c r="AO28">
        <v>13.720469956049403</v>
      </c>
      <c r="AP28" s="19">
        <v>7.65787E-2</v>
      </c>
      <c r="AQ28" t="s">
        <v>360</v>
      </c>
    </row>
    <row r="29" spans="5:43" x14ac:dyDescent="0.2">
      <c r="E29" t="s">
        <v>652</v>
      </c>
      <c r="F29" s="43">
        <v>4799512.2472719401</v>
      </c>
      <c r="G29" s="43">
        <v>653614.50822180195</v>
      </c>
      <c r="H29" s="43">
        <v>4328758.9707440799</v>
      </c>
      <c r="I29" s="43">
        <v>448231675.56323701</v>
      </c>
      <c r="J29" s="43"/>
      <c r="K29" s="43">
        <v>6423140.5733894696</v>
      </c>
      <c r="L29" s="43">
        <v>200003.311401146</v>
      </c>
      <c r="M29" s="43">
        <v>6363510.9401706103</v>
      </c>
      <c r="N29" s="43">
        <v>520276807.92901498</v>
      </c>
      <c r="P29" s="21">
        <f t="shared" si="0"/>
        <v>675.68248819160033</v>
      </c>
      <c r="Q29" s="162">
        <f t="shared" si="1"/>
        <v>89.616831968216573</v>
      </c>
      <c r="R29" s="21">
        <f t="shared" si="2"/>
        <v>3.9549583862414353</v>
      </c>
      <c r="S29" s="126">
        <f t="shared" si="3"/>
        <v>0.15587546881244482</v>
      </c>
      <c r="T29" s="93">
        <f t="shared" si="4"/>
        <v>26.070330076499634</v>
      </c>
      <c r="U29" s="125">
        <v>0.22363</v>
      </c>
      <c r="W29" s="157">
        <f t="shared" si="5"/>
        <v>16.553948485852182</v>
      </c>
      <c r="X29" s="164">
        <f t="shared" si="9"/>
        <v>14.500094941776247</v>
      </c>
      <c r="Y29" s="165">
        <f t="shared" si="6"/>
        <v>5.8140037661743023</v>
      </c>
      <c r="Z29" s="126">
        <f t="shared" si="7"/>
        <v>0.74170141673911583</v>
      </c>
      <c r="AA29" s="93">
        <f t="shared" si="8"/>
        <v>6.3189410868295974</v>
      </c>
      <c r="AB29" s="125">
        <v>1.9675000000000002E-2</v>
      </c>
      <c r="AC29" s="14" t="s">
        <v>360</v>
      </c>
      <c r="AE29">
        <v>43.990012993821018</v>
      </c>
      <c r="AF29">
        <v>311.35382678793059</v>
      </c>
      <c r="AG29">
        <v>77.13558882400784</v>
      </c>
      <c r="AH29">
        <v>11.2164669075243</v>
      </c>
      <c r="AI29" s="65">
        <v>5.2770299999999999E-2</v>
      </c>
      <c r="AJ29" t="s">
        <v>360</v>
      </c>
      <c r="AL29">
        <v>70.707209321177913</v>
      </c>
      <c r="AM29">
        <v>471.16292527555845</v>
      </c>
      <c r="AN29">
        <v>85.496335530773877</v>
      </c>
      <c r="AO29">
        <v>15.067866534465431</v>
      </c>
      <c r="AP29" s="19">
        <v>9.9195599999999995E-2</v>
      </c>
      <c r="AQ29" t="s">
        <v>360</v>
      </c>
    </row>
    <row r="30" spans="5:43" x14ac:dyDescent="0.2">
      <c r="E30" t="s">
        <v>653</v>
      </c>
      <c r="F30" s="43">
        <v>4918659.2041205596</v>
      </c>
      <c r="G30" s="43">
        <v>656800.043720535</v>
      </c>
      <c r="H30" s="43">
        <v>4117424.7988275201</v>
      </c>
      <c r="I30" s="43">
        <v>456709434.23348099</v>
      </c>
      <c r="J30" s="43"/>
      <c r="K30" s="43">
        <v>6656837.7456437498</v>
      </c>
      <c r="L30" s="43">
        <v>271470.30915793998</v>
      </c>
      <c r="M30" s="43">
        <v>3116391.9462199099</v>
      </c>
      <c r="N30" s="43">
        <v>526076934.50073302</v>
      </c>
      <c r="P30" s="21">
        <f t="shared" si="0"/>
        <v>621.85453945714562</v>
      </c>
      <c r="Q30" s="162">
        <f t="shared" si="1"/>
        <v>64.411611124986479</v>
      </c>
      <c r="R30" s="21">
        <f t="shared" si="2"/>
        <v>4.2965360176106797</v>
      </c>
      <c r="S30" s="126">
        <f t="shared" si="3"/>
        <v>0.15176144039718686</v>
      </c>
      <c r="T30" s="93">
        <f t="shared" si="4"/>
        <v>24.285174383714423</v>
      </c>
      <c r="U30" s="125">
        <v>0.18312999999999999</v>
      </c>
      <c r="W30" s="157">
        <f t="shared" si="5"/>
        <v>7.3719748997516303</v>
      </c>
      <c r="X30" s="164">
        <f t="shared" si="9"/>
        <v>7.1201370657769214</v>
      </c>
      <c r="Y30" s="165">
        <f t="shared" si="6"/>
        <v>3.2519574481939642</v>
      </c>
      <c r="Z30" s="126">
        <f t="shared" si="7"/>
        <v>0.64940382355845161</v>
      </c>
      <c r="AA30" s="93">
        <f t="shared" si="8"/>
        <v>2.9169204398024924</v>
      </c>
      <c r="AB30" s="125">
        <v>1.73156E-3</v>
      </c>
      <c r="AC30" s="14" t="s">
        <v>120</v>
      </c>
      <c r="AE30">
        <v>18.953278510452531</v>
      </c>
      <c r="AF30">
        <v>164.39619817732782</v>
      </c>
      <c r="AG30">
        <v>66.008877042068164</v>
      </c>
      <c r="AH30">
        <v>6.2405173277746782</v>
      </c>
      <c r="AI30" s="65">
        <v>1.40258E-2</v>
      </c>
      <c r="AJ30" t="s">
        <v>360</v>
      </c>
      <c r="AL30">
        <v>80.736665818035632</v>
      </c>
      <c r="AM30">
        <v>530.39170789786715</v>
      </c>
      <c r="AN30">
        <v>87.967607997876001</v>
      </c>
      <c r="AO30">
        <v>16.39301924081753</v>
      </c>
      <c r="AP30" s="19">
        <v>0.123627</v>
      </c>
      <c r="AQ30" t="s">
        <v>360</v>
      </c>
    </row>
    <row r="31" spans="5:43" x14ac:dyDescent="0.2">
      <c r="E31" t="s">
        <v>654</v>
      </c>
      <c r="F31" s="43">
        <v>4984079.2046568403</v>
      </c>
      <c r="G31" s="43">
        <v>658035.74832860602</v>
      </c>
      <c r="H31" s="43">
        <v>4001387.5788615602</v>
      </c>
      <c r="I31" s="43">
        <v>460969333.67456102</v>
      </c>
      <c r="J31" s="43"/>
      <c r="K31" s="43">
        <v>4826897.49540821</v>
      </c>
      <c r="L31" s="43">
        <v>145485.12613811699</v>
      </c>
      <c r="M31" s="43">
        <v>10058987.5172778</v>
      </c>
      <c r="N31" s="43">
        <v>473420821.927845</v>
      </c>
      <c r="P31" s="21">
        <f t="shared" si="0"/>
        <v>591.82678068153973</v>
      </c>
      <c r="Q31" s="162">
        <f t="shared" si="1"/>
        <v>61.822868380886113</v>
      </c>
      <c r="R31" s="21">
        <f t="shared" si="2"/>
        <v>3.3388993655113288</v>
      </c>
      <c r="S31" s="126">
        <f t="shared" si="3"/>
        <v>0.15016556307216844</v>
      </c>
      <c r="T31" s="93">
        <f t="shared" si="4"/>
        <v>23.377724691297139</v>
      </c>
      <c r="U31" s="125">
        <v>0.162526</v>
      </c>
      <c r="W31" s="157">
        <f t="shared" si="5"/>
        <v>89.632254345422453</v>
      </c>
      <c r="X31" s="164">
        <f t="shared" si="9"/>
        <v>55.424888127016544</v>
      </c>
      <c r="Y31" s="165">
        <f t="shared" si="6"/>
        <v>8.3935750729452732</v>
      </c>
      <c r="Z31" s="126">
        <f t="shared" si="7"/>
        <v>0.8121101010591002</v>
      </c>
      <c r="AA31" s="93">
        <f t="shared" si="8"/>
        <v>18.177077707923253</v>
      </c>
      <c r="AB31" s="125">
        <v>0.156947</v>
      </c>
      <c r="AC31" s="14" t="s">
        <v>360</v>
      </c>
      <c r="AE31">
        <v>31.642692925024281</v>
      </c>
      <c r="AF31">
        <v>237.47694835383726</v>
      </c>
      <c r="AG31">
        <v>71.747871545675196</v>
      </c>
      <c r="AH31">
        <v>9.2261122358512608</v>
      </c>
      <c r="AI31" s="65">
        <v>3.08469E-2</v>
      </c>
      <c r="AJ31" t="s">
        <v>360</v>
      </c>
      <c r="AL31">
        <v>75.90150494765065</v>
      </c>
      <c r="AM31">
        <v>502.57531638970818</v>
      </c>
      <c r="AN31">
        <v>86.642074796339571</v>
      </c>
      <c r="AO31">
        <v>15.850358193718279</v>
      </c>
      <c r="AP31" s="19">
        <v>0.115615</v>
      </c>
      <c r="AQ31" t="s">
        <v>360</v>
      </c>
    </row>
    <row r="32" spans="5:43" x14ac:dyDescent="0.2">
      <c r="E32" t="s">
        <v>655</v>
      </c>
      <c r="F32" s="43">
        <v>4911492.7415522104</v>
      </c>
      <c r="G32" s="43">
        <v>656412.383118456</v>
      </c>
      <c r="H32" s="43">
        <v>4130136.1468343101</v>
      </c>
      <c r="I32" s="43">
        <v>456118032.586052</v>
      </c>
      <c r="J32" s="43"/>
      <c r="K32" s="43">
        <v>5097782.4921063296</v>
      </c>
      <c r="L32" s="43">
        <v>156294.212817875</v>
      </c>
      <c r="M32" s="43">
        <v>9578511.4902270194</v>
      </c>
      <c r="N32" s="43">
        <v>488889241.08053702</v>
      </c>
      <c r="P32" s="21">
        <f t="shared" si="0"/>
        <v>624.82602941522555</v>
      </c>
      <c r="Q32" s="162">
        <f t="shared" si="1"/>
        <v>64.824118835539167</v>
      </c>
      <c r="R32" s="21">
        <f t="shared" si="2"/>
        <v>3.5066079639000942</v>
      </c>
      <c r="S32" s="126">
        <f t="shared" si="3"/>
        <v>0.1522620930293937</v>
      </c>
      <c r="T32" s="93">
        <f t="shared" si="4"/>
        <v>24.423549020850686</v>
      </c>
      <c r="U32" s="125">
        <v>0.18579200000000001</v>
      </c>
      <c r="W32" s="157">
        <f t="shared" si="5"/>
        <v>66.170775935442947</v>
      </c>
      <c r="X32" s="164">
        <f t="shared" si="9"/>
        <v>42.853183181053403</v>
      </c>
      <c r="Y32" s="165">
        <f t="shared" si="6"/>
        <v>8.1324400648834327</v>
      </c>
      <c r="Z32" s="126">
        <f t="shared" si="7"/>
        <v>0.79815047331010891</v>
      </c>
      <c r="AA32" s="93">
        <f t="shared" si="8"/>
        <v>14.45095426185847</v>
      </c>
      <c r="AB32" s="125">
        <v>9.3999100000000002E-2</v>
      </c>
      <c r="AC32" s="14" t="s">
        <v>360</v>
      </c>
      <c r="AE32">
        <v>35.38071037998585</v>
      </c>
      <c r="AF32">
        <v>261.09405620171054</v>
      </c>
      <c r="AG32">
        <v>74.531667905879416</v>
      </c>
      <c r="AH32">
        <v>9.6098857510653009</v>
      </c>
      <c r="AI32" s="65">
        <v>3.5498000000000002E-2</v>
      </c>
      <c r="AJ32" t="s">
        <v>360</v>
      </c>
      <c r="AL32">
        <v>69.555503599481739</v>
      </c>
      <c r="AM32">
        <v>459.25037451289882</v>
      </c>
      <c r="AN32">
        <v>82.684204403443971</v>
      </c>
      <c r="AO32">
        <v>15.683810130198514</v>
      </c>
      <c r="AP32" s="19">
        <v>0.112218</v>
      </c>
      <c r="AQ32" t="s">
        <v>360</v>
      </c>
    </row>
    <row r="33" spans="5:43" x14ac:dyDescent="0.2">
      <c r="E33" t="s">
        <v>656</v>
      </c>
      <c r="F33" s="43">
        <v>5048969.3804216404</v>
      </c>
      <c r="G33" s="43">
        <v>658099.187916197</v>
      </c>
      <c r="H33" s="43">
        <v>3886290.1233873302</v>
      </c>
      <c r="I33" s="43">
        <v>463369736.15495402</v>
      </c>
      <c r="J33" s="43"/>
      <c r="K33" s="43">
        <v>4634386.2774472795</v>
      </c>
      <c r="L33" s="43">
        <v>144596.70191058799</v>
      </c>
      <c r="M33" s="43">
        <v>10400449.858478099</v>
      </c>
      <c r="N33" s="43">
        <v>467005785.49139899</v>
      </c>
      <c r="P33" s="21">
        <f t="shared" si="0"/>
        <v>571.49436467676526</v>
      </c>
      <c r="Q33" s="162">
        <f t="shared" si="1"/>
        <v>60.933143341273926</v>
      </c>
      <c r="R33" s="21">
        <f t="shared" si="2"/>
        <v>3.2382828290407009</v>
      </c>
      <c r="S33" s="126">
        <f t="shared" si="3"/>
        <v>0.15008363265070387</v>
      </c>
      <c r="T33" s="93">
        <f t="shared" si="4"/>
        <v>23.070844261468793</v>
      </c>
      <c r="U33" s="125">
        <v>0.15459500000000001</v>
      </c>
      <c r="W33" s="157">
        <f t="shared" si="5"/>
        <v>99.693022818359296</v>
      </c>
      <c r="X33" s="164">
        <f t="shared" si="9"/>
        <v>60.976600101637793</v>
      </c>
      <c r="Y33" s="165">
        <f t="shared" si="6"/>
        <v>8.6662593686270988</v>
      </c>
      <c r="Z33" s="126">
        <f t="shared" si="7"/>
        <v>0.81325747565853934</v>
      </c>
      <c r="AA33" s="93">
        <f t="shared" si="8"/>
        <v>19.06243792060577</v>
      </c>
      <c r="AB33" s="125">
        <v>0.179038</v>
      </c>
      <c r="AC33" s="14" t="s">
        <v>360</v>
      </c>
      <c r="AE33">
        <v>23.014055860696814</v>
      </c>
      <c r="AF33">
        <v>188.33125597707161</v>
      </c>
      <c r="AG33">
        <v>68.168735839877229</v>
      </c>
      <c r="AH33">
        <v>7.3681975487482312</v>
      </c>
      <c r="AI33" s="65">
        <v>1.7720199999999998E-2</v>
      </c>
      <c r="AJ33" t="s">
        <v>360</v>
      </c>
      <c r="AL33">
        <v>77.714773087539314</v>
      </c>
      <c r="AM33">
        <v>513.87748892105719</v>
      </c>
      <c r="AN33">
        <v>87.260261308761656</v>
      </c>
      <c r="AO33">
        <v>16.044408530437178</v>
      </c>
      <c r="AP33" s="19">
        <v>0.119768</v>
      </c>
      <c r="AQ33" t="s">
        <v>360</v>
      </c>
    </row>
    <row r="34" spans="5:43" x14ac:dyDescent="0.2">
      <c r="E34" t="s">
        <v>657</v>
      </c>
      <c r="F34" s="43">
        <v>5062877.69839432</v>
      </c>
      <c r="G34" s="43">
        <v>658208.29581790895</v>
      </c>
      <c r="H34" s="43">
        <v>3861620.56455635</v>
      </c>
      <c r="I34" s="43">
        <v>464048468.45275599</v>
      </c>
      <c r="J34" s="43"/>
      <c r="K34" s="43">
        <v>5553430.4301304901</v>
      </c>
      <c r="L34" s="43">
        <v>168931.897445107</v>
      </c>
      <c r="M34" s="43">
        <v>8770316.4492896907</v>
      </c>
      <c r="N34" s="43">
        <v>503153246.28800499</v>
      </c>
      <c r="P34" s="21">
        <f t="shared" si="0"/>
        <v>566.18544205316505</v>
      </c>
      <c r="Q34" s="162">
        <f t="shared" si="1"/>
        <v>61.872565352452206</v>
      </c>
      <c r="R34" s="21">
        <f t="shared" si="2"/>
        <v>3.347073883250983</v>
      </c>
      <c r="S34" s="126">
        <f t="shared" si="3"/>
        <v>0.14994272290157357</v>
      </c>
      <c r="T34" s="93">
        <f t="shared" si="4"/>
        <v>22.945929348769074</v>
      </c>
      <c r="U34" s="125">
        <v>0.15177299999999999</v>
      </c>
      <c r="W34" s="157">
        <f t="shared" si="5"/>
        <v>43.990012993821018</v>
      </c>
      <c r="X34" s="164">
        <f t="shared" si="9"/>
        <v>30.683886886097625</v>
      </c>
      <c r="Y34" s="165">
        <f t="shared" si="6"/>
        <v>7.6017041665605785</v>
      </c>
      <c r="Z34" s="126">
        <f t="shared" si="7"/>
        <v>0.78182926336591596</v>
      </c>
      <c r="AA34" s="93">
        <f t="shared" si="8"/>
        <v>11.2164669075243</v>
      </c>
      <c r="AB34" s="125">
        <v>5.2770299999999999E-2</v>
      </c>
      <c r="AC34" s="14" t="s">
        <v>360</v>
      </c>
      <c r="AE34">
        <v>29.880941307063949</v>
      </c>
      <c r="AF34">
        <v>223.72142621512882</v>
      </c>
      <c r="AG34">
        <v>68.342820474196657</v>
      </c>
      <c r="AH34">
        <v>9.2030733157685827</v>
      </c>
      <c r="AI34" s="65">
        <v>3.9165999999999999E-2</v>
      </c>
      <c r="AJ34" t="s">
        <v>360</v>
      </c>
      <c r="AL34">
        <v>52.704595591284829</v>
      </c>
      <c r="AM34">
        <v>363.51036024439327</v>
      </c>
      <c r="AN34">
        <v>80.462588749740533</v>
      </c>
      <c r="AO34">
        <v>12.437640523648447</v>
      </c>
      <c r="AP34" s="19">
        <v>6.4947599999999994E-2</v>
      </c>
      <c r="AQ34" t="s">
        <v>360</v>
      </c>
    </row>
    <row r="35" spans="5:43" x14ac:dyDescent="0.2">
      <c r="E35" t="s">
        <v>658</v>
      </c>
      <c r="F35" s="43">
        <v>5054379.4936504196</v>
      </c>
      <c r="G35" s="43">
        <v>658193.603613385</v>
      </c>
      <c r="H35" s="43">
        <v>3876694.0595899899</v>
      </c>
      <c r="I35" s="43">
        <v>463560856.96483099</v>
      </c>
      <c r="J35" s="43"/>
      <c r="K35" s="43">
        <v>6135091.1385790603</v>
      </c>
      <c r="L35" s="43">
        <v>184088.71074531501</v>
      </c>
      <c r="M35" s="43">
        <v>7505209.3196831504</v>
      </c>
      <c r="N35" s="43">
        <v>518597221.53142399</v>
      </c>
      <c r="P35" s="21">
        <f t="shared" si="0"/>
        <v>570.31311761715472</v>
      </c>
      <c r="Q35" s="162">
        <f t="shared" si="1"/>
        <v>62.922791827527703</v>
      </c>
      <c r="R35" s="21">
        <f t="shared" si="2"/>
        <v>3.4464267856700435</v>
      </c>
      <c r="S35" s="126">
        <f t="shared" si="3"/>
        <v>0.14996169746547919</v>
      </c>
      <c r="T35" s="93">
        <f t="shared" si="4"/>
        <v>23.047767980161353</v>
      </c>
      <c r="U35" s="125">
        <v>0.15385399999999999</v>
      </c>
      <c r="W35" s="157">
        <f t="shared" si="5"/>
        <v>18.953278510452531</v>
      </c>
      <c r="X35" s="164">
        <f t="shared" si="9"/>
        <v>16.617273302879799</v>
      </c>
      <c r="Y35" s="165">
        <f t="shared" si="6"/>
        <v>6.6722196886880818</v>
      </c>
      <c r="Z35" s="126">
        <f t="shared" si="7"/>
        <v>0.76225467045159567</v>
      </c>
      <c r="AA35" s="93">
        <f t="shared" si="8"/>
        <v>6.2405173277746782</v>
      </c>
      <c r="AB35" s="125">
        <v>1.40258E-2</v>
      </c>
      <c r="AC35" s="14" t="s">
        <v>360</v>
      </c>
      <c r="AE35">
        <v>28.507674921618939</v>
      </c>
      <c r="AF35">
        <v>222.98144552280991</v>
      </c>
      <c r="AG35">
        <v>72.818795428333075</v>
      </c>
      <c r="AH35">
        <v>8.139823730286869</v>
      </c>
      <c r="AI35" s="65">
        <v>2.0110200000000002E-2</v>
      </c>
      <c r="AJ35" t="s">
        <v>360</v>
      </c>
      <c r="AL35">
        <v>75.134667316403423</v>
      </c>
      <c r="AM35">
        <v>498.21527313288198</v>
      </c>
      <c r="AN35">
        <v>86.543810964720052</v>
      </c>
      <c r="AO35">
        <v>15.721140504040036</v>
      </c>
      <c r="AP35" s="19">
        <v>0.11168699999999999</v>
      </c>
      <c r="AQ35" t="s">
        <v>360</v>
      </c>
    </row>
    <row r="36" spans="5:43" x14ac:dyDescent="0.2">
      <c r="E36" t="s">
        <v>659</v>
      </c>
      <c r="F36" s="43">
        <v>5058867.9538399102</v>
      </c>
      <c r="G36" s="43">
        <v>658104.89649741899</v>
      </c>
      <c r="H36" s="43">
        <v>3868732.7566543901</v>
      </c>
      <c r="I36" s="43">
        <v>463935727.711815</v>
      </c>
      <c r="J36" s="43"/>
      <c r="K36" s="43">
        <v>5328883.2030288503</v>
      </c>
      <c r="L36" s="43">
        <v>189748.03760743301</v>
      </c>
      <c r="M36" s="43">
        <v>8710893.9091648906</v>
      </c>
      <c r="N36" s="43">
        <v>496880821.01053602</v>
      </c>
      <c r="P36" s="21">
        <f t="shared" si="0"/>
        <v>566.65183556645343</v>
      </c>
      <c r="Q36" s="162">
        <f t="shared" si="1"/>
        <v>69.31805373992465</v>
      </c>
      <c r="R36" s="21">
        <f t="shared" si="2"/>
        <v>3.4726464758750462</v>
      </c>
      <c r="S36" s="126">
        <f t="shared" si="3"/>
        <v>0.15007626018055956</v>
      </c>
      <c r="T36" s="93">
        <f t="shared" si="4"/>
        <v>22.95315654792379</v>
      </c>
      <c r="U36" s="125">
        <v>0.15149699999999999</v>
      </c>
      <c r="W36" s="157">
        <f t="shared" si="5"/>
        <v>56.286606974333147</v>
      </c>
      <c r="X36" s="164">
        <f t="shared" si="9"/>
        <v>37.353440086146655</v>
      </c>
      <c r="Y36" s="165">
        <f t="shared" si="6"/>
        <v>7.8190603843989432</v>
      </c>
      <c r="Z36" s="126">
        <f t="shared" si="7"/>
        <v>0.75494581091094826</v>
      </c>
      <c r="AA36" s="93">
        <f t="shared" si="8"/>
        <v>12.660907963540108</v>
      </c>
      <c r="AB36" s="125">
        <v>4.89746E-2</v>
      </c>
      <c r="AC36" s="14" t="s">
        <v>359</v>
      </c>
      <c r="AE36">
        <v>35.680112196739358</v>
      </c>
      <c r="AF36">
        <v>260.63057549446603</v>
      </c>
      <c r="AG36">
        <v>73.365866788353301</v>
      </c>
      <c r="AH36">
        <v>9.9840805491239841</v>
      </c>
      <c r="AI36" s="65">
        <v>4.3855699999999997E-2</v>
      </c>
      <c r="AJ36" t="s">
        <v>360</v>
      </c>
      <c r="AL36">
        <v>52.090328802149095</v>
      </c>
      <c r="AM36">
        <v>358.45066056501736</v>
      </c>
      <c r="AN36">
        <v>76.164850252686364</v>
      </c>
      <c r="AO36">
        <v>13.88221202586681</v>
      </c>
      <c r="AP36" s="19">
        <v>6.1947099999999998E-2</v>
      </c>
      <c r="AQ36" t="s">
        <v>119</v>
      </c>
    </row>
    <row r="37" spans="5:43" x14ac:dyDescent="0.2">
      <c r="E37" t="s">
        <v>660</v>
      </c>
      <c r="F37" s="43">
        <v>4811205.3830767795</v>
      </c>
      <c r="G37" s="43">
        <v>653876.56001955201</v>
      </c>
      <c r="H37" s="43">
        <v>4308018.5402892502</v>
      </c>
      <c r="I37" s="43">
        <v>449015093.2227</v>
      </c>
      <c r="J37" s="43"/>
      <c r="K37" s="43">
        <v>6041406.9843451902</v>
      </c>
      <c r="L37" s="43">
        <v>246577.498199781</v>
      </c>
      <c r="M37" s="43">
        <v>5194627.9833104797</v>
      </c>
      <c r="N37" s="43">
        <v>514188119.28340602</v>
      </c>
      <c r="P37" s="21">
        <f t="shared" si="0"/>
        <v>670.64774692967615</v>
      </c>
      <c r="Q37" s="162">
        <f t="shared" si="1"/>
        <v>74.648402835930995</v>
      </c>
      <c r="R37" s="21">
        <f t="shared" si="2"/>
        <v>4.2833747721446231</v>
      </c>
      <c r="S37" s="126">
        <f t="shared" si="3"/>
        <v>0.15553703637537358</v>
      </c>
      <c r="T37" s="93">
        <f t="shared" si="4"/>
        <v>25.91676719628121</v>
      </c>
      <c r="U37" s="125">
        <v>0.21951899999999999</v>
      </c>
      <c r="W37" s="157">
        <f t="shared" si="5"/>
        <v>29.552330237362462</v>
      </c>
      <c r="X37" s="164">
        <f t="shared" si="9"/>
        <v>20.671438556311866</v>
      </c>
      <c r="Y37" s="165">
        <f t="shared" si="6"/>
        <v>5.1649124176923005</v>
      </c>
      <c r="Z37" s="126">
        <f t="shared" si="7"/>
        <v>0.68155218029729236</v>
      </c>
      <c r="AA37" s="93">
        <f t="shared" si="8"/>
        <v>8.2680492605477767</v>
      </c>
      <c r="AB37" s="125">
        <v>1.7455600000000002E-2</v>
      </c>
      <c r="AC37" s="14" t="s">
        <v>120</v>
      </c>
      <c r="AE37">
        <v>48.098676398930735</v>
      </c>
      <c r="AF37">
        <v>339.23847794543457</v>
      </c>
      <c r="AG37">
        <v>79.728116736779938</v>
      </c>
      <c r="AH37">
        <v>11.614699963403588</v>
      </c>
      <c r="AI37" s="65">
        <v>4.6265199999999999E-2</v>
      </c>
      <c r="AJ37" t="s">
        <v>360</v>
      </c>
      <c r="AL37">
        <v>74.175423248463858</v>
      </c>
      <c r="AM37">
        <v>492.82445154773865</v>
      </c>
      <c r="AN37">
        <v>86.573725948240096</v>
      </c>
      <c r="AO37">
        <v>15.504144572830853</v>
      </c>
      <c r="AP37" s="19">
        <v>0.10842599999999999</v>
      </c>
      <c r="AQ37" t="s">
        <v>360</v>
      </c>
    </row>
    <row r="38" spans="5:43" x14ac:dyDescent="0.2">
      <c r="E38" t="s">
        <v>661</v>
      </c>
      <c r="F38" s="43">
        <v>4871840.3678582599</v>
      </c>
      <c r="G38" s="43">
        <v>655902.25525064103</v>
      </c>
      <c r="H38" s="43">
        <v>4200468.6318660798</v>
      </c>
      <c r="I38" s="43">
        <v>453484755.93278497</v>
      </c>
      <c r="J38" s="43"/>
      <c r="K38" s="43">
        <v>6295560.91312961</v>
      </c>
      <c r="L38" s="43">
        <v>176293.79208756101</v>
      </c>
      <c r="M38" s="43">
        <v>7453979.5891050501</v>
      </c>
      <c r="N38" s="43">
        <v>516884897.74227703</v>
      </c>
      <c r="P38" s="21">
        <f t="shared" si="0"/>
        <v>644.37310584783972</v>
      </c>
      <c r="Q38" s="162">
        <f t="shared" si="1"/>
        <v>68.140118751584225</v>
      </c>
      <c r="R38" s="21">
        <f t="shared" si="2"/>
        <v>3.6855914755742827</v>
      </c>
      <c r="S38" s="126">
        <f t="shared" si="3"/>
        <v>0.15292090864907223</v>
      </c>
      <c r="T38" s="93">
        <f t="shared" si="4"/>
        <v>24.968351416643848</v>
      </c>
      <c r="U38" s="125">
        <v>0.19810900000000001</v>
      </c>
      <c r="W38" s="157">
        <f t="shared" si="5"/>
        <v>21.56956738814165</v>
      </c>
      <c r="X38" s="164">
        <f t="shared" si="9"/>
        <v>17.858157111308909</v>
      </c>
      <c r="Y38" s="165">
        <f t="shared" si="6"/>
        <v>6.5402996761591217</v>
      </c>
      <c r="Z38" s="126">
        <f t="shared" si="7"/>
        <v>0.77232158600327572</v>
      </c>
      <c r="AA38" s="93">
        <f t="shared" si="8"/>
        <v>7.9032328693439684</v>
      </c>
      <c r="AB38" s="125">
        <v>8.0322699999999993E-3</v>
      </c>
      <c r="AC38" s="14" t="s">
        <v>119</v>
      </c>
      <c r="AE38">
        <v>16.104187872380407</v>
      </c>
      <c r="AF38">
        <v>145.77744069125291</v>
      </c>
      <c r="AG38">
        <v>62.980272693056023</v>
      </c>
      <c r="AH38">
        <v>5.4583085790109127</v>
      </c>
      <c r="AI38" s="65">
        <v>1.11328E-2</v>
      </c>
      <c r="AJ38" t="s">
        <v>360</v>
      </c>
      <c r="AL38">
        <v>58.302024710576532</v>
      </c>
      <c r="AM38">
        <v>398.59204360483113</v>
      </c>
      <c r="AN38">
        <v>82.291175295587593</v>
      </c>
      <c r="AO38">
        <v>13.296499228851502</v>
      </c>
      <c r="AP38" s="19">
        <v>7.3102299999999995E-2</v>
      </c>
      <c r="AQ38" t="s">
        <v>360</v>
      </c>
    </row>
    <row r="39" spans="5:43" x14ac:dyDescent="0.2">
      <c r="E39" t="s">
        <v>662</v>
      </c>
      <c r="F39" s="43">
        <v>4933499.3066661302</v>
      </c>
      <c r="G39" s="43">
        <v>657463.56809272605</v>
      </c>
      <c r="H39" s="43">
        <v>4091102.5085602999</v>
      </c>
      <c r="I39" s="43">
        <v>458067848.83726299</v>
      </c>
      <c r="J39" s="43"/>
      <c r="K39" s="43">
        <v>5079013.7346961396</v>
      </c>
      <c r="L39" s="43">
        <v>154422.176181866</v>
      </c>
      <c r="M39" s="43">
        <v>9611802.1416217107</v>
      </c>
      <c r="N39" s="43">
        <v>488582804.82343298</v>
      </c>
      <c r="P39" s="21">
        <f t="shared" si="0"/>
        <v>613.76019971121002</v>
      </c>
      <c r="Q39" s="162">
        <f t="shared" si="1"/>
        <v>64.191124269333343</v>
      </c>
      <c r="R39" s="21">
        <f t="shared" si="2"/>
        <v>3.4629775240231795</v>
      </c>
      <c r="S39" s="126">
        <f t="shared" si="3"/>
        <v>0.15090451755878312</v>
      </c>
      <c r="T39" s="93">
        <f t="shared" si="4"/>
        <v>23.951853669988385</v>
      </c>
      <c r="U39" s="125">
        <v>0.173736</v>
      </c>
      <c r="W39" s="157">
        <f t="shared" si="5"/>
        <v>66.4652840366319</v>
      </c>
      <c r="X39" s="164">
        <f t="shared" si="9"/>
        <v>43.011335517482024</v>
      </c>
      <c r="Y39" s="165">
        <f t="shared" si="6"/>
        <v>8.1360598303627754</v>
      </c>
      <c r="Z39" s="126">
        <f t="shared" si="7"/>
        <v>0.8005681553350017</v>
      </c>
      <c r="AA39" s="93">
        <f t="shared" si="8"/>
        <v>14.463314392871755</v>
      </c>
      <c r="AB39" s="125">
        <v>9.1560900000000001E-2</v>
      </c>
      <c r="AC39" s="14" t="s">
        <v>360</v>
      </c>
      <c r="AE39">
        <v>39.939231358852794</v>
      </c>
      <c r="AF39">
        <v>283.70693062892701</v>
      </c>
      <c r="AG39">
        <v>75.149374209911954</v>
      </c>
      <c r="AH39">
        <v>10.309161967253706</v>
      </c>
      <c r="AI39" s="65">
        <v>4.5854899999999997E-2</v>
      </c>
      <c r="AJ39" t="s">
        <v>360</v>
      </c>
      <c r="AL39">
        <v>54.82562296086089</v>
      </c>
      <c r="AM39">
        <v>376.85000446267156</v>
      </c>
      <c r="AN39">
        <v>81.198134166699475</v>
      </c>
      <c r="AO39">
        <v>12.758990868596625</v>
      </c>
      <c r="AP39" s="19">
        <v>6.5026899999999999E-2</v>
      </c>
      <c r="AQ39" t="s">
        <v>360</v>
      </c>
    </row>
    <row r="40" spans="5:43" x14ac:dyDescent="0.2">
      <c r="E40" t="s">
        <v>663</v>
      </c>
      <c r="F40" s="43">
        <v>4898122.0936001102</v>
      </c>
      <c r="G40" s="43">
        <v>656166.24775282096</v>
      </c>
      <c r="H40" s="43">
        <v>4153852.0258435798</v>
      </c>
      <c r="I40" s="43">
        <v>455190503.34419501</v>
      </c>
      <c r="J40" s="43"/>
      <c r="K40" s="43">
        <v>5036097.27586246</v>
      </c>
      <c r="L40" s="43">
        <v>154644.388079725</v>
      </c>
      <c r="M40" s="43">
        <v>9687924.2225299999</v>
      </c>
      <c r="N40" s="43">
        <v>486154114.85070997</v>
      </c>
      <c r="P40" s="21">
        <f t="shared" si="0"/>
        <v>631.37511907077476</v>
      </c>
      <c r="Q40" s="162">
        <f t="shared" si="1"/>
        <v>68.174843205036851</v>
      </c>
      <c r="R40" s="21">
        <f t="shared" si="2"/>
        <v>3.5173537003230781</v>
      </c>
      <c r="S40" s="126">
        <f t="shared" si="3"/>
        <v>0.15257996984747507</v>
      </c>
      <c r="T40" s="93">
        <f t="shared" si="4"/>
        <v>24.62191854059941</v>
      </c>
      <c r="U40" s="125">
        <v>0.19036500000000001</v>
      </c>
      <c r="W40" s="157">
        <f t="shared" si="5"/>
        <v>70.408470871054689</v>
      </c>
      <c r="X40" s="164">
        <f t="shared" si="9"/>
        <v>45.147756900243778</v>
      </c>
      <c r="Y40" s="165">
        <f t="shared" si="6"/>
        <v>8.2034352452998665</v>
      </c>
      <c r="Z40" s="126">
        <f t="shared" si="7"/>
        <v>0.80028117499453333</v>
      </c>
      <c r="AA40" s="93">
        <f t="shared" si="8"/>
        <v>15.088570614350079</v>
      </c>
      <c r="AB40" s="125">
        <v>9.9579899999999999E-2</v>
      </c>
      <c r="AC40" s="14" t="s">
        <v>360</v>
      </c>
      <c r="AE40">
        <v>41.315935433575092</v>
      </c>
      <c r="AF40">
        <v>293.97982569082086</v>
      </c>
      <c r="AG40">
        <v>75.135824359009234</v>
      </c>
      <c r="AH40">
        <v>11.078350342918938</v>
      </c>
      <c r="AI40" s="65">
        <v>4.9865699999999999E-2</v>
      </c>
      <c r="AJ40" t="s">
        <v>360</v>
      </c>
      <c r="AL40">
        <v>51.823352138174513</v>
      </c>
      <c r="AM40">
        <v>360.4261695528931</v>
      </c>
      <c r="AN40">
        <v>81.028290799858667</v>
      </c>
      <c r="AO40">
        <v>12.10757526092477</v>
      </c>
      <c r="AP40" s="19">
        <v>5.6523799999999999E-2</v>
      </c>
      <c r="AQ40" t="s">
        <v>360</v>
      </c>
    </row>
    <row r="41" spans="5:43" x14ac:dyDescent="0.2">
      <c r="E41" t="s">
        <v>664</v>
      </c>
      <c r="F41" s="43">
        <v>5042129.7254416002</v>
      </c>
      <c r="G41" s="43">
        <v>657881.60299464304</v>
      </c>
      <c r="H41" s="43">
        <v>3898421.8039575499</v>
      </c>
      <c r="I41" s="43">
        <v>463044994.19108897</v>
      </c>
      <c r="J41" s="43"/>
      <c r="K41" s="43">
        <v>5426422.9408355299</v>
      </c>
      <c r="L41" s="43">
        <v>168225.14885318701</v>
      </c>
      <c r="M41" s="43">
        <v>8995593.0596814696</v>
      </c>
      <c r="N41" s="43">
        <v>498494888.77309299</v>
      </c>
      <c r="P41" s="21">
        <f t="shared" si="0"/>
        <v>573.21552987617099</v>
      </c>
      <c r="Q41" s="162">
        <f t="shared" si="1"/>
        <v>59.803711906523112</v>
      </c>
      <c r="R41" s="21">
        <f t="shared" si="2"/>
        <v>3.37503131690233</v>
      </c>
      <c r="S41" s="126">
        <f t="shared" si="3"/>
        <v>0.1503646373829885</v>
      </c>
      <c r="T41" s="93">
        <f t="shared" si="4"/>
        <v>23.128700037958076</v>
      </c>
      <c r="U41" s="125">
        <v>0.15831700000000001</v>
      </c>
      <c r="W41" s="157">
        <f t="shared" si="5"/>
        <v>51.624692567852705</v>
      </c>
      <c r="X41" s="164">
        <f t="shared" si="9"/>
        <v>34.876078758248632</v>
      </c>
      <c r="Y41" s="165">
        <f t="shared" si="6"/>
        <v>7.7878715586172129</v>
      </c>
      <c r="Z41" s="126">
        <f t="shared" si="7"/>
        <v>0.78274200905365321</v>
      </c>
      <c r="AA41" s="93">
        <f t="shared" si="8"/>
        <v>12.509333309079418</v>
      </c>
      <c r="AB41" s="125">
        <v>6.7992999999999998E-2</v>
      </c>
      <c r="AC41" s="14" t="s">
        <v>360</v>
      </c>
      <c r="AE41">
        <v>11.219568563731116</v>
      </c>
      <c r="AF41">
        <v>114.97097266508048</v>
      </c>
      <c r="AG41">
        <v>58.129464826461479</v>
      </c>
      <c r="AH41">
        <v>4.0280288713290231</v>
      </c>
      <c r="AI41" s="65">
        <v>4.6384299999999998E-3</v>
      </c>
      <c r="AJ41" t="s">
        <v>360</v>
      </c>
      <c r="AL41">
        <v>79.42585212860152</v>
      </c>
      <c r="AM41">
        <v>523.79138779475466</v>
      </c>
      <c r="AN41">
        <v>87.12426809982955</v>
      </c>
      <c r="AO41">
        <v>16.469859679633053</v>
      </c>
      <c r="AP41" s="19">
        <v>0.12083000000000001</v>
      </c>
      <c r="AQ41" t="s">
        <v>360</v>
      </c>
    </row>
    <row r="42" spans="5:43" x14ac:dyDescent="0.2">
      <c r="E42" t="s">
        <v>665</v>
      </c>
      <c r="F42" s="43">
        <v>4912743.3399521103</v>
      </c>
      <c r="G42" s="43">
        <v>656378.572784908</v>
      </c>
      <c r="H42" s="43">
        <v>4127917.92671159</v>
      </c>
      <c r="I42" s="43">
        <v>456238938.38066101</v>
      </c>
      <c r="J42" s="43"/>
      <c r="K42" s="43">
        <v>5129959.9925309001</v>
      </c>
      <c r="L42" s="43">
        <v>154543.224987756</v>
      </c>
      <c r="M42" s="43">
        <v>9521437.3895833008</v>
      </c>
      <c r="N42" s="43">
        <v>490777205.87386203</v>
      </c>
      <c r="P42" s="21">
        <f t="shared" si="0"/>
        <v>623.62167919981721</v>
      </c>
      <c r="Q42" s="162">
        <f t="shared" si="1"/>
        <v>78.408274389140317</v>
      </c>
      <c r="R42" s="21">
        <f t="shared" si="2"/>
        <v>3.4948229610646999</v>
      </c>
      <c r="S42" s="126">
        <f t="shared" si="3"/>
        <v>0.1523057581127058</v>
      </c>
      <c r="T42" s="93">
        <f t="shared" si="4"/>
        <v>24.393577594550976</v>
      </c>
      <c r="U42" s="125">
        <v>0.18489</v>
      </c>
      <c r="W42" s="157">
        <f t="shared" si="5"/>
        <v>62.937580154880045</v>
      </c>
      <c r="X42" s="164">
        <f t="shared" si="9"/>
        <v>41.085382825657398</v>
      </c>
      <c r="Y42" s="165">
        <f t="shared" si="6"/>
        <v>8.0611433178285132</v>
      </c>
      <c r="Z42" s="126">
        <f t="shared" si="7"/>
        <v>0.80041182424804236</v>
      </c>
      <c r="AA42" s="93">
        <f t="shared" si="8"/>
        <v>13.942335549850938</v>
      </c>
      <c r="AB42" s="125">
        <v>8.3761799999999997E-2</v>
      </c>
      <c r="AC42" s="14" t="s">
        <v>360</v>
      </c>
      <c r="AE42">
        <v>49.971556061732819</v>
      </c>
      <c r="AF42">
        <v>352.45596088072097</v>
      </c>
      <c r="AG42">
        <v>82.144634854124803</v>
      </c>
      <c r="AH42">
        <v>11.402815871465991</v>
      </c>
      <c r="AI42" s="65">
        <v>4.3973100000000001E-2</v>
      </c>
      <c r="AJ42" t="s">
        <v>360</v>
      </c>
      <c r="AL42">
        <v>59.342647273989449</v>
      </c>
      <c r="AM42">
        <v>380.68453296438679</v>
      </c>
      <c r="AN42">
        <v>76.397428971062368</v>
      </c>
      <c r="AO42">
        <v>13.206985069544894</v>
      </c>
      <c r="AP42" s="19">
        <v>5.7788100000000002E-2</v>
      </c>
      <c r="AQ42" t="s">
        <v>359</v>
      </c>
    </row>
    <row r="43" spans="5:43" x14ac:dyDescent="0.2">
      <c r="E43" t="s">
        <v>666</v>
      </c>
      <c r="F43" s="43">
        <v>4888344.9393756799</v>
      </c>
      <c r="G43" s="43">
        <v>655971.71679656603</v>
      </c>
      <c r="H43" s="43">
        <v>4171194.0280765598</v>
      </c>
      <c r="I43" s="43">
        <v>454678725.19601399</v>
      </c>
      <c r="J43" s="43"/>
      <c r="K43" s="43">
        <v>6142486.9799781302</v>
      </c>
      <c r="L43" s="43">
        <v>254517.950620091</v>
      </c>
      <c r="M43" s="43">
        <v>4700618.7742704498</v>
      </c>
      <c r="N43" s="43">
        <v>517258098.33854198</v>
      </c>
      <c r="P43" s="21">
        <f t="shared" si="0"/>
        <v>634.66192034158507</v>
      </c>
      <c r="Q43" s="162">
        <f t="shared" si="1"/>
        <v>67.518174457362974</v>
      </c>
      <c r="R43" s="21">
        <f t="shared" si="2"/>
        <v>4.2106884211893174</v>
      </c>
      <c r="S43" s="126">
        <f t="shared" si="3"/>
        <v>0.15283120103984393</v>
      </c>
      <c r="T43" s="93">
        <f t="shared" si="4"/>
        <v>24.711098071204376</v>
      </c>
      <c r="U43" s="125">
        <v>0.192245</v>
      </c>
      <c r="W43" s="157">
        <f t="shared" si="5"/>
        <v>24.097615554680885</v>
      </c>
      <c r="X43" s="164">
        <f t="shared" si="9"/>
        <v>17.389486060299895</v>
      </c>
      <c r="Y43" s="165">
        <f t="shared" si="6"/>
        <v>4.7451259548270572</v>
      </c>
      <c r="Z43" s="126">
        <f t="shared" si="7"/>
        <v>0.67129731203412224</v>
      </c>
      <c r="AA43" s="93">
        <f t="shared" si="8"/>
        <v>7.016502028098218</v>
      </c>
      <c r="AB43" s="125">
        <v>8.7500400000000006E-3</v>
      </c>
      <c r="AC43" s="14" t="s">
        <v>120</v>
      </c>
      <c r="AE43">
        <v>23.760777236364028</v>
      </c>
      <c r="AF43">
        <v>195.0294750028431</v>
      </c>
      <c r="AG43">
        <v>70.683180727363847</v>
      </c>
      <c r="AH43">
        <v>7.1226384151843449</v>
      </c>
      <c r="AI43" s="65">
        <v>1.12269E-2</v>
      </c>
      <c r="AJ43" t="s">
        <v>360</v>
      </c>
    </row>
    <row r="44" spans="5:43" x14ac:dyDescent="0.2">
      <c r="E44" t="s">
        <v>667</v>
      </c>
      <c r="F44" s="43">
        <v>4833177.4518135097</v>
      </c>
      <c r="G44" s="43">
        <v>654464.50415990199</v>
      </c>
      <c r="H44" s="43">
        <v>4269046.0891701803</v>
      </c>
      <c r="I44" s="43">
        <v>450597891.43707103</v>
      </c>
      <c r="J44" s="43"/>
      <c r="K44" s="43">
        <v>5184443.98622334</v>
      </c>
      <c r="L44" s="43">
        <v>158218.44821097</v>
      </c>
      <c r="M44" s="43">
        <v>9424797.6600069199</v>
      </c>
      <c r="N44" s="43">
        <v>492568596.25651097</v>
      </c>
      <c r="P44" s="21">
        <f t="shared" si="0"/>
        <v>660.73089861823905</v>
      </c>
      <c r="Q44" s="162">
        <f t="shared" si="1"/>
        <v>69.672810802388611</v>
      </c>
      <c r="R44" s="21">
        <f t="shared" si="2"/>
        <v>3.6358671379384027</v>
      </c>
      <c r="S44" s="126">
        <f t="shared" si="3"/>
        <v>0.15477772325488059</v>
      </c>
      <c r="T44" s="93">
        <f t="shared" si="4"/>
        <v>25.589297598913184</v>
      </c>
      <c r="U44" s="125">
        <v>0.211982</v>
      </c>
      <c r="W44" s="157">
        <f t="shared" si="5"/>
        <v>60.405360074005401</v>
      </c>
      <c r="X44" s="164">
        <f t="shared" si="9"/>
        <v>39.722472614387492</v>
      </c>
      <c r="Y44" s="165">
        <f t="shared" si="6"/>
        <v>8.0269248394080499</v>
      </c>
      <c r="Z44" s="126">
        <f t="shared" si="7"/>
        <v>0.7956653780763604</v>
      </c>
      <c r="AA44" s="93">
        <f t="shared" si="8"/>
        <v>13.5662254108433</v>
      </c>
      <c r="AB44" s="125">
        <v>8.1532800000000002E-2</v>
      </c>
      <c r="AC44" s="14" t="s">
        <v>360</v>
      </c>
      <c r="AE44">
        <v>35.881349965819908</v>
      </c>
      <c r="AF44">
        <v>260.76163336421359</v>
      </c>
      <c r="AG44">
        <v>73.891069121011952</v>
      </c>
      <c r="AH44">
        <v>9.4233574627908343</v>
      </c>
      <c r="AI44" s="65">
        <v>4.1005E-2</v>
      </c>
      <c r="AJ44" t="s">
        <v>360</v>
      </c>
    </row>
    <row r="45" spans="5:43" x14ac:dyDescent="0.2">
      <c r="E45" t="s">
        <v>668</v>
      </c>
      <c r="F45" s="43">
        <v>4860616.1725039501</v>
      </c>
      <c r="G45" s="43">
        <v>655515.34169535304</v>
      </c>
      <c r="H45" s="43">
        <v>4220377.2899919301</v>
      </c>
      <c r="I45" s="43">
        <v>452701273.164303</v>
      </c>
      <c r="J45" s="43"/>
      <c r="K45" s="43">
        <v>4711073.2461030101</v>
      </c>
      <c r="L45" s="43">
        <v>145800.96093699001</v>
      </c>
      <c r="M45" s="43">
        <v>10264428.113178801</v>
      </c>
      <c r="N45" s="43">
        <v>472494724.642735</v>
      </c>
      <c r="P45" s="21">
        <f t="shared" si="0"/>
        <v>648.86963565627741</v>
      </c>
      <c r="Q45" s="162">
        <f t="shared" si="1"/>
        <v>75.313405389113399</v>
      </c>
      <c r="R45" s="21">
        <f t="shared" si="2"/>
        <v>3.5234017975029777</v>
      </c>
      <c r="S45" s="126">
        <f t="shared" si="3"/>
        <v>0.15342059649161435</v>
      </c>
      <c r="T45" s="93">
        <f t="shared" si="4"/>
        <v>25.132428294366566</v>
      </c>
      <c r="U45" s="125">
        <v>0.202293</v>
      </c>
      <c r="W45" s="157">
        <f t="shared" si="5"/>
        <v>91.150777413234749</v>
      </c>
      <c r="X45" s="164">
        <f t="shared" si="9"/>
        <v>56.397409617472867</v>
      </c>
      <c r="Y45" s="165">
        <f t="shared" si="6"/>
        <v>8.5693060073269987</v>
      </c>
      <c r="Z45" s="126">
        <f t="shared" si="7"/>
        <v>0.8117022094070977</v>
      </c>
      <c r="AA45" s="93">
        <f t="shared" si="8"/>
        <v>17.810464149887121</v>
      </c>
      <c r="AB45" s="125">
        <v>0.150726</v>
      </c>
      <c r="AC45" s="14" t="s">
        <v>360</v>
      </c>
      <c r="AL45" t="s">
        <v>726</v>
      </c>
      <c r="AM45" t="s">
        <v>730</v>
      </c>
      <c r="AN45" t="s">
        <v>730</v>
      </c>
      <c r="AO45" t="s">
        <v>728</v>
      </c>
      <c r="AP45" t="s">
        <v>734</v>
      </c>
      <c r="AQ45" t="s">
        <v>733</v>
      </c>
    </row>
    <row r="46" spans="5:43" x14ac:dyDescent="0.2">
      <c r="E46" t="s">
        <v>669</v>
      </c>
      <c r="F46" s="43">
        <v>4929762.0795680499</v>
      </c>
      <c r="G46" s="43">
        <v>657349.44838414597</v>
      </c>
      <c r="H46" s="43">
        <v>4097731.3290935899</v>
      </c>
      <c r="I46" s="43">
        <v>457610858.72334498</v>
      </c>
      <c r="J46" s="43"/>
      <c r="K46" s="43">
        <v>5799169.5011697402</v>
      </c>
      <c r="L46" s="43">
        <v>207866.65827744201</v>
      </c>
      <c r="M46" s="43">
        <v>7158600.4604211999</v>
      </c>
      <c r="N46" s="43">
        <v>507685456.95267701</v>
      </c>
      <c r="P46" s="21">
        <f t="shared" si="0"/>
        <v>617.06854803254043</v>
      </c>
      <c r="Q46" s="162">
        <f t="shared" si="1"/>
        <v>67.203975191035852</v>
      </c>
      <c r="R46" s="21">
        <f t="shared" si="2"/>
        <v>3.7958530084740545</v>
      </c>
      <c r="S46" s="126">
        <f t="shared" si="3"/>
        <v>0.15105189991381454</v>
      </c>
      <c r="T46" s="93">
        <f t="shared" si="4"/>
        <v>24.074431225581531</v>
      </c>
      <c r="U46" s="125">
        <v>0.17930099999999999</v>
      </c>
      <c r="W46" s="157">
        <f t="shared" si="5"/>
        <v>39.012520607658999</v>
      </c>
      <c r="X46" s="164">
        <f t="shared" si="9"/>
        <v>27.101651048877706</v>
      </c>
      <c r="Y46" s="165">
        <f t="shared" si="6"/>
        <v>6.6312290660022786</v>
      </c>
      <c r="Z46" s="126">
        <f t="shared" si="7"/>
        <v>0.73154612809110742</v>
      </c>
      <c r="AA46" s="93">
        <f t="shared" si="8"/>
        <v>10.382131199531475</v>
      </c>
      <c r="AB46" s="125">
        <v>2.5301299999999999E-2</v>
      </c>
      <c r="AC46" s="14" t="s">
        <v>359</v>
      </c>
      <c r="AL46">
        <v>5.7582919845176379</v>
      </c>
      <c r="AM46">
        <v>51.208298642889801</v>
      </c>
      <c r="AN46">
        <v>25.837841491042568</v>
      </c>
      <c r="AO46">
        <v>2.3793689791931985</v>
      </c>
      <c r="AP46">
        <v>1.9093199999999999E-3</v>
      </c>
      <c r="AQ46" t="s">
        <v>120</v>
      </c>
    </row>
    <row r="47" spans="5:43" x14ac:dyDescent="0.2">
      <c r="E47" t="s">
        <v>670</v>
      </c>
      <c r="F47" s="43">
        <v>5093061.3007050902</v>
      </c>
      <c r="G47" s="43">
        <v>658279.46118350304</v>
      </c>
      <c r="H47" s="43">
        <v>3808083.0947919399</v>
      </c>
      <c r="I47" s="43">
        <v>465014693.33336103</v>
      </c>
      <c r="J47" s="43"/>
      <c r="K47" s="43">
        <v>5885274.7299008202</v>
      </c>
      <c r="L47" s="43">
        <v>178805.075969328</v>
      </c>
      <c r="M47" s="43">
        <v>8157732.9947432699</v>
      </c>
      <c r="N47" s="43">
        <v>510940463.91141498</v>
      </c>
      <c r="P47" s="21">
        <f t="shared" si="0"/>
        <v>558.20540582260719</v>
      </c>
      <c r="Q47" s="162">
        <f t="shared" si="1"/>
        <v>58.698030863010281</v>
      </c>
      <c r="R47" s="21">
        <f t="shared" si="2"/>
        <v>3.35539352082644</v>
      </c>
      <c r="S47" s="126">
        <f t="shared" si="3"/>
        <v>0.1498508148577446</v>
      </c>
      <c r="T47" s="93">
        <f t="shared" si="4"/>
        <v>22.849396172545191</v>
      </c>
      <c r="U47" s="125">
        <v>0.14909600000000001</v>
      </c>
      <c r="W47" s="157">
        <f t="shared" si="5"/>
        <v>31.642692925024281</v>
      </c>
      <c r="X47" s="164">
        <f t="shared" si="9"/>
        <v>23.791343607730251</v>
      </c>
      <c r="Y47" s="165">
        <f t="shared" si="6"/>
        <v>7.1879745672117918</v>
      </c>
      <c r="Z47" s="126">
        <f t="shared" si="7"/>
        <v>0.76907833435768036</v>
      </c>
      <c r="AA47" s="93">
        <f t="shared" si="8"/>
        <v>9.2261122358512608</v>
      </c>
      <c r="AB47" s="125">
        <v>3.08469E-2</v>
      </c>
      <c r="AC47" s="14" t="s">
        <v>360</v>
      </c>
      <c r="AE47" t="s">
        <v>726</v>
      </c>
      <c r="AF47" t="s">
        <v>730</v>
      </c>
      <c r="AG47" t="s">
        <v>730</v>
      </c>
      <c r="AH47" t="s">
        <v>728</v>
      </c>
      <c r="AI47" t="s">
        <v>734</v>
      </c>
      <c r="AJ47" t="s">
        <v>733</v>
      </c>
      <c r="AL47">
        <v>69.905987262480807</v>
      </c>
      <c r="AM47">
        <v>410.04842498469708</v>
      </c>
      <c r="AN47">
        <v>68.85988127212903</v>
      </c>
      <c r="AO47">
        <v>14.035697599063329</v>
      </c>
      <c r="AP47">
        <v>7.9566600000000001E-2</v>
      </c>
      <c r="AQ47" t="s">
        <v>120</v>
      </c>
    </row>
    <row r="48" spans="5:43" x14ac:dyDescent="0.2">
      <c r="E48" t="s">
        <v>671</v>
      </c>
      <c r="F48" s="43">
        <v>4847243.2439443404</v>
      </c>
      <c r="G48" s="43">
        <v>654923.46324861702</v>
      </c>
      <c r="H48" s="43">
        <v>4244097.2141762804</v>
      </c>
      <c r="I48" s="43">
        <v>451691455.48263502</v>
      </c>
      <c r="J48" s="43"/>
      <c r="K48" s="43">
        <v>5191088.7657607701</v>
      </c>
      <c r="L48" s="43">
        <v>161283.92942026799</v>
      </c>
      <c r="M48" s="43">
        <v>9413011.6352669392</v>
      </c>
      <c r="N48" s="43">
        <v>491393421.704265</v>
      </c>
      <c r="P48" s="21">
        <f t="shared" si="0"/>
        <v>654.11112267061651</v>
      </c>
      <c r="Q48" s="162">
        <f t="shared" si="1"/>
        <v>75.038197167774086</v>
      </c>
      <c r="R48" s="21">
        <f t="shared" si="2"/>
        <v>3.632693791768951</v>
      </c>
      <c r="S48" s="126">
        <f t="shared" si="3"/>
        <v>0.15418499065680863</v>
      </c>
      <c r="T48" s="93">
        <f t="shared" si="4"/>
        <v>25.351139175090921</v>
      </c>
      <c r="U48" s="125">
        <v>0.207373</v>
      </c>
      <c r="W48" s="157">
        <f t="shared" si="5"/>
        <v>62.624425380648979</v>
      </c>
      <c r="X48" s="164">
        <f t="shared" si="9"/>
        <v>40.916898653460535</v>
      </c>
      <c r="Y48" s="165">
        <f t="shared" si="6"/>
        <v>8.05697588996434</v>
      </c>
      <c r="Z48" s="126">
        <f t="shared" si="7"/>
        <v>0.79170639635837081</v>
      </c>
      <c r="AA48" s="93">
        <f t="shared" si="8"/>
        <v>14.028597113216172</v>
      </c>
      <c r="AB48" s="125">
        <v>8.9598499999999998E-2</v>
      </c>
      <c r="AC48" s="14" t="s">
        <v>360</v>
      </c>
      <c r="AE48">
        <v>3.838760448407879</v>
      </c>
      <c r="AF48">
        <v>68.326496251504963</v>
      </c>
      <c r="AG48">
        <v>49.230264511153031</v>
      </c>
      <c r="AH48">
        <v>1.7136867348865805</v>
      </c>
      <c r="AI48" s="65">
        <v>3.5520399999999998E-3</v>
      </c>
      <c r="AJ48" t="s">
        <v>360</v>
      </c>
      <c r="AL48">
        <v>8.2829753423990589</v>
      </c>
      <c r="AM48">
        <v>66.074386649292265</v>
      </c>
      <c r="AN48">
        <v>29.221698097480299</v>
      </c>
      <c r="AO48">
        <v>3.176223686844581</v>
      </c>
      <c r="AP48">
        <v>2.1296399999999999E-3</v>
      </c>
      <c r="AQ48" t="s">
        <v>120</v>
      </c>
    </row>
    <row r="49" spans="5:43" x14ac:dyDescent="0.2">
      <c r="E49" t="s">
        <v>672</v>
      </c>
      <c r="F49" s="43">
        <v>4940596.49799891</v>
      </c>
      <c r="G49" s="43">
        <v>657214.23035037401</v>
      </c>
      <c r="H49" s="43">
        <v>4078514.0288129598</v>
      </c>
      <c r="I49" s="43">
        <v>458185629.22818899</v>
      </c>
      <c r="J49" s="43"/>
      <c r="K49" s="43">
        <v>5518127.8736587204</v>
      </c>
      <c r="L49" s="43">
        <v>198562.03940420301</v>
      </c>
      <c r="M49" s="43">
        <v>8025881.3910539197</v>
      </c>
      <c r="N49" s="43">
        <v>505253951.30825901</v>
      </c>
      <c r="P49" s="21">
        <f t="shared" si="0"/>
        <v>611.44745381125438</v>
      </c>
      <c r="Q49" s="162">
        <f t="shared" si="1"/>
        <v>65.178426438596418</v>
      </c>
      <c r="R49" s="21">
        <f t="shared" si="2"/>
        <v>3.7169946939176661</v>
      </c>
      <c r="S49" s="126">
        <f t="shared" si="3"/>
        <v>0.15122653015523371</v>
      </c>
      <c r="T49" s="93">
        <f t="shared" si="4"/>
        <v>23.969332464596516</v>
      </c>
      <c r="U49" s="125">
        <v>0.175621</v>
      </c>
      <c r="W49" s="157">
        <f t="shared" si="5"/>
        <v>42.605250877135177</v>
      </c>
      <c r="X49" s="164">
        <f t="shared" si="9"/>
        <v>29.670045985592342</v>
      </c>
      <c r="Y49" s="165">
        <f t="shared" si="6"/>
        <v>7.3144675570093645</v>
      </c>
      <c r="Z49" s="126">
        <f t="shared" si="7"/>
        <v>0.74356277849505847</v>
      </c>
      <c r="AA49" s="93">
        <f t="shared" si="8"/>
        <v>10.180306634522259</v>
      </c>
      <c r="AB49" s="125">
        <v>1.6636100000000001E-2</v>
      </c>
      <c r="AC49" s="14" t="s">
        <v>359</v>
      </c>
      <c r="AE49">
        <v>103.47640406996054</v>
      </c>
      <c r="AF49">
        <v>668.79850260879857</v>
      </c>
      <c r="AG49">
        <v>92.547853900144233</v>
      </c>
      <c r="AH49">
        <v>19.487125215977301</v>
      </c>
      <c r="AI49" s="65">
        <v>0.18723600000000001</v>
      </c>
      <c r="AJ49" t="s">
        <v>360</v>
      </c>
      <c r="AL49">
        <v>19.778454633263195</v>
      </c>
      <c r="AM49">
        <v>129.12385647992537</v>
      </c>
      <c r="AN49">
        <v>38.855818233715745</v>
      </c>
      <c r="AO49">
        <v>6.2382470588211172</v>
      </c>
      <c r="AP49">
        <v>3.8551599999999998E-3</v>
      </c>
      <c r="AQ49" t="s">
        <v>120</v>
      </c>
    </row>
    <row r="50" spans="5:43" x14ac:dyDescent="0.2">
      <c r="E50" t="s">
        <v>673</v>
      </c>
      <c r="F50" s="43">
        <v>4998870.9431176698</v>
      </c>
      <c r="G50" s="43">
        <v>658225.45664022502</v>
      </c>
      <c r="H50" s="43">
        <v>3975151.0732763</v>
      </c>
      <c r="I50" s="43">
        <v>461639695.40911102</v>
      </c>
      <c r="J50" s="43"/>
      <c r="K50" s="43">
        <v>5979487.8594327997</v>
      </c>
      <c r="L50" s="43">
        <v>165080.41960177699</v>
      </c>
      <c r="M50" s="43">
        <v>8014606.8920165896</v>
      </c>
      <c r="N50" s="43">
        <v>507654722.32469398</v>
      </c>
      <c r="P50" s="21">
        <f t="shared" si="0"/>
        <v>587.0192090703365</v>
      </c>
      <c r="Q50" s="162">
        <f t="shared" si="1"/>
        <v>63.118456795258517</v>
      </c>
      <c r="R50" s="21">
        <f t="shared" si="2"/>
        <v>3.4236949895830544</v>
      </c>
      <c r="S50" s="126">
        <f t="shared" si="3"/>
        <v>0.14992056018806257</v>
      </c>
      <c r="T50" s="93">
        <f t="shared" si="4"/>
        <v>23.266906502001582</v>
      </c>
      <c r="U50" s="125">
        <v>0.16001499999999999</v>
      </c>
      <c r="W50" s="157">
        <f t="shared" si="5"/>
        <v>36.323119053553761</v>
      </c>
      <c r="X50" s="164">
        <f t="shared" si="9"/>
        <v>25.962028901545537</v>
      </c>
      <c r="Y50" s="165">
        <f t="shared" si="6"/>
        <v>6.9027739962243633</v>
      </c>
      <c r="Z50" s="126">
        <f t="shared" si="7"/>
        <v>0.7868033373621085</v>
      </c>
      <c r="AA50" s="93">
        <f t="shared" si="8"/>
        <v>11.358847119963945</v>
      </c>
      <c r="AB50" s="125">
        <v>3.12302E-2</v>
      </c>
      <c r="AC50" s="14" t="s">
        <v>119</v>
      </c>
      <c r="AE50">
        <v>102.74488407316636</v>
      </c>
      <c r="AF50">
        <v>661.87862222771082</v>
      </c>
      <c r="AG50">
        <v>91.950429491791567</v>
      </c>
      <c r="AH50">
        <v>19.495374923880302</v>
      </c>
      <c r="AI50" s="65">
        <v>0.191163</v>
      </c>
      <c r="AJ50" t="s">
        <v>360</v>
      </c>
      <c r="AL50">
        <v>7.3719748997516303</v>
      </c>
      <c r="AM50">
        <v>60.011586543446803</v>
      </c>
      <c r="AN50">
        <v>27.40890014265532</v>
      </c>
      <c r="AO50">
        <v>2.9169204398024924</v>
      </c>
      <c r="AP50">
        <v>1.73156E-3</v>
      </c>
      <c r="AQ50" t="s">
        <v>120</v>
      </c>
    </row>
    <row r="51" spans="5:43" x14ac:dyDescent="0.2">
      <c r="E51" t="s">
        <v>674</v>
      </c>
      <c r="F51" s="43">
        <v>5056835.2587569999</v>
      </c>
      <c r="G51" s="43">
        <v>658157.57918466197</v>
      </c>
      <c r="H51" s="43">
        <v>3872338.2027645302</v>
      </c>
      <c r="I51" s="43">
        <v>463773701.09553301</v>
      </c>
      <c r="J51" s="43"/>
      <c r="K51" s="43">
        <v>5720347.7808685498</v>
      </c>
      <c r="L51" s="43">
        <v>174770.73763474799</v>
      </c>
      <c r="M51" s="43">
        <v>8474250.6408984903</v>
      </c>
      <c r="N51" s="43">
        <v>508571716.39526701</v>
      </c>
      <c r="P51" s="21">
        <f t="shared" si="0"/>
        <v>568.3037898729857</v>
      </c>
      <c r="Q51" s="162">
        <f t="shared" si="1"/>
        <v>63.356601189143625</v>
      </c>
      <c r="R51" s="21">
        <f t="shared" si="2"/>
        <v>3.3890506237478046</v>
      </c>
      <c r="S51" s="126">
        <f t="shared" si="3"/>
        <v>0.15000822198968208</v>
      </c>
      <c r="T51" s="93">
        <f t="shared" si="4"/>
        <v>22.993343370255076</v>
      </c>
      <c r="U51" s="125">
        <v>0.152866</v>
      </c>
      <c r="W51" s="157">
        <f t="shared" si="5"/>
        <v>35.38071037998585</v>
      </c>
      <c r="X51" s="164">
        <f t="shared" si="9"/>
        <v>25.981380622971461</v>
      </c>
      <c r="Y51" s="165">
        <f t="shared" si="6"/>
        <v>7.4166208932444961</v>
      </c>
      <c r="Z51" s="126">
        <f t="shared" si="7"/>
        <v>0.7742885674729062</v>
      </c>
      <c r="AA51" s="93">
        <f t="shared" si="8"/>
        <v>9.6098857510653009</v>
      </c>
      <c r="AB51" s="125">
        <v>3.5498000000000002E-2</v>
      </c>
      <c r="AC51" s="14" t="s">
        <v>360</v>
      </c>
      <c r="AE51">
        <v>4.4238963965372804</v>
      </c>
      <c r="AF51">
        <v>71.643778907827794</v>
      </c>
      <c r="AG51">
        <v>49.610370510976168</v>
      </c>
      <c r="AH51">
        <v>1.9629807990669201</v>
      </c>
      <c r="AI51" s="65">
        <v>3.0742199999999999E-3</v>
      </c>
      <c r="AJ51" t="s">
        <v>360</v>
      </c>
      <c r="AL51">
        <v>29.552330237362462</v>
      </c>
      <c r="AM51">
        <v>182.85284647675874</v>
      </c>
      <c r="AN51">
        <v>45.687141453918024</v>
      </c>
      <c r="AO51">
        <v>8.2680492605477767</v>
      </c>
      <c r="AP51">
        <v>1.7455600000000002E-2</v>
      </c>
      <c r="AQ51" t="s">
        <v>120</v>
      </c>
    </row>
    <row r="52" spans="5:43" x14ac:dyDescent="0.2">
      <c r="E52" t="s">
        <v>675</v>
      </c>
      <c r="F52" s="43">
        <v>4877294.8742557401</v>
      </c>
      <c r="G52" s="43">
        <v>655789.649320703</v>
      </c>
      <c r="H52" s="43">
        <v>4190793.82670771</v>
      </c>
      <c r="I52" s="43">
        <v>453935100.18597198</v>
      </c>
      <c r="J52" s="43"/>
      <c r="K52" s="43">
        <v>5494089.7109987997</v>
      </c>
      <c r="L52" s="43">
        <v>195549.431325707</v>
      </c>
      <c r="M52" s="43">
        <v>8187923.65281926</v>
      </c>
      <c r="N52" s="43">
        <v>502055680.21954</v>
      </c>
      <c r="P52" s="21">
        <f t="shared" si="0"/>
        <v>639.96118696355961</v>
      </c>
      <c r="Q52" s="162">
        <f t="shared" si="1"/>
        <v>66.988641705609538</v>
      </c>
      <c r="R52" s="21">
        <f t="shared" si="2"/>
        <v>3.7994414101728959</v>
      </c>
      <c r="S52" s="126">
        <f t="shared" si="3"/>
        <v>0.15306633600207956</v>
      </c>
      <c r="T52" s="93">
        <f t="shared" si="4"/>
        <v>24.865362802232841</v>
      </c>
      <c r="U52" s="125">
        <v>0.19611000000000001</v>
      </c>
      <c r="W52" s="157">
        <f t="shared" si="5"/>
        <v>47.909543448998001</v>
      </c>
      <c r="X52" s="164">
        <f t="shared" si="9"/>
        <v>32.562119757821762</v>
      </c>
      <c r="Y52" s="165">
        <f t="shared" si="6"/>
        <v>7.4233039076263241</v>
      </c>
      <c r="Z52" s="126">
        <f t="shared" si="7"/>
        <v>0.74745347606973545</v>
      </c>
      <c r="AA52" s="93">
        <f t="shared" si="8"/>
        <v>11.393971762618895</v>
      </c>
      <c r="AB52" s="125">
        <v>3.2303199999999997E-2</v>
      </c>
      <c r="AC52" s="14" t="s">
        <v>359</v>
      </c>
      <c r="AE52">
        <v>102.81952001075507</v>
      </c>
      <c r="AF52">
        <v>663.82950361035375</v>
      </c>
      <c r="AG52">
        <v>91.954550053088838</v>
      </c>
      <c r="AH52">
        <v>19.56041284227523</v>
      </c>
      <c r="AI52" s="65">
        <v>0.189359</v>
      </c>
      <c r="AJ52" t="s">
        <v>360</v>
      </c>
      <c r="AL52">
        <v>24.097615554680885</v>
      </c>
      <c r="AM52">
        <v>151.50730325621348</v>
      </c>
      <c r="AN52">
        <v>41.342293529203602</v>
      </c>
      <c r="AO52">
        <v>7.016502028098218</v>
      </c>
      <c r="AP52">
        <v>8.7500400000000006E-3</v>
      </c>
      <c r="AQ52" t="s">
        <v>120</v>
      </c>
    </row>
    <row r="53" spans="5:43" x14ac:dyDescent="0.2">
      <c r="E53" t="s">
        <v>676</v>
      </c>
      <c r="F53" s="43">
        <v>5046702.4211508101</v>
      </c>
      <c r="G53" s="43">
        <v>657860.11693538399</v>
      </c>
      <c r="H53" s="43">
        <v>3890311.0902079698</v>
      </c>
      <c r="I53" s="43">
        <v>463151842.69108999</v>
      </c>
      <c r="J53" s="43"/>
      <c r="K53" s="43">
        <v>4741475.26098161</v>
      </c>
      <c r="L53" s="43">
        <v>147370.10469706799</v>
      </c>
      <c r="M53" s="43">
        <v>10210503.239150099</v>
      </c>
      <c r="N53" s="43">
        <v>471953275.25086498</v>
      </c>
      <c r="P53" s="21">
        <f t="shared" si="0"/>
        <v>572.19222179457677</v>
      </c>
      <c r="Q53" s="162">
        <f t="shared" si="1"/>
        <v>60.328515635275743</v>
      </c>
      <c r="R53" s="21">
        <f t="shared" si="2"/>
        <v>3.2559733790589656</v>
      </c>
      <c r="S53" s="126">
        <f t="shared" si="3"/>
        <v>0.15039238601688656</v>
      </c>
      <c r="T53" s="93">
        <f t="shared" si="4"/>
        <v>23.128322390032416</v>
      </c>
      <c r="U53" s="125">
        <v>0.155193</v>
      </c>
      <c r="W53" s="157">
        <f t="shared" si="5"/>
        <v>92.242552714678254</v>
      </c>
      <c r="X53" s="164">
        <f t="shared" si="9"/>
        <v>56.946595234759293</v>
      </c>
      <c r="Y53" s="165">
        <f t="shared" si="6"/>
        <v>8.545621664330918</v>
      </c>
      <c r="Z53" s="126">
        <f t="shared" si="7"/>
        <v>0.8096757049091402</v>
      </c>
      <c r="AA53" s="93">
        <f t="shared" si="8"/>
        <v>18.15034367504067</v>
      </c>
      <c r="AB53" s="125">
        <v>0.161498</v>
      </c>
      <c r="AC53" s="14" t="s">
        <v>360</v>
      </c>
      <c r="AE53">
        <v>103.36457258453662</v>
      </c>
      <c r="AF53">
        <v>668.1757232747002</v>
      </c>
      <c r="AG53">
        <v>92.547853900144233</v>
      </c>
      <c r="AH53">
        <v>19.46606462560279</v>
      </c>
      <c r="AI53" s="65">
        <v>0.18723600000000001</v>
      </c>
      <c r="AJ53" t="s">
        <v>360</v>
      </c>
      <c r="AL53">
        <v>9.3960647759430795</v>
      </c>
      <c r="AM53">
        <v>71.471017360727856</v>
      </c>
      <c r="AN53">
        <v>29.653925852574496</v>
      </c>
      <c r="AO53">
        <v>3.5385030736647396</v>
      </c>
      <c r="AP53">
        <v>2.5029900000000001E-3</v>
      </c>
      <c r="AQ53" t="s">
        <v>120</v>
      </c>
    </row>
    <row r="54" spans="5:43" x14ac:dyDescent="0.2">
      <c r="E54" t="s">
        <v>677</v>
      </c>
      <c r="F54" s="43">
        <v>4860052.7566638598</v>
      </c>
      <c r="G54" s="43">
        <v>655645.23536111601</v>
      </c>
      <c r="H54" s="43">
        <v>4221376.63586831</v>
      </c>
      <c r="I54" s="43">
        <v>452904781.07550198</v>
      </c>
      <c r="J54" s="43"/>
      <c r="K54" s="43">
        <v>5277560.6549720103</v>
      </c>
      <c r="L54" s="43">
        <v>160934.51296829499</v>
      </c>
      <c r="M54" s="43">
        <v>9259634.1123836804</v>
      </c>
      <c r="N54" s="43">
        <v>494727082.75936598</v>
      </c>
      <c r="P54" s="21">
        <f t="shared" si="0"/>
        <v>647.86492857805513</v>
      </c>
      <c r="Q54" s="162">
        <f t="shared" si="1"/>
        <v>67.474179735945512</v>
      </c>
      <c r="R54" s="21">
        <f t="shared" si="2"/>
        <v>3.611188007555409</v>
      </c>
      <c r="S54" s="126">
        <f t="shared" si="3"/>
        <v>0.15325284251991214</v>
      </c>
      <c r="T54" s="93">
        <f t="shared" si="4"/>
        <v>25.061471689786121</v>
      </c>
      <c r="U54" s="125">
        <v>0.201069</v>
      </c>
      <c r="W54" s="157">
        <f t="shared" si="5"/>
        <v>57.153811926163449</v>
      </c>
      <c r="X54" s="164">
        <f t="shared" si="9"/>
        <v>37.910593349030009</v>
      </c>
      <c r="Y54" s="165">
        <f t="shared" si="6"/>
        <v>7.921178929373804</v>
      </c>
      <c r="Z54" s="126">
        <f t="shared" si="7"/>
        <v>0.79215765775939639</v>
      </c>
      <c r="AA54" s="93">
        <f t="shared" si="8"/>
        <v>13.228411516463394</v>
      </c>
      <c r="AB54" s="125">
        <v>7.1151800000000001E-2</v>
      </c>
      <c r="AC54" s="14" t="s">
        <v>360</v>
      </c>
      <c r="AE54">
        <v>4.2440938717383965</v>
      </c>
      <c r="AF54">
        <v>69.913731050476585</v>
      </c>
      <c r="AG54">
        <v>48.840086275128847</v>
      </c>
      <c r="AH54">
        <v>1.8936694144354429</v>
      </c>
      <c r="AI54" s="65">
        <v>1.8579200000000001E-3</v>
      </c>
      <c r="AJ54" t="s">
        <v>360</v>
      </c>
      <c r="AL54">
        <v>15.35816893107093</v>
      </c>
      <c r="AM54">
        <v>103.20397842760732</v>
      </c>
      <c r="AN54">
        <v>34.089443961494808</v>
      </c>
      <c r="AO54">
        <v>5.2327627956506433</v>
      </c>
      <c r="AP54">
        <v>6.0363600000000002E-3</v>
      </c>
      <c r="AQ54" t="s">
        <v>120</v>
      </c>
    </row>
    <row r="55" spans="5:43" x14ac:dyDescent="0.2">
      <c r="E55" t="s">
        <v>678</v>
      </c>
      <c r="F55" s="43">
        <v>4849679.4148680503</v>
      </c>
      <c r="G55" s="43">
        <v>655052.77946389304</v>
      </c>
      <c r="H55" s="43">
        <v>4239776.1120816199</v>
      </c>
      <c r="I55" s="43">
        <v>451928644.32562798</v>
      </c>
      <c r="J55" s="43"/>
      <c r="K55" s="43">
        <v>4670527.5548662301</v>
      </c>
      <c r="L55" s="43">
        <v>143631.387987258</v>
      </c>
      <c r="M55" s="43">
        <v>10336345.099637801</v>
      </c>
      <c r="N55" s="43">
        <v>469138266.50026</v>
      </c>
      <c r="P55" s="21">
        <f t="shared" si="0"/>
        <v>652.83152721461249</v>
      </c>
      <c r="Q55" s="162">
        <f t="shared" si="1"/>
        <v>70.085457148097106</v>
      </c>
      <c r="R55" s="21">
        <f t="shared" si="2"/>
        <v>3.5274205754564143</v>
      </c>
      <c r="S55" s="126">
        <f t="shared" si="3"/>
        <v>0.15401798244597223</v>
      </c>
      <c r="T55" s="93">
        <f t="shared" si="4"/>
        <v>25.294144536291931</v>
      </c>
      <c r="U55" s="125">
        <v>0.20619100000000001</v>
      </c>
      <c r="W55" s="157">
        <f t="shared" si="5"/>
        <v>96.159187712792516</v>
      </c>
      <c r="X55" s="164">
        <f t="shared" si="9"/>
        <v>59.055748201415355</v>
      </c>
      <c r="Y55" s="165">
        <f t="shared" si="6"/>
        <v>8.5996607876492881</v>
      </c>
      <c r="Z55" s="126">
        <f t="shared" si="7"/>
        <v>0.81450415111131735</v>
      </c>
      <c r="AA55" s="93">
        <f t="shared" si="8"/>
        <v>18.619246126263981</v>
      </c>
      <c r="AB55" s="125">
        <v>0.16913600000000001</v>
      </c>
      <c r="AC55" s="14" t="s">
        <v>360</v>
      </c>
      <c r="AE55">
        <v>20.939096609563283</v>
      </c>
      <c r="AF55">
        <v>176.62546622290975</v>
      </c>
      <c r="AG55">
        <v>67.880461513384788</v>
      </c>
      <c r="AH55">
        <v>6.4850594427197974</v>
      </c>
      <c r="AI55" s="65">
        <v>1.3263199999999999E-2</v>
      </c>
      <c r="AJ55" t="s">
        <v>360</v>
      </c>
      <c r="AL55">
        <v>14.179593284029757</v>
      </c>
      <c r="AM55">
        <v>98.206861817083166</v>
      </c>
      <c r="AN55">
        <v>34.185304582949605</v>
      </c>
      <c r="AO55">
        <v>4.9514570612204007</v>
      </c>
      <c r="AP55">
        <v>4.4094700000000004E-3</v>
      </c>
      <c r="AQ55" t="s">
        <v>120</v>
      </c>
    </row>
    <row r="56" spans="5:43" x14ac:dyDescent="0.2">
      <c r="E56" t="s">
        <v>679</v>
      </c>
      <c r="F56" s="43">
        <v>4806686.1771933604</v>
      </c>
      <c r="G56" s="43">
        <v>654116.70859823795</v>
      </c>
      <c r="H56" s="43">
        <v>4316034.3776916796</v>
      </c>
      <c r="I56" s="43">
        <v>448831863.90676898</v>
      </c>
      <c r="J56" s="43"/>
      <c r="K56" s="43">
        <v>5273466.4033008097</v>
      </c>
      <c r="L56" s="43">
        <v>159683.66171020601</v>
      </c>
      <c r="M56" s="43">
        <v>9266896.1970347501</v>
      </c>
      <c r="N56" s="43">
        <v>493366897.537745</v>
      </c>
      <c r="P56" s="21">
        <f t="shared" si="0"/>
        <v>673.51215736104928</v>
      </c>
      <c r="Q56" s="162">
        <f t="shared" si="1"/>
        <v>72.144002047332734</v>
      </c>
      <c r="R56" s="21">
        <f t="shared" si="2"/>
        <v>3.6846491612881156</v>
      </c>
      <c r="S56" s="126">
        <f t="shared" si="3"/>
        <v>0.15522689132221354</v>
      </c>
      <c r="T56" s="93">
        <f t="shared" si="4"/>
        <v>25.937948352133041</v>
      </c>
      <c r="U56" s="125">
        <v>0.22068699999999999</v>
      </c>
      <c r="W56" s="157">
        <f t="shared" si="5"/>
        <v>59.250521950971446</v>
      </c>
      <c r="X56" s="164">
        <f t="shared" si="9"/>
        <v>39.000845813210667</v>
      </c>
      <c r="Y56" s="165">
        <f t="shared" si="6"/>
        <v>7.9112579539762242</v>
      </c>
      <c r="Z56" s="126">
        <f t="shared" si="7"/>
        <v>0.79377309655173955</v>
      </c>
      <c r="AA56" s="93">
        <f t="shared" si="8"/>
        <v>13.720469956049403</v>
      </c>
      <c r="AB56" s="125">
        <v>7.65787E-2</v>
      </c>
      <c r="AC56" s="14" t="s">
        <v>360</v>
      </c>
      <c r="AE56">
        <v>85.974006722365544</v>
      </c>
      <c r="AF56">
        <v>562.46119761685213</v>
      </c>
      <c r="AG56">
        <v>88.983910075963948</v>
      </c>
      <c r="AH56">
        <v>17.178911010165415</v>
      </c>
      <c r="AI56" s="65">
        <v>0.14113999999999999</v>
      </c>
      <c r="AJ56" t="s">
        <v>360</v>
      </c>
      <c r="AL56">
        <v>27.619048247616572</v>
      </c>
      <c r="AM56">
        <v>176.56644414106501</v>
      </c>
      <c r="AN56">
        <v>47.698583324600527</v>
      </c>
      <c r="AO56">
        <v>7.5021598980577124</v>
      </c>
      <c r="AP56">
        <v>6.3218399999999996E-3</v>
      </c>
      <c r="AQ56" t="s">
        <v>120</v>
      </c>
    </row>
    <row r="57" spans="5:43" x14ac:dyDescent="0.2">
      <c r="E57" t="s">
        <v>680</v>
      </c>
      <c r="F57" s="43">
        <v>4922459.5090193897</v>
      </c>
      <c r="G57" s="43">
        <v>656291.48980707303</v>
      </c>
      <c r="H57" s="43">
        <v>4110684.09549721</v>
      </c>
      <c r="I57" s="43">
        <v>457104688.81923997</v>
      </c>
      <c r="J57" s="43"/>
      <c r="K57" s="43">
        <v>5017487.2373976996</v>
      </c>
      <c r="L57" s="43">
        <v>154143.33508336201</v>
      </c>
      <c r="M57" s="43">
        <v>9720933.3498489894</v>
      </c>
      <c r="N57" s="43">
        <v>485933568.690521</v>
      </c>
      <c r="P57" s="21">
        <f t="shared" si="0"/>
        <v>615.82584121240575</v>
      </c>
      <c r="Q57" s="162">
        <f t="shared" si="1"/>
        <v>64.669306368760815</v>
      </c>
      <c r="R57" s="21">
        <f t="shared" si="2"/>
        <v>3.4779881786484701</v>
      </c>
      <c r="S57" s="126">
        <f t="shared" si="3"/>
        <v>0.15241822329962362</v>
      </c>
      <c r="T57" s="93">
        <f t="shared" si="4"/>
        <v>24.184361740777703</v>
      </c>
      <c r="U57" s="125">
        <v>0.177754</v>
      </c>
      <c r="W57" s="157">
        <f t="shared" si="5"/>
        <v>70.707209321177913</v>
      </c>
      <c r="X57" s="164">
        <f t="shared" si="9"/>
        <v>45.325809903986269</v>
      </c>
      <c r="Y57" s="165">
        <f t="shared" si="6"/>
        <v>8.2247359541052347</v>
      </c>
      <c r="Z57" s="126">
        <f t="shared" si="7"/>
        <v>0.80092827067606243</v>
      </c>
      <c r="AA57" s="93">
        <f t="shared" si="8"/>
        <v>15.067866534465431</v>
      </c>
      <c r="AB57" s="125">
        <v>9.9195599999999995E-2</v>
      </c>
      <c r="AC57" s="14" t="s">
        <v>360</v>
      </c>
      <c r="AE57">
        <v>81.551103797732779</v>
      </c>
      <c r="AF57">
        <v>538.16708980392889</v>
      </c>
      <c r="AG57">
        <v>88.157426915353568</v>
      </c>
      <c r="AH57">
        <v>16.608228901465804</v>
      </c>
      <c r="AI57" s="65">
        <v>0.12567500000000001</v>
      </c>
      <c r="AJ57" t="s">
        <v>360</v>
      </c>
      <c r="AL57">
        <v>13.11896352439576</v>
      </c>
      <c r="AM57">
        <v>92.99623259795176</v>
      </c>
      <c r="AN57">
        <v>33.812887712498593</v>
      </c>
      <c r="AO57">
        <v>4.6222356784950041</v>
      </c>
      <c r="AP57">
        <v>3.9171199999999996E-3</v>
      </c>
      <c r="AQ57" t="s">
        <v>120</v>
      </c>
    </row>
    <row r="58" spans="5:43" x14ac:dyDescent="0.2">
      <c r="E58" t="s">
        <v>681</v>
      </c>
      <c r="F58" s="43">
        <v>4800725.2205418004</v>
      </c>
      <c r="G58" s="43">
        <v>653722.95135900204</v>
      </c>
      <c r="H58" s="43">
        <v>4326607.4873296404</v>
      </c>
      <c r="I58" s="43">
        <v>448342387.81504297</v>
      </c>
      <c r="J58" s="43"/>
      <c r="K58" s="43">
        <v>4859072.9590342902</v>
      </c>
      <c r="L58" s="43">
        <v>151252.59073068999</v>
      </c>
      <c r="M58" s="43">
        <v>10001917.029358501</v>
      </c>
      <c r="N58" s="43">
        <v>479480239.78587401</v>
      </c>
      <c r="P58" s="21">
        <f t="shared" si="0"/>
        <v>675.37201570958825</v>
      </c>
      <c r="Q58" s="162">
        <f t="shared" si="1"/>
        <v>79.069314419617811</v>
      </c>
      <c r="R58" s="21">
        <f t="shared" si="2"/>
        <v>3.6436936146202155</v>
      </c>
      <c r="S58" s="126">
        <f t="shared" si="3"/>
        <v>0.15573541758775802</v>
      </c>
      <c r="T58" s="93">
        <f t="shared" si="4"/>
        <v>26.045037157375248</v>
      </c>
      <c r="U58" s="125">
        <v>0.22311700000000001</v>
      </c>
      <c r="W58" s="157">
        <f t="shared" si="5"/>
        <v>80.736665818035632</v>
      </c>
      <c r="X58" s="164">
        <f t="shared" si="9"/>
        <v>50.786881273977372</v>
      </c>
      <c r="Y58" s="165">
        <f t="shared" si="6"/>
        <v>8.4232094823854169</v>
      </c>
      <c r="Z58" s="126">
        <f t="shared" si="7"/>
        <v>0.8046615847178834</v>
      </c>
      <c r="AA58" s="93">
        <f t="shared" si="8"/>
        <v>16.39301924081753</v>
      </c>
      <c r="AB58" s="125">
        <v>0.123627</v>
      </c>
      <c r="AC58" s="14" t="s">
        <v>360</v>
      </c>
      <c r="AE58">
        <v>97.087574688185413</v>
      </c>
      <c r="AF58">
        <v>630.21710414063841</v>
      </c>
      <c r="AG58">
        <v>91.286073578518909</v>
      </c>
      <c r="AH58">
        <v>18.674323780941275</v>
      </c>
      <c r="AI58" s="65">
        <v>0.17401800000000001</v>
      </c>
      <c r="AJ58" t="s">
        <v>360</v>
      </c>
      <c r="AL58">
        <v>15.568574654305376</v>
      </c>
      <c r="AM58">
        <v>105.97760486372822</v>
      </c>
      <c r="AN58">
        <v>35.53165359933034</v>
      </c>
      <c r="AO58">
        <v>5.2301577199919365</v>
      </c>
      <c r="AP58">
        <v>4.8187000000000004E-3</v>
      </c>
      <c r="AQ58" t="s">
        <v>120</v>
      </c>
    </row>
    <row r="59" spans="5:43" x14ac:dyDescent="0.2">
      <c r="E59" t="s">
        <v>682</v>
      </c>
      <c r="F59" s="43">
        <v>5006462.69085564</v>
      </c>
      <c r="G59" s="43">
        <v>658248.60234218906</v>
      </c>
      <c r="H59" s="43">
        <v>3961685.3854900701</v>
      </c>
      <c r="I59" s="43">
        <v>462241158.13491702</v>
      </c>
      <c r="J59" s="43"/>
      <c r="K59" s="43">
        <v>5758990.3051334899</v>
      </c>
      <c r="L59" s="43">
        <v>205142.49500382901</v>
      </c>
      <c r="M59" s="43">
        <v>7337839.9601475401</v>
      </c>
      <c r="N59" s="43">
        <v>506591784.70032799</v>
      </c>
      <c r="P59" s="21">
        <f t="shared" si="0"/>
        <v>581.95401848234508</v>
      </c>
      <c r="Q59" s="162">
        <f t="shared" si="1"/>
        <v>59.355160132405373</v>
      </c>
      <c r="R59" s="21">
        <f t="shared" si="2"/>
        <v>3.6522649076032101</v>
      </c>
      <c r="S59" s="126">
        <f t="shared" si="3"/>
        <v>0.1498906681728554</v>
      </c>
      <c r="T59" s="93">
        <f t="shared" si="4"/>
        <v>23.121478343696577</v>
      </c>
      <c r="U59" s="125">
        <v>0.15661700000000001</v>
      </c>
      <c r="W59" s="157">
        <f t="shared" si="5"/>
        <v>40.74732601814199</v>
      </c>
      <c r="X59" s="164">
        <f t="shared" si="9"/>
        <v>28.14542980652557</v>
      </c>
      <c r="Y59" s="165">
        <f t="shared" si="6"/>
        <v>6.764730859803044</v>
      </c>
      <c r="Z59" s="126">
        <f t="shared" si="7"/>
        <v>0.73506430741132001</v>
      </c>
      <c r="AA59" s="93">
        <f t="shared" si="8"/>
        <v>10.694083960966747</v>
      </c>
      <c r="AB59" s="125">
        <v>2.6525900000000002E-2</v>
      </c>
      <c r="AC59" s="14" t="s">
        <v>359</v>
      </c>
      <c r="AE59">
        <v>71.793350806843506</v>
      </c>
      <c r="AF59">
        <v>477.19181739446287</v>
      </c>
      <c r="AG59">
        <v>85.371209756125324</v>
      </c>
      <c r="AH59">
        <v>15.350610267952367</v>
      </c>
      <c r="AI59" s="65">
        <v>0.10803400000000001</v>
      </c>
      <c r="AJ59" t="s">
        <v>360</v>
      </c>
      <c r="AL59">
        <v>8.8444877507848663</v>
      </c>
      <c r="AM59">
        <v>68.2585110389427</v>
      </c>
      <c r="AN59">
        <v>28.957590983533684</v>
      </c>
      <c r="AO59">
        <v>3.3937920951448599</v>
      </c>
      <c r="AP59">
        <v>2.5094700000000002E-3</v>
      </c>
      <c r="AQ59" t="s">
        <v>120</v>
      </c>
    </row>
    <row r="60" spans="5:43" x14ac:dyDescent="0.2">
      <c r="E60" t="s">
        <v>683</v>
      </c>
      <c r="F60" s="43">
        <v>4813163.7593165403</v>
      </c>
      <c r="G60" s="43">
        <v>654479.78411437897</v>
      </c>
      <c r="H60" s="43">
        <v>4304544.9155163104</v>
      </c>
      <c r="I60" s="43">
        <v>449518806.932311</v>
      </c>
      <c r="J60" s="43"/>
      <c r="K60" s="43">
        <v>4606991.2168388404</v>
      </c>
      <c r="L60" s="43">
        <v>142194.21981186699</v>
      </c>
      <c r="M60" s="43">
        <v>10449041.216591001</v>
      </c>
      <c r="N60" s="43">
        <v>466290515.33551902</v>
      </c>
      <c r="P60" s="21">
        <f t="shared" si="0"/>
        <v>669.82022279469527</v>
      </c>
      <c r="Q60" s="162">
        <f t="shared" si="1"/>
        <v>71.220225053299629</v>
      </c>
      <c r="R60" s="21">
        <f t="shared" si="2"/>
        <v>3.5731647075103661</v>
      </c>
      <c r="S60" s="126">
        <f t="shared" si="3"/>
        <v>0.15475798962864187</v>
      </c>
      <c r="T60" s="93">
        <f t="shared" si="4"/>
        <v>25.771332109145838</v>
      </c>
      <c r="U60" s="125">
        <v>0.21731900000000001</v>
      </c>
      <c r="W60" s="157">
        <f t="shared" si="5"/>
        <v>100.44566825702238</v>
      </c>
      <c r="X60" s="164">
        <f t="shared" si="9"/>
        <v>61.378921258013804</v>
      </c>
      <c r="Y60" s="165">
        <f t="shared" si="6"/>
        <v>8.6736568058242334</v>
      </c>
      <c r="Z60" s="126">
        <f t="shared" si="7"/>
        <v>0.81636021289854732</v>
      </c>
      <c r="AA60" s="93">
        <f t="shared" si="8"/>
        <v>19.12057462987822</v>
      </c>
      <c r="AB60" s="125">
        <v>0.181426</v>
      </c>
      <c r="AC60" s="14" t="s">
        <v>360</v>
      </c>
      <c r="AE60">
        <v>87.836080016265512</v>
      </c>
      <c r="AF60">
        <v>575.66431710411905</v>
      </c>
      <c r="AG60">
        <v>88.968748238507473</v>
      </c>
      <c r="AH60">
        <v>17.663980856259293</v>
      </c>
      <c r="AI60" s="65">
        <v>0.14868300000000001</v>
      </c>
      <c r="AJ60" t="s">
        <v>360</v>
      </c>
    </row>
    <row r="61" spans="5:43" x14ac:dyDescent="0.2">
      <c r="E61" t="s">
        <v>684</v>
      </c>
      <c r="F61" s="43">
        <v>4885322.1247272203</v>
      </c>
      <c r="G61" s="43">
        <v>655800.097325154</v>
      </c>
      <c r="H61" s="43">
        <v>4176555.6759732901</v>
      </c>
      <c r="I61" s="43">
        <v>454790808.74919498</v>
      </c>
      <c r="J61" s="43"/>
      <c r="K61" s="43">
        <v>4944042.7016925802</v>
      </c>
      <c r="L61" s="43">
        <v>151245.01841230501</v>
      </c>
      <c r="M61" s="43">
        <v>9851203.9043438099</v>
      </c>
      <c r="N61" s="43">
        <v>482492250.375337</v>
      </c>
      <c r="P61" s="21">
        <f t="shared" si="0"/>
        <v>632.79707264564763</v>
      </c>
      <c r="Q61" s="162">
        <f t="shared" si="1"/>
        <v>69.975327999467922</v>
      </c>
      <c r="R61" s="21">
        <f t="shared" si="2"/>
        <v>3.5172833084144961</v>
      </c>
      <c r="S61" s="126">
        <f t="shared" si="3"/>
        <v>0.15305284270175021</v>
      </c>
      <c r="T61" s="93">
        <f t="shared" si="4"/>
        <v>24.649704554265298</v>
      </c>
      <c r="U61" s="125">
        <v>0.18629799999999999</v>
      </c>
      <c r="W61" s="157">
        <f t="shared" si="5"/>
        <v>75.90150494765065</v>
      </c>
      <c r="X61" s="164">
        <f t="shared" si="9"/>
        <v>48.122778581032954</v>
      </c>
      <c r="Y61" s="165">
        <f t="shared" si="6"/>
        <v>8.2961841643501124</v>
      </c>
      <c r="Z61" s="126">
        <f t="shared" si="7"/>
        <v>0.8046713641515193</v>
      </c>
      <c r="AA61" s="93">
        <f t="shared" si="8"/>
        <v>15.850358193718279</v>
      </c>
      <c r="AB61" s="125">
        <v>0.115615</v>
      </c>
      <c r="AC61" s="14" t="s">
        <v>360</v>
      </c>
      <c r="AE61">
        <v>14.57291752587561</v>
      </c>
      <c r="AF61">
        <v>134.85424740239557</v>
      </c>
      <c r="AG61">
        <v>60.397349830205719</v>
      </c>
      <c r="AH61">
        <v>5.1600012119166738</v>
      </c>
      <c r="AI61" s="65">
        <v>1.1945799999999999E-2</v>
      </c>
      <c r="AJ61" t="s">
        <v>360</v>
      </c>
    </row>
    <row r="62" spans="5:43" x14ac:dyDescent="0.2">
      <c r="E62" t="s">
        <v>685</v>
      </c>
      <c r="F62" s="43">
        <v>4818902.0392507799</v>
      </c>
      <c r="G62" s="43">
        <v>654471.38851487404</v>
      </c>
      <c r="H62" s="43">
        <v>4294366.7735796403</v>
      </c>
      <c r="I62" s="43">
        <v>449870487.39753902</v>
      </c>
      <c r="J62" s="43"/>
      <c r="K62" s="43">
        <v>6073423.2788936999</v>
      </c>
      <c r="L62" s="43">
        <v>180652.51699658899</v>
      </c>
      <c r="M62" s="43">
        <v>7750785.2649940401</v>
      </c>
      <c r="N62" s="43">
        <v>516121381.40490401</v>
      </c>
      <c r="P62" s="21">
        <f t="shared" si="0"/>
        <v>666.8386925495131</v>
      </c>
      <c r="Q62" s="162">
        <f t="shared" si="1"/>
        <v>74.733854521840357</v>
      </c>
      <c r="R62" s="21">
        <f t="shared" si="2"/>
        <v>3.7956450133675985</v>
      </c>
      <c r="S62" s="126">
        <f t="shared" si="3"/>
        <v>0.15476883230640834</v>
      </c>
      <c r="T62" s="93">
        <f t="shared" si="4"/>
        <v>25.70577650942414</v>
      </c>
      <c r="U62" s="125">
        <v>0.21527499999999999</v>
      </c>
      <c r="W62" s="157">
        <f t="shared" si="5"/>
        <v>23.014055860696814</v>
      </c>
      <c r="X62" s="164">
        <f t="shared" si="9"/>
        <v>18.926456976118637</v>
      </c>
      <c r="Y62" s="165">
        <f t="shared" si="6"/>
        <v>6.8506559853607492</v>
      </c>
      <c r="Z62" s="126">
        <f t="shared" si="7"/>
        <v>0.76669241686133216</v>
      </c>
      <c r="AA62" s="93">
        <f t="shared" si="8"/>
        <v>7.3681975487482312</v>
      </c>
      <c r="AB62" s="125">
        <v>1.7720199999999998E-2</v>
      </c>
      <c r="AC62" s="14" t="s">
        <v>360</v>
      </c>
      <c r="AE62">
        <v>16.553948485852182</v>
      </c>
      <c r="AF62">
        <v>139.58278764871275</v>
      </c>
      <c r="AG62">
        <v>55.967554443013285</v>
      </c>
      <c r="AH62">
        <v>6.3189410868295974</v>
      </c>
      <c r="AI62" s="65">
        <v>1.9675000000000002E-2</v>
      </c>
      <c r="AJ62" t="s">
        <v>360</v>
      </c>
      <c r="AL62" t="s">
        <v>726</v>
      </c>
      <c r="AM62" t="s">
        <v>730</v>
      </c>
      <c r="AN62" t="s">
        <v>730</v>
      </c>
      <c r="AO62" t="s">
        <v>728</v>
      </c>
      <c r="AP62" t="s">
        <v>734</v>
      </c>
      <c r="AQ62" t="s">
        <v>733</v>
      </c>
    </row>
    <row r="63" spans="5:43" x14ac:dyDescent="0.2">
      <c r="E63" t="s">
        <v>686</v>
      </c>
      <c r="F63" s="43">
        <v>4966548.0375648402</v>
      </c>
      <c r="G63" s="43">
        <v>657784.25670043798</v>
      </c>
      <c r="H63" s="43">
        <v>4032483.08291901</v>
      </c>
      <c r="I63" s="43">
        <v>459941199.22941798</v>
      </c>
      <c r="J63" s="43"/>
      <c r="K63" s="43">
        <v>6008037.4060364496</v>
      </c>
      <c r="L63" s="43">
        <v>183079.23427419199</v>
      </c>
      <c r="M63" s="43">
        <v>7770578.6879161596</v>
      </c>
      <c r="N63" s="43">
        <v>512117312.47175902</v>
      </c>
      <c r="P63" s="21">
        <f t="shared" si="0"/>
        <v>599.37267555530786</v>
      </c>
      <c r="Q63" s="162">
        <f t="shared" si="1"/>
        <v>61.541173564303442</v>
      </c>
      <c r="R63" s="21">
        <f t="shared" si="2"/>
        <v>3.5788041160146671</v>
      </c>
      <c r="S63" s="126">
        <f t="shared" si="3"/>
        <v>0.15049035735083657</v>
      </c>
      <c r="T63" s="93">
        <f t="shared" si="4"/>
        <v>23.586528996073525</v>
      </c>
      <c r="U63" s="125">
        <v>0.16720099999999999</v>
      </c>
      <c r="W63" s="157">
        <f t="shared" si="5"/>
        <v>29.880941307063949</v>
      </c>
      <c r="X63" s="164">
        <f t="shared" si="9"/>
        <v>22.575294162786015</v>
      </c>
      <c r="Y63" s="165">
        <f t="shared" si="6"/>
        <v>6.8963411427382137</v>
      </c>
      <c r="Z63" s="126">
        <f t="shared" si="7"/>
        <v>0.7635583805776911</v>
      </c>
      <c r="AA63" s="93">
        <f t="shared" si="8"/>
        <v>9.2030733157685827</v>
      </c>
      <c r="AB63" s="125">
        <v>3.9165999999999999E-2</v>
      </c>
      <c r="AC63" s="14" t="s">
        <v>360</v>
      </c>
      <c r="AE63">
        <v>89.632254345422453</v>
      </c>
      <c r="AF63">
        <v>584.18668015774676</v>
      </c>
      <c r="AG63">
        <v>88.469547205609501</v>
      </c>
      <c r="AH63">
        <v>18.177077707923253</v>
      </c>
      <c r="AI63" s="65">
        <v>0.156947</v>
      </c>
      <c r="AJ63" t="s">
        <v>360</v>
      </c>
      <c r="AL63">
        <v>10.170378530529071</v>
      </c>
      <c r="AM63">
        <v>85.566557057722747</v>
      </c>
      <c r="AN63">
        <v>37.849655514028761</v>
      </c>
      <c r="AO63">
        <v>4.3193742653695644</v>
      </c>
      <c r="AP63">
        <v>1.86297E-3</v>
      </c>
      <c r="AQ63" t="s">
        <v>359</v>
      </c>
    </row>
    <row r="64" spans="5:43" x14ac:dyDescent="0.2">
      <c r="E64" t="s">
        <v>687</v>
      </c>
      <c r="F64" s="43">
        <v>4852841.0259643998</v>
      </c>
      <c r="G64" s="43">
        <v>655443.09403958998</v>
      </c>
      <c r="H64" s="43">
        <v>4234168.2771805702</v>
      </c>
      <c r="I64" s="43">
        <v>452240774.81685299</v>
      </c>
      <c r="J64" s="43"/>
      <c r="K64" s="43">
        <v>4687524.1640558904</v>
      </c>
      <c r="L64" s="43">
        <v>144434.105148181</v>
      </c>
      <c r="M64" s="43">
        <v>10306197.755354</v>
      </c>
      <c r="N64" s="43">
        <v>471112882.83067799</v>
      </c>
      <c r="P64" s="21">
        <f t="shared" si="0"/>
        <v>652.34930234773174</v>
      </c>
      <c r="Q64" s="162">
        <f t="shared" si="1"/>
        <v>73.573471149947594</v>
      </c>
      <c r="R64" s="21">
        <f t="shared" si="2"/>
        <v>3.5272443673196245</v>
      </c>
      <c r="S64" s="126">
        <f t="shared" si="3"/>
        <v>0.15351390228238743</v>
      </c>
      <c r="T64" s="93">
        <f t="shared" si="4"/>
        <v>25.218641145479882</v>
      </c>
      <c r="U64" s="125">
        <v>0.20408699999999999</v>
      </c>
      <c r="W64" s="157">
        <f t="shared" si="5"/>
        <v>93.146806802962558</v>
      </c>
      <c r="X64" s="164">
        <f t="shared" si="9"/>
        <v>57.460954691422813</v>
      </c>
      <c r="Y64" s="165">
        <f t="shared" si="6"/>
        <v>8.5855061965701545</v>
      </c>
      <c r="Z64" s="126">
        <f t="shared" si="7"/>
        <v>0.81346746474861142</v>
      </c>
      <c r="AA64" s="93">
        <f t="shared" si="8"/>
        <v>18.10749424558395</v>
      </c>
      <c r="AB64" s="125">
        <v>0.15931000000000001</v>
      </c>
      <c r="AC64" s="14" t="s">
        <v>360</v>
      </c>
      <c r="AE64">
        <v>66.170775935442947</v>
      </c>
      <c r="AF64">
        <v>443.91495474224286</v>
      </c>
      <c r="AG64">
        <v>84.243724628205982</v>
      </c>
      <c r="AH64">
        <v>14.45095426185847</v>
      </c>
      <c r="AI64" s="65">
        <v>9.3999100000000002E-2</v>
      </c>
      <c r="AJ64" t="s">
        <v>360</v>
      </c>
      <c r="AL64">
        <v>49.848429814752265</v>
      </c>
      <c r="AM64">
        <v>328.87543367454782</v>
      </c>
      <c r="AN64">
        <v>74.316235323844325</v>
      </c>
      <c r="AO64">
        <v>11.39732480713527</v>
      </c>
      <c r="AP64">
        <v>3.1362800000000003E-2</v>
      </c>
      <c r="AQ64" t="s">
        <v>359</v>
      </c>
    </row>
    <row r="65" spans="5:43" x14ac:dyDescent="0.2">
      <c r="E65" t="s">
        <v>688</v>
      </c>
      <c r="F65" s="43">
        <v>4948549.4435485397</v>
      </c>
      <c r="G65" s="43">
        <v>657111.15597560303</v>
      </c>
      <c r="H65" s="43">
        <v>4064407.67472316</v>
      </c>
      <c r="I65" s="43">
        <v>458454152.52688098</v>
      </c>
      <c r="J65" s="43"/>
      <c r="K65" s="43">
        <v>5345729.5056683198</v>
      </c>
      <c r="L65" s="43">
        <v>191088.30886127101</v>
      </c>
      <c r="M65" s="43">
        <v>8627891.3372641299</v>
      </c>
      <c r="N65" s="43">
        <v>501109723.703623</v>
      </c>
      <c r="P65" s="21">
        <f t="shared" si="0"/>
        <v>608.61853188306884</v>
      </c>
      <c r="Q65" s="162">
        <f t="shared" si="1"/>
        <v>64.267286856691044</v>
      </c>
      <c r="R65" s="21">
        <f t="shared" si="2"/>
        <v>3.656671853694295</v>
      </c>
      <c r="S65" s="126">
        <f t="shared" si="3"/>
        <v>0.15135964777607375</v>
      </c>
      <c r="T65" s="93">
        <f t="shared" si="4"/>
        <v>23.943185008730488</v>
      </c>
      <c r="U65" s="125">
        <v>0.17463200000000001</v>
      </c>
      <c r="W65" s="157">
        <f t="shared" si="5"/>
        <v>49.165027475731371</v>
      </c>
      <c r="X65" s="164">
        <f t="shared" si="9"/>
        <v>33.55993917121485</v>
      </c>
      <c r="Y65" s="165">
        <f t="shared" si="6"/>
        <v>7.7623530744502647</v>
      </c>
      <c r="Z65" s="126">
        <f t="shared" si="7"/>
        <v>0.75321488873957843</v>
      </c>
      <c r="AA65" s="93">
        <f t="shared" si="8"/>
        <v>11.105640331427747</v>
      </c>
      <c r="AB65" s="125">
        <v>2.52077E-2</v>
      </c>
      <c r="AC65" s="14" t="s">
        <v>359</v>
      </c>
      <c r="AE65">
        <v>99.693022818359296</v>
      </c>
      <c r="AF65">
        <v>643.61059201039677</v>
      </c>
      <c r="AG65">
        <v>91.472734023554082</v>
      </c>
      <c r="AH65">
        <v>19.06243792060577</v>
      </c>
      <c r="AI65" s="65">
        <v>0.179038</v>
      </c>
      <c r="AJ65" t="s">
        <v>360</v>
      </c>
      <c r="AL65">
        <v>83.789717456287903</v>
      </c>
      <c r="AM65">
        <v>519.88493092576016</v>
      </c>
      <c r="AN65">
        <v>84.516541948864557</v>
      </c>
      <c r="AO65">
        <v>16.686982342169667</v>
      </c>
      <c r="AP65">
        <v>0.115977</v>
      </c>
      <c r="AQ65" t="s">
        <v>359</v>
      </c>
    </row>
    <row r="66" spans="5:43" x14ac:dyDescent="0.2">
      <c r="E66" t="s">
        <v>689</v>
      </c>
      <c r="F66" s="43">
        <v>4964814.0263483096</v>
      </c>
      <c r="G66" s="43">
        <v>657727.62580486597</v>
      </c>
      <c r="H66" s="43">
        <v>4035558.74539694</v>
      </c>
      <c r="I66" s="43">
        <v>459616028.006567</v>
      </c>
      <c r="J66" s="43"/>
      <c r="K66" s="43">
        <v>5197751.3438972803</v>
      </c>
      <c r="L66" s="43">
        <v>158750.70036512299</v>
      </c>
      <c r="M66" s="43">
        <v>9401194.0406715795</v>
      </c>
      <c r="N66" s="43">
        <v>486968286.40305799</v>
      </c>
      <c r="P66" s="21">
        <f t="shared" si="0"/>
        <v>601.87071099187483</v>
      </c>
      <c r="Q66" s="162">
        <f t="shared" si="1"/>
        <v>62.380846591306884</v>
      </c>
      <c r="R66" s="21">
        <f t="shared" si="2"/>
        <v>3.4399821683666891</v>
      </c>
      <c r="S66" s="126">
        <f t="shared" si="3"/>
        <v>0.15056349454037896</v>
      </c>
      <c r="T66" s="93">
        <f t="shared" si="4"/>
        <v>23.682474134120064</v>
      </c>
      <c r="U66" s="125">
        <v>0.16932</v>
      </c>
      <c r="W66" s="157">
        <f t="shared" si="5"/>
        <v>69.555503599481739</v>
      </c>
      <c r="X66" s="164">
        <f t="shared" si="9"/>
        <v>44.510502932738468</v>
      </c>
      <c r="Y66" s="165">
        <f t="shared" si="6"/>
        <v>8.013745283265461</v>
      </c>
      <c r="Z66" s="126">
        <f t="shared" si="7"/>
        <v>0.79497798957067944</v>
      </c>
      <c r="AA66" s="93">
        <f t="shared" si="8"/>
        <v>15.683810130198514</v>
      </c>
      <c r="AB66" s="125">
        <v>0.112218</v>
      </c>
      <c r="AC66" s="14" t="s">
        <v>360</v>
      </c>
      <c r="AE66">
        <v>43.990012993821018</v>
      </c>
      <c r="AF66">
        <v>311.35382678793059</v>
      </c>
      <c r="AG66">
        <v>77.13558882400784</v>
      </c>
      <c r="AH66">
        <v>11.2164669075243</v>
      </c>
      <c r="AI66" s="65">
        <v>5.2770299999999999E-2</v>
      </c>
      <c r="AJ66" t="s">
        <v>360</v>
      </c>
      <c r="AL66">
        <v>56.286606974333147</v>
      </c>
      <c r="AM66">
        <v>365.99765033537278</v>
      </c>
      <c r="AN66">
        <v>76.612963141291914</v>
      </c>
      <c r="AO66">
        <v>12.660907963540108</v>
      </c>
      <c r="AP66">
        <v>4.89746E-2</v>
      </c>
      <c r="AQ66" t="s">
        <v>359</v>
      </c>
    </row>
    <row r="67" spans="5:43" x14ac:dyDescent="0.2">
      <c r="E67" t="s">
        <v>690</v>
      </c>
      <c r="F67" s="43">
        <v>5003442.1679194896</v>
      </c>
      <c r="G67" s="43">
        <v>658111.63551234396</v>
      </c>
      <c r="H67" s="43">
        <v>3967042.9685148499</v>
      </c>
      <c r="I67" s="43">
        <v>462042087.032538</v>
      </c>
      <c r="J67" s="43"/>
      <c r="K67" s="43">
        <v>4904415.5170891099</v>
      </c>
      <c r="L67" s="43">
        <v>150151.47626718599</v>
      </c>
      <c r="M67" s="43">
        <v>9921491.7108062003</v>
      </c>
      <c r="N67" s="43">
        <v>481277481.164985</v>
      </c>
      <c r="P67" s="21">
        <f t="shared" si="0"/>
        <v>582.98124608077308</v>
      </c>
      <c r="Q67" s="162">
        <f t="shared" si="1"/>
        <v>61.62027272347391</v>
      </c>
      <c r="R67" s="21">
        <f t="shared" si="2"/>
        <v>3.3349890963356201</v>
      </c>
      <c r="S67" s="126">
        <f t="shared" si="3"/>
        <v>0.15006755693462076</v>
      </c>
      <c r="T67" s="93">
        <f t="shared" si="4"/>
        <v>23.165671894892462</v>
      </c>
      <c r="U67" s="125">
        <v>0.15801999999999999</v>
      </c>
      <c r="W67" s="157">
        <f t="shared" si="5"/>
        <v>77.714773087539314</v>
      </c>
      <c r="X67" s="164">
        <f t="shared" si="9"/>
        <v>49.118780046965242</v>
      </c>
      <c r="Y67" s="165">
        <f t="shared" si="6"/>
        <v>8.3407381612783897</v>
      </c>
      <c r="Z67" s="126">
        <f t="shared" si="7"/>
        <v>0.80608364270251687</v>
      </c>
      <c r="AA67" s="93">
        <f t="shared" si="8"/>
        <v>16.044408530437178</v>
      </c>
      <c r="AB67" s="125">
        <v>0.119768</v>
      </c>
      <c r="AC67" s="14" t="s">
        <v>360</v>
      </c>
      <c r="AE67">
        <v>18.953278510452531</v>
      </c>
      <c r="AF67">
        <v>164.39619817732782</v>
      </c>
      <c r="AG67">
        <v>66.008877042068164</v>
      </c>
      <c r="AH67">
        <v>6.2405173277746782</v>
      </c>
      <c r="AI67" s="65">
        <v>1.40258E-2</v>
      </c>
      <c r="AJ67" t="s">
        <v>360</v>
      </c>
      <c r="AL67">
        <v>39.012520607658999</v>
      </c>
      <c r="AM67">
        <v>257.31753256154087</v>
      </c>
      <c r="AN67">
        <v>62.960426213027262</v>
      </c>
      <c r="AO67">
        <v>10.382131199531475</v>
      </c>
      <c r="AP67">
        <v>2.5301299999999999E-2</v>
      </c>
      <c r="AQ67" t="s">
        <v>359</v>
      </c>
    </row>
    <row r="68" spans="5:43" x14ac:dyDescent="0.2">
      <c r="E68" t="s">
        <v>691</v>
      </c>
      <c r="F68" s="43">
        <v>4839699.8425209802</v>
      </c>
      <c r="G68" s="43">
        <v>655015.765361086</v>
      </c>
      <c r="H68" s="43">
        <v>4257477.1487999102</v>
      </c>
      <c r="I68" s="43">
        <v>451626092.78934503</v>
      </c>
      <c r="J68" s="43"/>
      <c r="K68" s="43">
        <v>5340162.0433515999</v>
      </c>
      <c r="L68" s="43">
        <v>163689.54781933699</v>
      </c>
      <c r="M68" s="43">
        <v>9148596.3408454992</v>
      </c>
      <c r="N68" s="43">
        <v>497601328.32556099</v>
      </c>
      <c r="P68" s="21">
        <f t="shared" ref="P68:P102" si="10">($B$6-I68)/($B$4-G68)</f>
        <v>655.16513822788727</v>
      </c>
      <c r="Q68" s="162">
        <f t="shared" ref="Q68:Q102" si="11">($B$6-I68+H68)*59660/113700/($B$4-L69)</f>
        <v>74.214959037572058</v>
      </c>
      <c r="R68" s="21">
        <f t="shared" ref="R68:R102" si="12">H68/113700*59660/($B$4-L68)</f>
        <v>3.6585027907903727</v>
      </c>
      <c r="S68" s="126">
        <f t="shared" ref="S68:S102" si="13">($B$4-G68)/$B$4</f>
        <v>0.15406578510608199</v>
      </c>
      <c r="T68" s="93">
        <f t="shared" ref="T68:T102" si="14">($B$6-I68)/($B$3-F68)</f>
        <v>25.310377446272373</v>
      </c>
      <c r="U68" s="125">
        <v>0.20660800000000001</v>
      </c>
      <c r="W68" s="157">
        <f t="shared" ref="W68:W102" si="15">($B$6-N68)/($B$4-L68)</f>
        <v>52.704595591284829</v>
      </c>
      <c r="X68" s="164">
        <f t="shared" ref="X68:X102" si="16">($B$6-N68+M68)*59660/113700/($B$4-L68)</f>
        <v>35.516349636784184</v>
      </c>
      <c r="Y68" s="165">
        <f t="shared" ref="Y68:Y102" si="17">M68/113700*59660/($B$4-L68)</f>
        <v>7.8615020292551323</v>
      </c>
      <c r="Z68" s="126">
        <f t="shared" ref="Z68:Z102" si="18">($B$4-L68)/$B$4</f>
        <v>0.78859960867574297</v>
      </c>
      <c r="AA68" s="93">
        <f t="shared" ref="AA68:AA102" si="19">($B$6-N68)/($B$3-K68)</f>
        <v>12.437640523648447</v>
      </c>
      <c r="AB68" s="125">
        <v>6.4947599999999994E-2</v>
      </c>
      <c r="AC68" s="14" t="s">
        <v>360</v>
      </c>
      <c r="AE68">
        <v>66.4652840366319</v>
      </c>
      <c r="AF68">
        <v>446.90287829983936</v>
      </c>
      <c r="AG68">
        <v>84.53651839596931</v>
      </c>
      <c r="AH68">
        <v>14.463314392871755</v>
      </c>
      <c r="AI68" s="65">
        <v>9.1560900000000001E-2</v>
      </c>
      <c r="AJ68" t="s">
        <v>360</v>
      </c>
      <c r="AL68">
        <v>42.605250877135177</v>
      </c>
      <c r="AM68">
        <v>286.33060710024552</v>
      </c>
      <c r="AN68">
        <v>70.588226834247308</v>
      </c>
      <c r="AO68">
        <v>10.180306634522259</v>
      </c>
      <c r="AP68">
        <v>1.6636100000000001E-2</v>
      </c>
      <c r="AQ68" t="s">
        <v>359</v>
      </c>
    </row>
    <row r="69" spans="5:43" x14ac:dyDescent="0.2">
      <c r="E69" t="s">
        <v>692</v>
      </c>
      <c r="F69" s="43">
        <v>4949893.8867086302</v>
      </c>
      <c r="G69" s="43">
        <v>657183.54745221406</v>
      </c>
      <c r="H69" s="43">
        <v>4062022.9996173698</v>
      </c>
      <c r="I69" s="43">
        <v>458637912.25075799</v>
      </c>
      <c r="J69" s="43"/>
      <c r="K69" s="43">
        <v>5370924.2883109897</v>
      </c>
      <c r="L69" s="43">
        <v>191618.756208632</v>
      </c>
      <c r="M69" s="43">
        <v>8562178.3199848197</v>
      </c>
      <c r="N69" s="43">
        <v>499279726.554811</v>
      </c>
      <c r="P69" s="21">
        <f t="shared" si="10"/>
        <v>607.42580127943427</v>
      </c>
      <c r="Q69" s="162">
        <f t="shared" si="11"/>
        <v>63.345504002855144</v>
      </c>
      <c r="R69" s="21">
        <f t="shared" si="12"/>
        <v>3.6578532657677423</v>
      </c>
      <c r="S69" s="126">
        <f t="shared" si="13"/>
        <v>0.15126615624476961</v>
      </c>
      <c r="T69" s="93">
        <f t="shared" si="14"/>
        <v>23.892284836221751</v>
      </c>
      <c r="U69" s="125">
        <v>0.17361499999999999</v>
      </c>
      <c r="W69" s="157">
        <f t="shared" si="15"/>
        <v>52.350376418729709</v>
      </c>
      <c r="X69" s="164">
        <f t="shared" si="16"/>
        <v>35.179228645973353</v>
      </c>
      <c r="Y69" s="165">
        <f t="shared" si="17"/>
        <v>7.7102448540523794</v>
      </c>
      <c r="Z69" s="126">
        <f t="shared" si="18"/>
        <v>0.75252983109049265</v>
      </c>
      <c r="AA69" s="93">
        <f t="shared" si="19"/>
        <v>11.930829487081294</v>
      </c>
      <c r="AB69" s="125">
        <v>4.02041E-2</v>
      </c>
      <c r="AC69" s="14" t="s">
        <v>359</v>
      </c>
      <c r="AE69">
        <v>70.408470871054689</v>
      </c>
      <c r="AF69">
        <v>468.93288756660542</v>
      </c>
      <c r="AG69">
        <v>85.206017788302546</v>
      </c>
      <c r="AH69">
        <v>15.088570614350079</v>
      </c>
      <c r="AI69" s="65">
        <v>9.9579899999999999E-2</v>
      </c>
      <c r="AJ69" t="s">
        <v>360</v>
      </c>
      <c r="AL69">
        <v>47.909543448998001</v>
      </c>
      <c r="AM69">
        <v>315.88481422851601</v>
      </c>
      <c r="AN69">
        <v>72.01340064045084</v>
      </c>
      <c r="AO69">
        <v>11.393971762618895</v>
      </c>
      <c r="AP69">
        <v>3.2303199999999997E-2</v>
      </c>
      <c r="AQ69" t="s">
        <v>359</v>
      </c>
    </row>
    <row r="70" spans="5:43" x14ac:dyDescent="0.2">
      <c r="E70" t="s">
        <v>693</v>
      </c>
      <c r="F70" s="43">
        <v>4965855.2875804203</v>
      </c>
      <c r="G70" s="43">
        <v>657535.66169912298</v>
      </c>
      <c r="H70" s="43">
        <v>4033711.83225659</v>
      </c>
      <c r="I70" s="43">
        <v>459813490.92638803</v>
      </c>
      <c r="J70" s="43"/>
      <c r="K70" s="43">
        <v>4950341.6404710598</v>
      </c>
      <c r="L70" s="43">
        <v>151335.179776278</v>
      </c>
      <c r="M70" s="43">
        <v>9840031.3066886701</v>
      </c>
      <c r="N70" s="43">
        <v>482976814.69598299</v>
      </c>
      <c r="P70" s="21">
        <f t="shared" si="10"/>
        <v>599.19033538735994</v>
      </c>
      <c r="Q70" s="162">
        <f t="shared" si="11"/>
        <v>64.836246126910027</v>
      </c>
      <c r="R70" s="21">
        <f t="shared" si="12"/>
        <v>3.3974791057502252</v>
      </c>
      <c r="S70" s="126">
        <f t="shared" si="13"/>
        <v>0.15081141071838114</v>
      </c>
      <c r="T70" s="93">
        <f t="shared" si="14"/>
        <v>23.624130477585915</v>
      </c>
      <c r="U70" s="125">
        <v>0.16803599999999999</v>
      </c>
      <c r="W70" s="157">
        <f t="shared" si="15"/>
        <v>75.134667316403423</v>
      </c>
      <c r="X70" s="164">
        <f t="shared" si="16"/>
        <v>47.712198342757681</v>
      </c>
      <c r="Y70" s="165">
        <f t="shared" si="17"/>
        <v>8.2879744896650891</v>
      </c>
      <c r="Z70" s="126">
        <f t="shared" si="18"/>
        <v>0.80455492331653544</v>
      </c>
      <c r="AA70" s="93">
        <f t="shared" si="19"/>
        <v>15.721140504040036</v>
      </c>
      <c r="AB70" s="125">
        <v>0.11168699999999999</v>
      </c>
      <c r="AC70" s="14" t="s">
        <v>360</v>
      </c>
      <c r="AE70">
        <v>51.624692567852705</v>
      </c>
      <c r="AF70">
        <v>354.30575401135877</v>
      </c>
      <c r="AG70">
        <v>79.116913453662875</v>
      </c>
      <c r="AH70">
        <v>12.509333309079418</v>
      </c>
      <c r="AI70" s="65">
        <v>6.7992999999999998E-2</v>
      </c>
      <c r="AJ70" t="s">
        <v>360</v>
      </c>
      <c r="AL70">
        <v>40.74732601814199</v>
      </c>
      <c r="AM70">
        <v>268.51288658155283</v>
      </c>
      <c r="AN70">
        <v>64.536851012731219</v>
      </c>
      <c r="AO70">
        <v>10.694083960966747</v>
      </c>
      <c r="AP70">
        <v>2.6525900000000002E-2</v>
      </c>
      <c r="AQ70" t="s">
        <v>359</v>
      </c>
    </row>
    <row r="71" spans="5:43" x14ac:dyDescent="0.2">
      <c r="E71" t="s">
        <v>694</v>
      </c>
      <c r="F71" s="43">
        <v>4864461.7121390402</v>
      </c>
      <c r="G71" s="43">
        <v>655773.08872638503</v>
      </c>
      <c r="H71" s="43">
        <v>4213556.3525895001</v>
      </c>
      <c r="I71" s="43">
        <v>453133107.92314303</v>
      </c>
      <c r="J71" s="43"/>
      <c r="K71" s="43">
        <v>5830146.8665910503</v>
      </c>
      <c r="L71" s="43">
        <v>175401.86668604301</v>
      </c>
      <c r="M71" s="43">
        <v>8279497.0402014703</v>
      </c>
      <c r="N71" s="43">
        <v>512710366.62876099</v>
      </c>
      <c r="P71" s="21">
        <f t="shared" si="10"/>
        <v>646.63750927613705</v>
      </c>
      <c r="Q71" s="162">
        <f t="shared" si="11"/>
        <v>71.103252628381028</v>
      </c>
      <c r="R71" s="21">
        <f t="shared" si="12"/>
        <v>3.6915690811492103</v>
      </c>
      <c r="S71" s="126">
        <f t="shared" si="13"/>
        <v>0.15308772353821742</v>
      </c>
      <c r="T71" s="93">
        <f t="shared" si="14"/>
        <v>25.02300489065528</v>
      </c>
      <c r="U71" s="125">
        <v>0.20014899999999999</v>
      </c>
      <c r="W71" s="157">
        <f t="shared" si="15"/>
        <v>28.507674921618939</v>
      </c>
      <c r="X71" s="164">
        <f t="shared" si="16"/>
        <v>22.212190245220434</v>
      </c>
      <c r="Y71" s="165">
        <f t="shared" si="17"/>
        <v>7.2538095431642713</v>
      </c>
      <c r="Z71" s="126">
        <f t="shared" si="18"/>
        <v>0.77347348226925516</v>
      </c>
      <c r="AA71" s="93">
        <f t="shared" si="19"/>
        <v>8.139823730286869</v>
      </c>
      <c r="AB71" s="125">
        <v>2.0110200000000002E-2</v>
      </c>
      <c r="AC71" s="14" t="s">
        <v>360</v>
      </c>
      <c r="AE71">
        <v>62.937580154880045</v>
      </c>
      <c r="AF71">
        <v>426.80819226230682</v>
      </c>
      <c r="AG71">
        <v>83.74175364629113</v>
      </c>
      <c r="AH71">
        <v>13.942335549850938</v>
      </c>
      <c r="AI71" s="65">
        <v>8.3761799999999997E-2</v>
      </c>
      <c r="AJ71" t="s">
        <v>360</v>
      </c>
      <c r="AL71">
        <v>49.165027475731371</v>
      </c>
      <c r="AM71">
        <v>328.07412117980772</v>
      </c>
      <c r="AN71">
        <v>75.882949316307204</v>
      </c>
      <c r="AO71">
        <v>11.105640331427747</v>
      </c>
      <c r="AP71">
        <v>2.52077E-2</v>
      </c>
      <c r="AQ71" t="s">
        <v>359</v>
      </c>
    </row>
    <row r="72" spans="5:43" x14ac:dyDescent="0.2">
      <c r="E72" t="s">
        <v>695</v>
      </c>
      <c r="F72" s="43">
        <v>5010970.7127286103</v>
      </c>
      <c r="G72" s="43">
        <v>658225.50296098005</v>
      </c>
      <c r="H72" s="43">
        <v>3953689.38546872</v>
      </c>
      <c r="I72" s="43">
        <v>462549256.76455498</v>
      </c>
      <c r="J72" s="43"/>
      <c r="K72" s="43">
        <v>5795078.32766442</v>
      </c>
      <c r="L72" s="43">
        <v>177563.595182697</v>
      </c>
      <c r="M72" s="43">
        <v>8341699.0538357701</v>
      </c>
      <c r="N72" s="43">
        <v>508491862.56461799</v>
      </c>
      <c r="P72" s="21">
        <f t="shared" si="10"/>
        <v>579.18413995740877</v>
      </c>
      <c r="Q72" s="162">
        <f t="shared" si="11"/>
        <v>61.637256448677988</v>
      </c>
      <c r="R72" s="21">
        <f t="shared" si="12"/>
        <v>3.476443202718273</v>
      </c>
      <c r="S72" s="126">
        <f t="shared" si="13"/>
        <v>0.14992050036612603</v>
      </c>
      <c r="T72" s="93">
        <f t="shared" si="14"/>
        <v>23.051582112713398</v>
      </c>
      <c r="U72" s="125">
        <v>0.154805</v>
      </c>
      <c r="W72" s="157">
        <f t="shared" si="15"/>
        <v>35.680112196739358</v>
      </c>
      <c r="X72" s="164">
        <f t="shared" si="16"/>
        <v>26.056640391898686</v>
      </c>
      <c r="Y72" s="165">
        <f t="shared" si="17"/>
        <v>7.334780289370368</v>
      </c>
      <c r="Z72" s="126">
        <f t="shared" si="18"/>
        <v>0.77068167145288069</v>
      </c>
      <c r="AA72" s="93">
        <f t="shared" si="19"/>
        <v>9.9840805491239841</v>
      </c>
      <c r="AB72" s="125">
        <v>4.3855699999999997E-2</v>
      </c>
      <c r="AC72" s="14" t="s">
        <v>360</v>
      </c>
      <c r="AE72">
        <v>60.405360074005401</v>
      </c>
      <c r="AF72">
        <v>410.20282627967418</v>
      </c>
      <c r="AG72">
        <v>82.891800000060854</v>
      </c>
      <c r="AH72">
        <v>13.5662254108433</v>
      </c>
      <c r="AI72" s="65">
        <v>8.1532800000000002E-2</v>
      </c>
      <c r="AJ72" t="s">
        <v>360</v>
      </c>
      <c r="AL72">
        <v>52.350376418729709</v>
      </c>
      <c r="AM72">
        <v>343.59113201122983</v>
      </c>
      <c r="AN72">
        <v>75.304998416753037</v>
      </c>
      <c r="AO72">
        <v>11.930829487081294</v>
      </c>
      <c r="AP72">
        <v>4.02041E-2</v>
      </c>
      <c r="AQ72" t="s">
        <v>359</v>
      </c>
    </row>
    <row r="73" spans="5:43" x14ac:dyDescent="0.2">
      <c r="E73" t="s">
        <v>696</v>
      </c>
      <c r="F73" s="43">
        <v>4856342.9677078696</v>
      </c>
      <c r="G73" s="43">
        <v>655560.40983662906</v>
      </c>
      <c r="H73" s="43">
        <v>4227956.7886287002</v>
      </c>
      <c r="I73" s="43">
        <v>452474182.13209403</v>
      </c>
      <c r="J73" s="43"/>
      <c r="K73" s="43">
        <v>5918392.8709089998</v>
      </c>
      <c r="L73" s="43">
        <v>168288.98311644301</v>
      </c>
      <c r="M73" s="43">
        <v>8122972.7214882895</v>
      </c>
      <c r="N73" s="43">
        <v>508474552.363123</v>
      </c>
      <c r="P73" s="21">
        <f t="shared" si="10"/>
        <v>651.0282388881451</v>
      </c>
      <c r="Q73" s="162">
        <f t="shared" si="11"/>
        <v>69.436605065162453</v>
      </c>
      <c r="R73" s="21">
        <f t="shared" si="12"/>
        <v>3.6607094712261072</v>
      </c>
      <c r="S73" s="126">
        <f t="shared" si="13"/>
        <v>0.15336239227009299</v>
      </c>
      <c r="T73" s="93">
        <f t="shared" si="14"/>
        <v>25.171400015507952</v>
      </c>
      <c r="U73" s="125">
        <v>0.20321400000000001</v>
      </c>
      <c r="W73" s="157">
        <f t="shared" si="15"/>
        <v>35.162623994823491</v>
      </c>
      <c r="X73" s="164">
        <f t="shared" si="16"/>
        <v>25.483474087122133</v>
      </c>
      <c r="Y73" s="165">
        <f t="shared" si="17"/>
        <v>7.0331473718084156</v>
      </c>
      <c r="Z73" s="126">
        <f t="shared" si="18"/>
        <v>0.78265956891980226</v>
      </c>
      <c r="AA73" s="93">
        <f t="shared" si="19"/>
        <v>10.605443639125358</v>
      </c>
      <c r="AB73" s="125">
        <v>1.9006800000000001E-2</v>
      </c>
      <c r="AC73" s="14" t="s">
        <v>119</v>
      </c>
      <c r="AE73">
        <v>91.150777413234749</v>
      </c>
      <c r="AF73">
        <v>594.13864041290071</v>
      </c>
      <c r="AG73">
        <v>90.276412604914697</v>
      </c>
      <c r="AH73">
        <v>17.810464149887121</v>
      </c>
      <c r="AI73" s="65">
        <v>0.150726</v>
      </c>
      <c r="AJ73" t="s">
        <v>360</v>
      </c>
      <c r="AL73">
        <v>41.067420583498695</v>
      </c>
      <c r="AM73">
        <v>283.26652022594413</v>
      </c>
      <c r="AN73">
        <v>73.378510564809503</v>
      </c>
      <c r="AO73">
        <v>9.6662182579844966</v>
      </c>
      <c r="AP73">
        <v>7.79059E-3</v>
      </c>
      <c r="AQ73" t="s">
        <v>359</v>
      </c>
    </row>
    <row r="74" spans="5:43" x14ac:dyDescent="0.2">
      <c r="E74" t="s">
        <v>697</v>
      </c>
      <c r="F74" s="43">
        <v>4942706.4746543802</v>
      </c>
      <c r="G74" s="43">
        <v>657273.28119742405</v>
      </c>
      <c r="H74" s="43">
        <v>4074771.5062925201</v>
      </c>
      <c r="I74" s="43">
        <v>458339927.07020903</v>
      </c>
      <c r="J74" s="43"/>
      <c r="K74" s="43">
        <v>5615657.0167584298</v>
      </c>
      <c r="L74" s="43">
        <v>158152.066933066</v>
      </c>
      <c r="M74" s="43">
        <v>8659943.4737304393</v>
      </c>
      <c r="N74" s="43">
        <v>497687963.31199098</v>
      </c>
      <c r="P74" s="21">
        <f t="shared" si="10"/>
        <v>610.43759277105721</v>
      </c>
      <c r="Q74" s="162">
        <f t="shared" si="11"/>
        <v>63.268543627350887</v>
      </c>
      <c r="R74" s="21">
        <f t="shared" si="12"/>
        <v>3.4700332085621977</v>
      </c>
      <c r="S74" s="126">
        <f t="shared" si="13"/>
        <v>0.15115026766724529</v>
      </c>
      <c r="T74" s="93">
        <f t="shared" si="14"/>
        <v>23.934583964797532</v>
      </c>
      <c r="U74" s="125">
        <v>0.17494699999999999</v>
      </c>
      <c r="W74" s="157">
        <f t="shared" si="15"/>
        <v>52.090328802149095</v>
      </c>
      <c r="X74" s="164">
        <f t="shared" si="16"/>
        <v>34.707251288352332</v>
      </c>
      <c r="Y74" s="165">
        <f t="shared" si="17"/>
        <v>7.3747181631437586</v>
      </c>
      <c r="Z74" s="126">
        <f t="shared" si="18"/>
        <v>0.79575110760712431</v>
      </c>
      <c r="AA74" s="93">
        <f t="shared" si="19"/>
        <v>13.88221202586681</v>
      </c>
      <c r="AB74" s="125">
        <v>6.1947099999999998E-2</v>
      </c>
      <c r="AC74" s="14" t="s">
        <v>119</v>
      </c>
      <c r="AE74">
        <v>31.642692925024281</v>
      </c>
      <c r="AF74">
        <v>237.47694835383726</v>
      </c>
      <c r="AG74">
        <v>71.747871545675196</v>
      </c>
      <c r="AH74">
        <v>9.2261122358512608</v>
      </c>
      <c r="AI74" s="65">
        <v>3.08469E-2</v>
      </c>
      <c r="AJ74" t="s">
        <v>360</v>
      </c>
      <c r="AL74">
        <v>50.16320683206763</v>
      </c>
      <c r="AM74">
        <v>335.64567196415959</v>
      </c>
      <c r="AN74">
        <v>77.024560916446092</v>
      </c>
      <c r="AO74">
        <v>11.358699855817965</v>
      </c>
      <c r="AP74">
        <v>3.0506399999999999E-2</v>
      </c>
      <c r="AQ74" t="s">
        <v>359</v>
      </c>
    </row>
    <row r="75" spans="5:43" x14ac:dyDescent="0.2">
      <c r="E75" t="s">
        <v>698</v>
      </c>
      <c r="F75" s="43">
        <v>4802723.6157943103</v>
      </c>
      <c r="G75" s="43">
        <v>653832.00859246403</v>
      </c>
      <c r="H75" s="43">
        <v>4323062.8797540599</v>
      </c>
      <c r="I75" s="43">
        <v>448603254.208287</v>
      </c>
      <c r="J75" s="43"/>
      <c r="K75" s="43">
        <v>4853930.0180548299</v>
      </c>
      <c r="L75" s="43">
        <v>148000.33484329301</v>
      </c>
      <c r="M75" s="43">
        <v>10011039.202529</v>
      </c>
      <c r="N75" s="43">
        <v>475377214.46227002</v>
      </c>
      <c r="P75" s="21">
        <f t="shared" si="10"/>
        <v>673.81811052797696</v>
      </c>
      <c r="Q75" s="162">
        <f t="shared" si="11"/>
        <v>73.13503807937019</v>
      </c>
      <c r="R75" s="21">
        <f t="shared" si="12"/>
        <v>3.6218032956854174</v>
      </c>
      <c r="S75" s="126">
        <f t="shared" si="13"/>
        <v>0.15559457327523019</v>
      </c>
      <c r="T75" s="93">
        <f t="shared" si="14"/>
        <v>25.9782142791985</v>
      </c>
      <c r="U75" s="125">
        <v>0.22154199999999999</v>
      </c>
      <c r="W75" s="157">
        <f t="shared" si="15"/>
        <v>86.868530016031627</v>
      </c>
      <c r="X75" s="164">
        <f t="shared" si="16"/>
        <v>53.968260277761196</v>
      </c>
      <c r="Y75" s="165">
        <f t="shared" si="17"/>
        <v>8.3871125138522533</v>
      </c>
      <c r="Z75" s="126">
        <f t="shared" si="18"/>
        <v>0.80886178061579816</v>
      </c>
      <c r="AA75" s="93">
        <f t="shared" si="19"/>
        <v>17.700453520573529</v>
      </c>
      <c r="AB75" s="125">
        <v>0.151036</v>
      </c>
      <c r="AC75" s="14" t="s">
        <v>360</v>
      </c>
      <c r="AE75">
        <v>62.624425380648979</v>
      </c>
      <c r="AF75">
        <v>420.43491535184648</v>
      </c>
      <c r="AG75">
        <v>82.788141031371495</v>
      </c>
      <c r="AH75">
        <v>14.028597113216172</v>
      </c>
      <c r="AI75" s="65">
        <v>8.9598499999999998E-2</v>
      </c>
      <c r="AJ75" t="s">
        <v>360</v>
      </c>
      <c r="AL75">
        <v>59.342647273989449</v>
      </c>
      <c r="AM75">
        <v>380.68453296438679</v>
      </c>
      <c r="AN75">
        <v>76.397428971062368</v>
      </c>
      <c r="AO75">
        <v>13.206985069544894</v>
      </c>
      <c r="AP75">
        <v>5.7788100000000002E-2</v>
      </c>
      <c r="AQ75" t="s">
        <v>359</v>
      </c>
    </row>
    <row r="76" spans="5:43" x14ac:dyDescent="0.2">
      <c r="E76" t="s">
        <v>699</v>
      </c>
      <c r="F76" s="43">
        <v>4962433.9860409005</v>
      </c>
      <c r="G76" s="43">
        <v>657723.35503541504</v>
      </c>
      <c r="H76" s="43">
        <v>4039780.2871030802</v>
      </c>
      <c r="I76" s="43">
        <v>459442495.41646999</v>
      </c>
      <c r="J76" s="43"/>
      <c r="K76" s="43">
        <v>5387243.3973747296</v>
      </c>
      <c r="L76" s="43">
        <v>160856.46934434099</v>
      </c>
      <c r="M76" s="43">
        <v>9065086.8729718793</v>
      </c>
      <c r="N76" s="43">
        <v>500277531.87507898</v>
      </c>
      <c r="P76" s="21">
        <f t="shared" si="10"/>
        <v>603.33709996329583</v>
      </c>
      <c r="Q76" s="162">
        <f t="shared" si="11"/>
        <v>62.674526481790245</v>
      </c>
      <c r="R76" s="21">
        <f t="shared" si="12"/>
        <v>3.4554012700501811</v>
      </c>
      <c r="S76" s="126">
        <f t="shared" si="13"/>
        <v>0.15056901011755056</v>
      </c>
      <c r="T76" s="93">
        <f t="shared" si="14"/>
        <v>23.721987760162708</v>
      </c>
      <c r="U76" s="125">
        <v>0.17032</v>
      </c>
      <c r="W76" s="157">
        <f t="shared" si="15"/>
        <v>48.098676398930735</v>
      </c>
      <c r="X76" s="164">
        <f t="shared" si="16"/>
        <v>32.991822997176421</v>
      </c>
      <c r="Y76" s="165">
        <f t="shared" si="17"/>
        <v>7.7537664100154053</v>
      </c>
      <c r="Z76" s="126">
        <f t="shared" si="18"/>
        <v>0.79225844887809671</v>
      </c>
      <c r="AA76" s="93">
        <f t="shared" si="19"/>
        <v>11.614699963403588</v>
      </c>
      <c r="AB76" s="125">
        <v>4.6265199999999999E-2</v>
      </c>
      <c r="AC76" s="14" t="s">
        <v>360</v>
      </c>
      <c r="AE76">
        <v>35.38071037998585</v>
      </c>
      <c r="AF76">
        <v>261.09405620171054</v>
      </c>
      <c r="AG76">
        <v>74.531667905879416</v>
      </c>
      <c r="AH76">
        <v>9.6098857510653009</v>
      </c>
      <c r="AI76" s="65">
        <v>3.5498000000000002E-2</v>
      </c>
      <c r="AJ76" t="s">
        <v>360</v>
      </c>
      <c r="AL76">
        <v>19.064122406885499</v>
      </c>
      <c r="AM76">
        <v>144.00653222087135</v>
      </c>
      <c r="AN76">
        <v>51.242136412647667</v>
      </c>
      <c r="AO76">
        <v>6.3079780069147979</v>
      </c>
      <c r="AP76">
        <v>2.50761E-3</v>
      </c>
      <c r="AQ76" t="s">
        <v>359</v>
      </c>
    </row>
    <row r="77" spans="5:43" x14ac:dyDescent="0.2">
      <c r="E77" t="s">
        <v>700</v>
      </c>
      <c r="F77" s="43">
        <v>4866615.1507620104</v>
      </c>
      <c r="G77" s="43">
        <v>655511.67329738196</v>
      </c>
      <c r="H77" s="43">
        <v>4209736.7404047204</v>
      </c>
      <c r="I77" s="43">
        <v>453447849.49772203</v>
      </c>
      <c r="J77" s="43"/>
      <c r="K77" s="43">
        <v>4948424.0208683396</v>
      </c>
      <c r="L77" s="43">
        <v>151587.99052461601</v>
      </c>
      <c r="M77" s="43">
        <v>9843432.6403148994</v>
      </c>
      <c r="N77" s="43">
        <v>483593152.44384003</v>
      </c>
      <c r="P77" s="21">
        <f t="shared" si="10"/>
        <v>642.5652258082531</v>
      </c>
      <c r="Q77" s="162">
        <f t="shared" si="11"/>
        <v>68.515398389457943</v>
      </c>
      <c r="R77" s="21">
        <f t="shared" si="12"/>
        <v>3.5471792948818734</v>
      </c>
      <c r="S77" s="126">
        <f t="shared" si="13"/>
        <v>0.1534253341231672</v>
      </c>
      <c r="T77" s="93">
        <f t="shared" si="14"/>
        <v>24.937787270185222</v>
      </c>
      <c r="U77" s="125">
        <v>0.197801</v>
      </c>
      <c r="W77" s="157">
        <f t="shared" si="15"/>
        <v>74.175423248463858</v>
      </c>
      <c r="X77" s="164">
        <f t="shared" si="16"/>
        <v>47.215100128916156</v>
      </c>
      <c r="Y77" s="165">
        <f t="shared" si="17"/>
        <v>8.2942052212349484</v>
      </c>
      <c r="Z77" s="126">
        <f t="shared" si="18"/>
        <v>0.80422842543171869</v>
      </c>
      <c r="AA77" s="93">
        <f t="shared" si="19"/>
        <v>15.504144572830853</v>
      </c>
      <c r="AB77" s="125">
        <v>0.10842599999999999</v>
      </c>
      <c r="AC77" s="14" t="s">
        <v>360</v>
      </c>
      <c r="AE77">
        <v>92.242552714678254</v>
      </c>
      <c r="AF77">
        <v>598.42645499373907</v>
      </c>
      <c r="AG77">
        <v>89.802139306509233</v>
      </c>
      <c r="AH77">
        <v>18.15034367504067</v>
      </c>
      <c r="AI77" s="65">
        <v>0.161498</v>
      </c>
      <c r="AJ77" t="s">
        <v>360</v>
      </c>
    </row>
    <row r="78" spans="5:43" x14ac:dyDescent="0.2">
      <c r="E78" t="s">
        <v>701</v>
      </c>
      <c r="F78" s="43">
        <v>4960380.4528972805</v>
      </c>
      <c r="G78" s="43">
        <v>657454.70717555203</v>
      </c>
      <c r="H78" s="43">
        <v>4043422.69424371</v>
      </c>
      <c r="I78" s="43">
        <v>459140737.69912499</v>
      </c>
      <c r="J78" s="43"/>
      <c r="K78" s="43">
        <v>5222945.41833694</v>
      </c>
      <c r="L78" s="43">
        <v>157463.87254206001</v>
      </c>
      <c r="M78" s="43">
        <v>9356506.6311083101</v>
      </c>
      <c r="N78" s="43">
        <v>493820451.21774203</v>
      </c>
      <c r="P78" s="21">
        <f t="shared" si="10"/>
        <v>604.53235493850889</v>
      </c>
      <c r="Q78" s="162">
        <f t="shared" si="11"/>
        <v>67.039078312508181</v>
      </c>
      <c r="R78" s="21">
        <f t="shared" si="12"/>
        <v>3.4394952735277116</v>
      </c>
      <c r="S78" s="126">
        <f t="shared" si="13"/>
        <v>0.15091596118107323</v>
      </c>
      <c r="T78" s="93">
        <f t="shared" si="14"/>
        <v>23.807265440700217</v>
      </c>
      <c r="U78" s="125">
        <v>0.17175799999999999</v>
      </c>
      <c r="W78" s="157">
        <f t="shared" si="15"/>
        <v>58.302024710576532</v>
      </c>
      <c r="X78" s="164">
        <f t="shared" si="16"/>
        <v>38.550912545447609</v>
      </c>
      <c r="Y78" s="165">
        <f t="shared" si="17"/>
        <v>7.9590146190360258</v>
      </c>
      <c r="Z78" s="126">
        <f t="shared" si="18"/>
        <v>0.79663989107255606</v>
      </c>
      <c r="AA78" s="93">
        <f t="shared" si="19"/>
        <v>13.296499228851502</v>
      </c>
      <c r="AB78" s="125">
        <v>7.3102299999999995E-2</v>
      </c>
      <c r="AC78" s="14" t="s">
        <v>360</v>
      </c>
      <c r="AE78">
        <v>57.153811926163449</v>
      </c>
      <c r="AF78">
        <v>389.76615037397283</v>
      </c>
      <c r="AG78">
        <v>81.439174251395613</v>
      </c>
      <c r="AH78">
        <v>13.228411516463394</v>
      </c>
      <c r="AI78" s="65">
        <v>7.1151800000000001E-2</v>
      </c>
      <c r="AJ78" t="s">
        <v>360</v>
      </c>
    </row>
    <row r="79" spans="5:43" x14ac:dyDescent="0.2">
      <c r="E79" t="s">
        <v>702</v>
      </c>
      <c r="F79" s="43">
        <v>4974681.55670097</v>
      </c>
      <c r="G79" s="43">
        <v>657997.14308769803</v>
      </c>
      <c r="H79" s="43">
        <v>4018056.4405870098</v>
      </c>
      <c r="I79" s="43">
        <v>460341121.21886998</v>
      </c>
      <c r="J79" s="43"/>
      <c r="K79" s="43">
        <v>6202955.9653254002</v>
      </c>
      <c r="L79" s="43">
        <v>189739.72334814901</v>
      </c>
      <c r="M79" s="43">
        <v>7160857.0052004699</v>
      </c>
      <c r="N79" s="43">
        <v>520369821.94310802</v>
      </c>
      <c r="P79" s="21">
        <f t="shared" si="10"/>
        <v>597.03138254705698</v>
      </c>
      <c r="Q79" s="162">
        <f t="shared" si="11"/>
        <v>64.921974150633659</v>
      </c>
      <c r="R79" s="21">
        <f t="shared" si="12"/>
        <v>3.6066308945252801</v>
      </c>
      <c r="S79" s="126">
        <f t="shared" si="13"/>
        <v>0.15021542064184126</v>
      </c>
      <c r="T79" s="93">
        <f t="shared" si="14"/>
        <v>23.516064687005336</v>
      </c>
      <c r="U79" s="125">
        <v>0.16584699999999999</v>
      </c>
      <c r="W79" s="157">
        <f t="shared" si="15"/>
        <v>16.104187872380407</v>
      </c>
      <c r="X79" s="164">
        <f t="shared" si="16"/>
        <v>14.877722423323302</v>
      </c>
      <c r="Y79" s="165">
        <f t="shared" si="17"/>
        <v>6.4276270102519284</v>
      </c>
      <c r="Z79" s="126">
        <f t="shared" si="18"/>
        <v>0.75495654854013494</v>
      </c>
      <c r="AA79" s="93">
        <f t="shared" si="19"/>
        <v>5.4583085790109127</v>
      </c>
      <c r="AB79" s="125">
        <v>1.11328E-2</v>
      </c>
      <c r="AC79" s="14" t="s">
        <v>360</v>
      </c>
      <c r="AE79">
        <v>96.159187712792516</v>
      </c>
      <c r="AF79">
        <v>624.29145597080753</v>
      </c>
      <c r="AG79">
        <v>90.908927877201421</v>
      </c>
      <c r="AH79">
        <v>18.619246126263981</v>
      </c>
      <c r="AI79" s="65">
        <v>0.16913600000000001</v>
      </c>
      <c r="AJ79" t="s">
        <v>360</v>
      </c>
    </row>
    <row r="80" spans="5:43" x14ac:dyDescent="0.2">
      <c r="E80" t="s">
        <v>703</v>
      </c>
      <c r="F80" s="43">
        <v>4877337.5660090297</v>
      </c>
      <c r="G80" s="43">
        <v>655764.82793844305</v>
      </c>
      <c r="H80" s="43">
        <v>4190718.1031930801</v>
      </c>
      <c r="I80" s="43">
        <v>453637517.22731501</v>
      </c>
      <c r="J80" s="43"/>
      <c r="K80" s="43">
        <v>5627486.6381283104</v>
      </c>
      <c r="L80" s="43">
        <v>180583.67071214499</v>
      </c>
      <c r="M80" s="43">
        <v>8544483.84766699</v>
      </c>
      <c r="N80" s="43">
        <v>506070865.779661</v>
      </c>
      <c r="P80" s="21">
        <f t="shared" si="10"/>
        <v>642.33747093102124</v>
      </c>
      <c r="Q80" s="162">
        <f t="shared" si="11"/>
        <v>68.751345634165446</v>
      </c>
      <c r="R80" s="21">
        <f t="shared" si="12"/>
        <v>3.7036039666121292</v>
      </c>
      <c r="S80" s="126">
        <f t="shared" si="13"/>
        <v>0.15309839211068799</v>
      </c>
      <c r="T80" s="93">
        <f t="shared" si="14"/>
        <v>24.963268264501959</v>
      </c>
      <c r="U80" s="125">
        <v>0.197521</v>
      </c>
      <c r="W80" s="157">
        <f t="shared" si="15"/>
        <v>39.939231358852794</v>
      </c>
      <c r="X80" s="164">
        <f t="shared" si="16"/>
        <v>28.507983734101231</v>
      </c>
      <c r="Y80" s="165">
        <f t="shared" si="17"/>
        <v>7.5513034977849776</v>
      </c>
      <c r="Z80" s="126">
        <f t="shared" si="18"/>
        <v>0.76678132987787206</v>
      </c>
      <c r="AA80" s="93">
        <f t="shared" si="19"/>
        <v>10.309161967253706</v>
      </c>
      <c r="AB80" s="125">
        <v>4.5854899999999997E-2</v>
      </c>
      <c r="AC80" s="14" t="s">
        <v>360</v>
      </c>
      <c r="AE80">
        <v>59.250521950971446</v>
      </c>
      <c r="AF80">
        <v>401.79295166044642</v>
      </c>
      <c r="AG80">
        <v>81.503044828801677</v>
      </c>
      <c r="AH80">
        <v>13.720469956049403</v>
      </c>
      <c r="AI80" s="65">
        <v>7.65787E-2</v>
      </c>
      <c r="AJ80" t="s">
        <v>360</v>
      </c>
    </row>
    <row r="81" spans="5:36" x14ac:dyDescent="0.2">
      <c r="E81" t="s">
        <v>704</v>
      </c>
      <c r="F81" s="43">
        <v>4900806.37441207</v>
      </c>
      <c r="G81" s="43">
        <v>656465.36231268197</v>
      </c>
      <c r="H81" s="43">
        <v>4149090.84454621</v>
      </c>
      <c r="I81" s="43">
        <v>455244958.58056098</v>
      </c>
      <c r="J81" s="43"/>
      <c r="K81" s="43">
        <v>5293011.8816506099</v>
      </c>
      <c r="L81" s="43">
        <v>161173.53025400499</v>
      </c>
      <c r="M81" s="43">
        <v>9232227.8547537308</v>
      </c>
      <c r="N81" s="43">
        <v>496168242.29185098</v>
      </c>
      <c r="P81" s="21">
        <f t="shared" si="10"/>
        <v>632.51558383272197</v>
      </c>
      <c r="Q81" s="162">
        <f t="shared" si="11"/>
        <v>81.594890258012185</v>
      </c>
      <c r="R81" s="21">
        <f t="shared" si="12"/>
        <v>3.5507345651931059</v>
      </c>
      <c r="S81" s="126">
        <f t="shared" si="13"/>
        <v>0.15219367190818825</v>
      </c>
      <c r="T81" s="93">
        <f t="shared" si="14"/>
        <v>24.625763079660572</v>
      </c>
      <c r="U81" s="125">
        <v>0.19026100000000001</v>
      </c>
      <c r="W81" s="157">
        <f t="shared" si="15"/>
        <v>54.82562296086089</v>
      </c>
      <c r="X81" s="164">
        <f t="shared" si="16"/>
        <v>36.668593623873669</v>
      </c>
      <c r="Y81" s="165">
        <f t="shared" si="17"/>
        <v>7.900812921631263</v>
      </c>
      <c r="Z81" s="126">
        <f t="shared" si="18"/>
        <v>0.79184897373891083</v>
      </c>
      <c r="AA81" s="93">
        <f t="shared" si="19"/>
        <v>12.758990868596625</v>
      </c>
      <c r="AB81" s="125">
        <v>6.5026899999999999E-2</v>
      </c>
      <c r="AC81" s="14" t="s">
        <v>360</v>
      </c>
      <c r="AE81">
        <v>70.707209321177913</v>
      </c>
      <c r="AF81">
        <v>471.16292527555845</v>
      </c>
      <c r="AG81">
        <v>85.496335530773877</v>
      </c>
      <c r="AH81">
        <v>15.067866534465431</v>
      </c>
      <c r="AI81" s="65">
        <v>9.9195599999999995E-2</v>
      </c>
      <c r="AJ81" t="s">
        <v>360</v>
      </c>
    </row>
    <row r="82" spans="5:36" x14ac:dyDescent="0.2">
      <c r="E82" t="s">
        <v>705</v>
      </c>
      <c r="F82" s="43">
        <v>4980551.6032106401</v>
      </c>
      <c r="G82" s="43">
        <v>657967.71936859598</v>
      </c>
      <c r="H82" s="43">
        <v>4007644.58072046</v>
      </c>
      <c r="I82" s="43">
        <v>460618977.06361097</v>
      </c>
      <c r="J82" s="43"/>
      <c r="K82" s="43">
        <v>6583996.5734622199</v>
      </c>
      <c r="L82" s="43">
        <v>268289.82106636802</v>
      </c>
      <c r="M82" s="43">
        <v>3371651.3694377202</v>
      </c>
      <c r="N82" s="43">
        <v>525029256.64002597</v>
      </c>
      <c r="P82" s="21">
        <f t="shared" si="10"/>
        <v>594.49213889635848</v>
      </c>
      <c r="Q82" s="162">
        <f t="shared" si="11"/>
        <v>62.634378563321157</v>
      </c>
      <c r="R82" s="21">
        <f t="shared" si="12"/>
        <v>4.1556953046989635</v>
      </c>
      <c r="S82" s="126">
        <f t="shared" si="13"/>
        <v>0.1502534205374684</v>
      </c>
      <c r="T82" s="93">
        <f t="shared" si="14"/>
        <v>23.468623326228549</v>
      </c>
      <c r="U82" s="125">
        <v>0.164216</v>
      </c>
      <c r="W82" s="157">
        <f t="shared" si="15"/>
        <v>9.3960647759430795</v>
      </c>
      <c r="X82" s="164">
        <f t="shared" si="16"/>
        <v>8.426455418635113</v>
      </c>
      <c r="Y82" s="165">
        <f t="shared" si="17"/>
        <v>3.4962071817594382</v>
      </c>
      <c r="Z82" s="126">
        <f t="shared" si="18"/>
        <v>0.6535113333910435</v>
      </c>
      <c r="AA82" s="93">
        <f t="shared" si="19"/>
        <v>3.5385030736647396</v>
      </c>
      <c r="AB82" s="125">
        <v>2.5029900000000001E-3</v>
      </c>
      <c r="AC82" s="14" t="s">
        <v>120</v>
      </c>
      <c r="AE82">
        <v>80.736665818035632</v>
      </c>
      <c r="AF82">
        <v>530.39170789786715</v>
      </c>
      <c r="AG82">
        <v>87.967607997876001</v>
      </c>
      <c r="AH82">
        <v>16.39301924081753</v>
      </c>
      <c r="AI82" s="65">
        <v>0.123627</v>
      </c>
      <c r="AJ82" t="s">
        <v>360</v>
      </c>
    </row>
    <row r="83" spans="5:36" x14ac:dyDescent="0.2">
      <c r="E83" t="s">
        <v>706</v>
      </c>
      <c r="F83" s="43">
        <v>4934825.2088177903</v>
      </c>
      <c r="G83" s="43">
        <v>657175.26910556899</v>
      </c>
      <c r="H83" s="43">
        <v>4088750.7201414001</v>
      </c>
      <c r="I83" s="43">
        <v>457775773.064578</v>
      </c>
      <c r="J83" s="43"/>
      <c r="K83" s="43">
        <v>5303899.2341182502</v>
      </c>
      <c r="L83" s="43">
        <v>161313.92123492801</v>
      </c>
      <c r="M83" s="43">
        <v>9212916.6639439296</v>
      </c>
      <c r="N83" s="43">
        <v>498016321.130283</v>
      </c>
      <c r="P83" s="21">
        <f t="shared" si="10"/>
        <v>614.74307483853374</v>
      </c>
      <c r="Q83" s="162">
        <f t="shared" si="11"/>
        <v>78.036715451618846</v>
      </c>
      <c r="R83" s="21">
        <f t="shared" si="12"/>
        <v>3.4998976985008587</v>
      </c>
      <c r="S83" s="126">
        <f t="shared" si="13"/>
        <v>0.15127684749380535</v>
      </c>
      <c r="T83" s="93">
        <f t="shared" si="14"/>
        <v>24.06005615983802</v>
      </c>
      <c r="U83" s="125">
        <v>0.17768400000000001</v>
      </c>
      <c r="W83" s="157">
        <f t="shared" si="15"/>
        <v>51.823352138174513</v>
      </c>
      <c r="X83" s="164">
        <f t="shared" si="16"/>
        <v>35.078539052286068</v>
      </c>
      <c r="Y83" s="165">
        <f t="shared" si="17"/>
        <v>7.8860923630733053</v>
      </c>
      <c r="Z83" s="126">
        <f t="shared" si="18"/>
        <v>0.79166766278350209</v>
      </c>
      <c r="AA83" s="93">
        <f t="shared" si="19"/>
        <v>12.10757526092477</v>
      </c>
      <c r="AB83" s="125">
        <v>5.6523799999999999E-2</v>
      </c>
      <c r="AC83" s="14" t="s">
        <v>360</v>
      </c>
      <c r="AE83">
        <v>100.44566825702238</v>
      </c>
      <c r="AF83">
        <v>650.32881113082669</v>
      </c>
      <c r="AG83">
        <v>91.900098650756377</v>
      </c>
      <c r="AH83">
        <v>19.12057462987822</v>
      </c>
      <c r="AI83" s="65">
        <v>0.181426</v>
      </c>
      <c r="AJ83" t="s">
        <v>360</v>
      </c>
    </row>
    <row r="84" spans="5:36" x14ac:dyDescent="0.2">
      <c r="E84" t="s">
        <v>707</v>
      </c>
      <c r="F84" s="43">
        <v>4953497.1801829599</v>
      </c>
      <c r="G84" s="43">
        <v>657584.00142435695</v>
      </c>
      <c r="H84" s="43">
        <v>4055631.74076602</v>
      </c>
      <c r="I84" s="43">
        <v>458872611.95534599</v>
      </c>
      <c r="J84" s="43"/>
      <c r="K84" s="43">
        <v>6425919.0184255699</v>
      </c>
      <c r="L84" s="43">
        <v>262639.98559045902</v>
      </c>
      <c r="M84" s="43">
        <v>3875969.7784219598</v>
      </c>
      <c r="N84" s="43">
        <v>521925537.37570602</v>
      </c>
      <c r="P84" s="21">
        <f t="shared" si="10"/>
        <v>607.49901831798093</v>
      </c>
      <c r="Q84" s="162">
        <f t="shared" si="11"/>
        <v>62.155173810831634</v>
      </c>
      <c r="R84" s="21">
        <f t="shared" si="12"/>
        <v>4.1590188253819802</v>
      </c>
      <c r="S84" s="126">
        <f t="shared" si="13"/>
        <v>0.15074898133930897</v>
      </c>
      <c r="T84" s="93">
        <f t="shared" si="14"/>
        <v>23.842318459790491</v>
      </c>
      <c r="U84" s="125">
        <v>0.17272699999999999</v>
      </c>
      <c r="W84" s="157">
        <f t="shared" si="15"/>
        <v>15.35816893107093</v>
      </c>
      <c r="X84" s="164">
        <f t="shared" si="16"/>
        <v>12.033425590411591</v>
      </c>
      <c r="Y84" s="165">
        <f t="shared" si="17"/>
        <v>3.9747768795259986</v>
      </c>
      <c r="Z84" s="126">
        <f t="shared" si="18"/>
        <v>0.66080793507658953</v>
      </c>
      <c r="AA84" s="93">
        <f t="shared" si="19"/>
        <v>5.2327627956506433</v>
      </c>
      <c r="AB84" s="125">
        <v>6.0363600000000002E-3</v>
      </c>
      <c r="AC84" s="14" t="s">
        <v>120</v>
      </c>
      <c r="AE84">
        <v>75.90150494765065</v>
      </c>
      <c r="AF84">
        <v>502.57531638970818</v>
      </c>
      <c r="AG84">
        <v>86.642074796339571</v>
      </c>
      <c r="AH84">
        <v>15.850358193718279</v>
      </c>
      <c r="AI84" s="65">
        <v>0.115615</v>
      </c>
      <c r="AJ84" t="s">
        <v>360</v>
      </c>
    </row>
    <row r="85" spans="5:36" x14ac:dyDescent="0.2">
      <c r="E85" t="s">
        <v>708</v>
      </c>
      <c r="F85" s="43">
        <v>5009884.6851457804</v>
      </c>
      <c r="G85" s="43">
        <v>658206.41075337701</v>
      </c>
      <c r="H85" s="43">
        <v>3955615.7018931201</v>
      </c>
      <c r="I85" s="43">
        <v>462470956.577815</v>
      </c>
      <c r="J85" s="43"/>
      <c r="K85" s="43">
        <v>4576887.2049530502</v>
      </c>
      <c r="L85" s="43">
        <v>141439.905075141</v>
      </c>
      <c r="M85" s="43">
        <v>10502437.5146713</v>
      </c>
      <c r="N85" s="43">
        <v>464821992.66792202</v>
      </c>
      <c r="P85" s="21">
        <f t="shared" si="10"/>
        <v>579.76329500120266</v>
      </c>
      <c r="Q85" s="162">
        <f t="shared" si="11"/>
        <v>62.093050643303279</v>
      </c>
      <c r="R85" s="21">
        <f t="shared" si="12"/>
        <v>3.2796080397872793</v>
      </c>
      <c r="S85" s="126">
        <f t="shared" si="13"/>
        <v>0.14994515740875519</v>
      </c>
      <c r="T85" s="93">
        <f t="shared" si="14"/>
        <v>23.06983756042651</v>
      </c>
      <c r="U85" s="125">
        <v>0.155253</v>
      </c>
      <c r="W85" s="157">
        <f t="shared" si="15"/>
        <v>102.64636296101722</v>
      </c>
      <c r="X85" s="164">
        <f t="shared" si="16"/>
        <v>62.567589817155572</v>
      </c>
      <c r="Y85" s="165">
        <f t="shared" si="17"/>
        <v>8.7075896917880602</v>
      </c>
      <c r="Z85" s="126">
        <f t="shared" si="18"/>
        <v>0.81733438890825516</v>
      </c>
      <c r="AA85" s="93">
        <f t="shared" si="19"/>
        <v>19.387054406805703</v>
      </c>
      <c r="AB85" s="125">
        <v>0.185418</v>
      </c>
      <c r="AC85" s="14" t="s">
        <v>360</v>
      </c>
      <c r="AE85">
        <v>23.014055860696814</v>
      </c>
      <c r="AF85">
        <v>188.33125597707161</v>
      </c>
      <c r="AG85">
        <v>68.168735839877229</v>
      </c>
      <c r="AH85">
        <v>7.3681975487482312</v>
      </c>
      <c r="AI85" s="65">
        <v>1.7720199999999998E-2</v>
      </c>
      <c r="AJ85" t="s">
        <v>360</v>
      </c>
    </row>
    <row r="86" spans="5:36" x14ac:dyDescent="0.2">
      <c r="E86" t="s">
        <v>709</v>
      </c>
      <c r="F86" s="43">
        <v>4816045.1770913703</v>
      </c>
      <c r="G86" s="43">
        <v>654534.04140769702</v>
      </c>
      <c r="H86" s="43">
        <v>4299434.0670691803</v>
      </c>
      <c r="I86" s="43">
        <v>449754642.676642</v>
      </c>
      <c r="J86" s="43"/>
      <c r="K86" s="43">
        <v>5681619.9555011801</v>
      </c>
      <c r="L86" s="43">
        <v>172059.53578841401</v>
      </c>
      <c r="M86" s="43">
        <v>8542943.2296193503</v>
      </c>
      <c r="N86" s="43">
        <v>504901296.99307603</v>
      </c>
      <c r="P86" s="21">
        <f t="shared" si="10"/>
        <v>668.1546778779832</v>
      </c>
      <c r="Q86" s="162">
        <f t="shared" si="11"/>
        <v>76.815354886007015</v>
      </c>
      <c r="R86" s="21">
        <f t="shared" si="12"/>
        <v>3.7459032508753509</v>
      </c>
      <c r="S86" s="126">
        <f t="shared" si="13"/>
        <v>0.15468791787884212</v>
      </c>
      <c r="T86" s="93">
        <f t="shared" si="14"/>
        <v>25.719405022404008</v>
      </c>
      <c r="U86" s="125">
        <v>0.215672</v>
      </c>
      <c r="W86" s="157">
        <f t="shared" si="15"/>
        <v>41.315935433575092</v>
      </c>
      <c r="X86" s="164">
        <f t="shared" si="16"/>
        <v>29.122138009918899</v>
      </c>
      <c r="Y86" s="165">
        <f t="shared" si="17"/>
        <v>7.4430816513692974</v>
      </c>
      <c r="Z86" s="126">
        <f t="shared" si="18"/>
        <v>0.77779000747875571</v>
      </c>
      <c r="AA86" s="93">
        <f t="shared" si="19"/>
        <v>11.078350342918938</v>
      </c>
      <c r="AB86" s="125">
        <v>4.9865699999999999E-2</v>
      </c>
      <c r="AC86" s="14" t="s">
        <v>360</v>
      </c>
      <c r="AE86">
        <v>29.880941307063949</v>
      </c>
      <c r="AF86">
        <v>223.72142621512882</v>
      </c>
      <c r="AG86">
        <v>68.342820474196657</v>
      </c>
      <c r="AH86">
        <v>9.2030733157685827</v>
      </c>
      <c r="AI86" s="65">
        <v>3.9165999999999999E-2</v>
      </c>
      <c r="AJ86" t="s">
        <v>360</v>
      </c>
    </row>
    <row r="87" spans="5:36" x14ac:dyDescent="0.2">
      <c r="E87" t="s">
        <v>710</v>
      </c>
      <c r="F87" s="43">
        <v>4889083.37424694</v>
      </c>
      <c r="G87" s="43">
        <v>656146.10254976596</v>
      </c>
      <c r="H87" s="43">
        <v>4169884.2462226199</v>
      </c>
      <c r="I87" s="43">
        <v>454699274.77457201</v>
      </c>
      <c r="J87" s="43"/>
      <c r="K87" s="43">
        <v>6323196.0984468404</v>
      </c>
      <c r="L87" s="43">
        <v>198274.16373742599</v>
      </c>
      <c r="M87" s="43">
        <v>6609320.1507686703</v>
      </c>
      <c r="N87" s="43">
        <v>523320980.50325203</v>
      </c>
      <c r="P87" s="21">
        <f t="shared" si="10"/>
        <v>635.42464077130774</v>
      </c>
      <c r="Q87" s="162">
        <f t="shared" si="11"/>
        <v>66.526928660877658</v>
      </c>
      <c r="R87" s="21">
        <f t="shared" si="12"/>
        <v>3.7983666658556268</v>
      </c>
      <c r="S87" s="126">
        <f t="shared" si="13"/>
        <v>0.1526059868037552</v>
      </c>
      <c r="T87" s="93">
        <f t="shared" si="14"/>
        <v>24.710340469063624</v>
      </c>
      <c r="U87" s="125">
        <v>0.192889</v>
      </c>
      <c r="W87" s="157">
        <f t="shared" si="15"/>
        <v>11.219568563731116</v>
      </c>
      <c r="X87" s="164">
        <f t="shared" si="16"/>
        <v>11.907526503815596</v>
      </c>
      <c r="Y87" s="165">
        <f t="shared" si="17"/>
        <v>6.0204600085456015</v>
      </c>
      <c r="Z87" s="126">
        <f t="shared" si="18"/>
        <v>0.74393456172386019</v>
      </c>
      <c r="AA87" s="93">
        <f t="shared" si="19"/>
        <v>4.0280288713290231</v>
      </c>
      <c r="AB87" s="125">
        <v>4.6384299999999998E-3</v>
      </c>
      <c r="AC87" s="14" t="s">
        <v>360</v>
      </c>
      <c r="AE87">
        <v>93.146806802962558</v>
      </c>
      <c r="AF87">
        <v>606.65940957941098</v>
      </c>
      <c r="AG87">
        <v>90.643779730466136</v>
      </c>
      <c r="AH87">
        <v>18.10749424558395</v>
      </c>
      <c r="AI87" s="65">
        <v>0.15931000000000001</v>
      </c>
      <c r="AJ87" t="s">
        <v>360</v>
      </c>
    </row>
    <row r="88" spans="5:36" x14ac:dyDescent="0.2">
      <c r="E88" t="s">
        <v>711</v>
      </c>
      <c r="F88" s="43">
        <v>4828409.7920080498</v>
      </c>
      <c r="G88" s="43">
        <v>654759.67341282603</v>
      </c>
      <c r="H88" s="43">
        <v>4277502.6159973396</v>
      </c>
      <c r="I88" s="43">
        <v>450574019.19793099</v>
      </c>
      <c r="J88" s="43"/>
      <c r="K88" s="43">
        <v>4913132.9961781502</v>
      </c>
      <c r="L88" s="43">
        <v>149211.136785635</v>
      </c>
      <c r="M88" s="43">
        <v>9906029.2829506192</v>
      </c>
      <c r="N88" s="43">
        <v>480134808.43519002</v>
      </c>
      <c r="P88" s="21">
        <f t="shared" si="10"/>
        <v>662.56191599246893</v>
      </c>
      <c r="Q88" s="162">
        <f t="shared" si="11"/>
        <v>71.226497930183271</v>
      </c>
      <c r="R88" s="21">
        <f t="shared" si="12"/>
        <v>3.5905749351111265</v>
      </c>
      <c r="S88" s="126">
        <f t="shared" si="13"/>
        <v>0.15439652056719341</v>
      </c>
      <c r="T88" s="93">
        <f t="shared" si="14"/>
        <v>25.557635613905262</v>
      </c>
      <c r="U88" s="125">
        <v>0.212288</v>
      </c>
      <c r="W88" s="157">
        <f t="shared" si="15"/>
        <v>79.42585212860152</v>
      </c>
      <c r="X88" s="164">
        <f t="shared" si="16"/>
        <v>49.991081139610657</v>
      </c>
      <c r="Y88" s="165">
        <f t="shared" si="17"/>
        <v>8.3152118520788463</v>
      </c>
      <c r="Z88" s="126">
        <f t="shared" si="18"/>
        <v>0.80729806437467466</v>
      </c>
      <c r="AA88" s="93">
        <f t="shared" si="19"/>
        <v>16.469859679633053</v>
      </c>
      <c r="AB88" s="125">
        <v>0.12083000000000001</v>
      </c>
      <c r="AC88" s="14" t="s">
        <v>360</v>
      </c>
      <c r="AE88">
        <v>69.555503599481739</v>
      </c>
      <c r="AF88">
        <v>459.25037451289882</v>
      </c>
      <c r="AG88">
        <v>82.684204403443971</v>
      </c>
      <c r="AH88">
        <v>15.683810130198514</v>
      </c>
      <c r="AI88" s="65">
        <v>0.112218</v>
      </c>
      <c r="AJ88" t="s">
        <v>360</v>
      </c>
    </row>
    <row r="89" spans="5:36" x14ac:dyDescent="0.2">
      <c r="E89" t="s">
        <v>712</v>
      </c>
      <c r="F89" s="43">
        <v>4952303.8990663299</v>
      </c>
      <c r="G89" s="43">
        <v>657472.40212437895</v>
      </c>
      <c r="H89" s="43">
        <v>4057748.29567701</v>
      </c>
      <c r="I89" s="43">
        <v>458777132.77873701</v>
      </c>
      <c r="J89" s="43"/>
      <c r="K89" s="43">
        <v>5232338.9994148696</v>
      </c>
      <c r="L89" s="43">
        <v>159272.68683561901</v>
      </c>
      <c r="M89" s="43">
        <v>9339844.9829139896</v>
      </c>
      <c r="N89" s="43">
        <v>499049462.17527902</v>
      </c>
      <c r="P89" s="21">
        <f t="shared" si="10"/>
        <v>607.73595050192046</v>
      </c>
      <c r="Q89" s="162">
        <f t="shared" si="11"/>
        <v>67.780781298551105</v>
      </c>
      <c r="R89" s="21">
        <f t="shared" si="12"/>
        <v>3.4618325238603997</v>
      </c>
      <c r="S89" s="126">
        <f t="shared" si="13"/>
        <v>0.15089310865837824</v>
      </c>
      <c r="T89" s="93">
        <f t="shared" si="14"/>
        <v>23.864846282408273</v>
      </c>
      <c r="U89" s="125">
        <v>0.17315700000000001</v>
      </c>
      <c r="W89" s="157">
        <f t="shared" si="15"/>
        <v>49.971556061732819</v>
      </c>
      <c r="X89" s="164">
        <f t="shared" si="16"/>
        <v>34.188990252605556</v>
      </c>
      <c r="Y89" s="165">
        <f t="shared" si="17"/>
        <v>7.9682071862644879</v>
      </c>
      <c r="Z89" s="126">
        <f t="shared" si="18"/>
        <v>0.79430385890321242</v>
      </c>
      <c r="AA89" s="93">
        <f t="shared" si="19"/>
        <v>11.402815871465991</v>
      </c>
      <c r="AB89" s="125">
        <v>4.3973100000000001E-2</v>
      </c>
      <c r="AC89" s="14" t="s">
        <v>360</v>
      </c>
      <c r="AE89">
        <v>77.714773087539314</v>
      </c>
      <c r="AF89">
        <v>513.87748892105719</v>
      </c>
      <c r="AG89">
        <v>87.260261308761656</v>
      </c>
      <c r="AH89">
        <v>16.044408530437178</v>
      </c>
      <c r="AI89" s="65">
        <v>0.119768</v>
      </c>
      <c r="AJ89" t="s">
        <v>360</v>
      </c>
    </row>
    <row r="90" spans="5:36" x14ac:dyDescent="0.2">
      <c r="E90" t="s">
        <v>713</v>
      </c>
      <c r="F90" s="43">
        <v>4956027.4706996204</v>
      </c>
      <c r="G90" s="43">
        <v>657305.35020826</v>
      </c>
      <c r="H90" s="43">
        <v>4051143.6962100398</v>
      </c>
      <c r="I90" s="43">
        <v>459097072.10203499</v>
      </c>
      <c r="J90" s="43"/>
      <c r="K90" s="43">
        <v>5458841.2727000704</v>
      </c>
      <c r="L90" s="43">
        <v>193210.80184126901</v>
      </c>
      <c r="M90" s="43">
        <v>8343136.6512188399</v>
      </c>
      <c r="N90" s="43">
        <v>505919593.246032</v>
      </c>
      <c r="P90" s="21">
        <f t="shared" si="10"/>
        <v>604.13386382492331</v>
      </c>
      <c r="Q90" s="162">
        <f t="shared" si="11"/>
        <v>62.256899164926146</v>
      </c>
      <c r="R90" s="21">
        <f t="shared" si="12"/>
        <v>3.6580510713467933</v>
      </c>
      <c r="S90" s="126">
        <f t="shared" si="13"/>
        <v>0.15110885145264624</v>
      </c>
      <c r="T90" s="93">
        <f t="shared" si="14"/>
        <v>23.787085710593303</v>
      </c>
      <c r="U90" s="125">
        <v>0.17149600000000001</v>
      </c>
      <c r="W90" s="157">
        <f t="shared" si="15"/>
        <v>41.067420583498695</v>
      </c>
      <c r="X90" s="164">
        <f t="shared" si="16"/>
        <v>29.082238292078298</v>
      </c>
      <c r="Y90" s="165">
        <f t="shared" si="17"/>
        <v>7.5335811943515489</v>
      </c>
      <c r="Z90" s="126">
        <f t="shared" si="18"/>
        <v>0.7504737494760636</v>
      </c>
      <c r="AA90" s="93">
        <f t="shared" si="19"/>
        <v>9.6662182579844966</v>
      </c>
      <c r="AB90" s="125">
        <v>7.79059E-3</v>
      </c>
      <c r="AC90" s="14" t="s">
        <v>359</v>
      </c>
      <c r="AE90">
        <v>52.704595591284829</v>
      </c>
      <c r="AF90">
        <v>363.51036024439327</v>
      </c>
      <c r="AG90">
        <v>80.462588749740533</v>
      </c>
      <c r="AH90">
        <v>12.437640523648447</v>
      </c>
      <c r="AI90" s="65">
        <v>6.4947599999999994E-2</v>
      </c>
      <c r="AJ90" t="s">
        <v>360</v>
      </c>
    </row>
    <row r="91" spans="5:36" x14ac:dyDescent="0.2">
      <c r="E91" t="s">
        <v>714</v>
      </c>
      <c r="F91" s="43">
        <v>4960058.42532543</v>
      </c>
      <c r="G91" s="43">
        <v>657706.39795705897</v>
      </c>
      <c r="H91" s="43">
        <v>4043993.8832361298</v>
      </c>
      <c r="I91" s="43">
        <v>459332681.626333</v>
      </c>
      <c r="J91" s="43"/>
      <c r="K91" s="43">
        <v>4691281.7875792002</v>
      </c>
      <c r="L91" s="43">
        <v>144403.614289199</v>
      </c>
      <c r="M91" s="43">
        <v>10299532.7571309</v>
      </c>
      <c r="N91" s="43">
        <v>469864461.507833</v>
      </c>
      <c r="P91" s="21">
        <f t="shared" si="10"/>
        <v>604.19112596459331</v>
      </c>
      <c r="Q91" s="162">
        <f t="shared" si="11"/>
        <v>62.061859239461242</v>
      </c>
      <c r="R91" s="21">
        <f t="shared" si="12"/>
        <v>3.3686578452056395</v>
      </c>
      <c r="S91" s="126">
        <f t="shared" si="13"/>
        <v>0.1505909097015371</v>
      </c>
      <c r="T91" s="93">
        <f t="shared" si="14"/>
        <v>23.740002487435184</v>
      </c>
      <c r="U91" s="125">
        <v>0.17083200000000001</v>
      </c>
      <c r="W91" s="157">
        <f t="shared" si="15"/>
        <v>95.124211999071449</v>
      </c>
      <c r="X91" s="164">
        <f t="shared" si="16"/>
        <v>58.49255965210881</v>
      </c>
      <c r="Y91" s="165">
        <f t="shared" si="17"/>
        <v>8.5795386506611084</v>
      </c>
      <c r="Z91" s="126">
        <f t="shared" si="18"/>
        <v>0.81350684282501562</v>
      </c>
      <c r="AA91" s="93">
        <f t="shared" si="19"/>
        <v>18.514262885951219</v>
      </c>
      <c r="AB91" s="125">
        <v>0.16569</v>
      </c>
      <c r="AC91" s="14" t="s">
        <v>360</v>
      </c>
      <c r="AE91">
        <v>75.134667316403423</v>
      </c>
      <c r="AF91">
        <v>498.21527313288198</v>
      </c>
      <c r="AG91">
        <v>86.543810964720052</v>
      </c>
      <c r="AH91">
        <v>15.721140504040036</v>
      </c>
      <c r="AI91" s="65">
        <v>0.11168699999999999</v>
      </c>
      <c r="AJ91" t="s">
        <v>360</v>
      </c>
    </row>
    <row r="92" spans="5:36" x14ac:dyDescent="0.2">
      <c r="E92" t="s">
        <v>715</v>
      </c>
      <c r="F92" s="43">
        <v>4976163.1589158401</v>
      </c>
      <c r="G92" s="43">
        <v>657944.99269982101</v>
      </c>
      <c r="H92" s="43">
        <v>4015428.4827652602</v>
      </c>
      <c r="I92" s="43">
        <v>460504694.55329603</v>
      </c>
      <c r="J92" s="43"/>
      <c r="K92" s="43">
        <v>4693934.39552458</v>
      </c>
      <c r="L92" s="43">
        <v>144476.481345637</v>
      </c>
      <c r="M92" s="43">
        <v>10294827.7548516</v>
      </c>
      <c r="N92" s="43">
        <v>469879500.53889298</v>
      </c>
      <c r="P92" s="21">
        <f t="shared" si="10"/>
        <v>595.3581314553079</v>
      </c>
      <c r="Q92" s="162">
        <f t="shared" si="11"/>
        <v>64.634152411268232</v>
      </c>
      <c r="R92" s="21">
        <f t="shared" si="12"/>
        <v>3.345249764773309</v>
      </c>
      <c r="S92" s="126">
        <f t="shared" si="13"/>
        <v>0.15028277138324034</v>
      </c>
      <c r="T92" s="93">
        <f t="shared" si="14"/>
        <v>23.472449084782529</v>
      </c>
      <c r="U92" s="125">
        <v>0.164545</v>
      </c>
      <c r="W92" s="157">
        <f t="shared" si="15"/>
        <v>95.111339386312906</v>
      </c>
      <c r="X92" s="164">
        <f t="shared" si="16"/>
        <v>58.482878064881227</v>
      </c>
      <c r="Y92" s="165">
        <f t="shared" si="17"/>
        <v>8.5766115056250456</v>
      </c>
      <c r="Z92" s="126">
        <f t="shared" si="18"/>
        <v>0.813412737095903</v>
      </c>
      <c r="AA92" s="93">
        <f t="shared" si="19"/>
        <v>18.524799312523427</v>
      </c>
      <c r="AB92" s="125">
        <v>0.167768</v>
      </c>
      <c r="AC92" s="14" t="s">
        <v>360</v>
      </c>
      <c r="AE92">
        <v>28.507674921618939</v>
      </c>
      <c r="AF92">
        <v>222.98144552280991</v>
      </c>
      <c r="AG92">
        <v>72.818795428333075</v>
      </c>
      <c r="AH92">
        <v>8.139823730286869</v>
      </c>
      <c r="AI92" s="65">
        <v>2.0110200000000002E-2</v>
      </c>
      <c r="AJ92" t="s">
        <v>360</v>
      </c>
    </row>
    <row r="93" spans="5:36" x14ac:dyDescent="0.2">
      <c r="E93" t="s">
        <v>716</v>
      </c>
      <c r="F93" s="43">
        <v>5001399.6498470996</v>
      </c>
      <c r="G93" s="43">
        <v>657919.07623989903</v>
      </c>
      <c r="H93" s="43">
        <v>3970665.83792646</v>
      </c>
      <c r="I93" s="43">
        <v>461752916.918176</v>
      </c>
      <c r="J93" s="43"/>
      <c r="K93" s="43">
        <v>5942710.0473864703</v>
      </c>
      <c r="L93" s="43">
        <v>179289.00959122801</v>
      </c>
      <c r="M93" s="43">
        <v>8036677.6487012701</v>
      </c>
      <c r="N93" s="43">
        <v>515645686.28538102</v>
      </c>
      <c r="P93" s="21">
        <f t="shared" si="10"/>
        <v>584.5012174608878</v>
      </c>
      <c r="Q93" s="162">
        <f t="shared" si="11"/>
        <v>73.593941116262485</v>
      </c>
      <c r="R93" s="21">
        <f t="shared" si="12"/>
        <v>3.5014945492984162</v>
      </c>
      <c r="S93" s="126">
        <f t="shared" si="13"/>
        <v>0.15031624175347616</v>
      </c>
      <c r="T93" s="93">
        <f t="shared" si="14"/>
        <v>23.248320977417361</v>
      </c>
      <c r="U93" s="125">
        <v>0.15920999999999999</v>
      </c>
      <c r="W93" s="157">
        <f t="shared" si="15"/>
        <v>23.760777236364028</v>
      </c>
      <c r="X93" s="164">
        <f t="shared" si="16"/>
        <v>19.554685323606435</v>
      </c>
      <c r="Y93" s="165">
        <f t="shared" si="17"/>
        <v>7.0870690534087428</v>
      </c>
      <c r="Z93" s="126">
        <f t="shared" si="18"/>
        <v>0.76845334786093988</v>
      </c>
      <c r="AA93" s="93">
        <f t="shared" si="19"/>
        <v>7.1226384151843449</v>
      </c>
      <c r="AB93" s="125">
        <v>1.12269E-2</v>
      </c>
      <c r="AC93" s="14" t="s">
        <v>360</v>
      </c>
      <c r="AE93">
        <v>35.680112196739358</v>
      </c>
      <c r="AF93">
        <v>260.63057549446603</v>
      </c>
      <c r="AG93">
        <v>73.365866788353301</v>
      </c>
      <c r="AH93">
        <v>9.9840805491239841</v>
      </c>
      <c r="AI93" s="65">
        <v>4.3855699999999997E-2</v>
      </c>
      <c r="AJ93" t="s">
        <v>360</v>
      </c>
    </row>
    <row r="94" spans="5:36" x14ac:dyDescent="0.2">
      <c r="E94" t="s">
        <v>717</v>
      </c>
      <c r="F94" s="43">
        <v>4978696.1377251605</v>
      </c>
      <c r="G94" s="43">
        <v>657787.85219308001</v>
      </c>
      <c r="H94" s="43">
        <v>4010935.66991205</v>
      </c>
      <c r="I94" s="43">
        <v>460608326.71918899</v>
      </c>
      <c r="J94" s="43"/>
      <c r="K94" s="43">
        <v>6457550.0093755098</v>
      </c>
      <c r="L94" s="43">
        <v>260949.46285538701</v>
      </c>
      <c r="M94" s="43">
        <v>3886869.1310813702</v>
      </c>
      <c r="N94" s="43">
        <v>522504608.88698202</v>
      </c>
      <c r="P94" s="21">
        <f t="shared" si="10"/>
        <v>593.66586813015181</v>
      </c>
      <c r="Q94" s="162">
        <f t="shared" si="11"/>
        <v>72.386437408906133</v>
      </c>
      <c r="R94" s="21">
        <f t="shared" si="12"/>
        <v>4.0996384409845046</v>
      </c>
      <c r="S94" s="126">
        <f t="shared" si="13"/>
        <v>0.15048571387444085</v>
      </c>
      <c r="T94" s="93">
        <f t="shared" si="14"/>
        <v>23.457468652167289</v>
      </c>
      <c r="U94" s="125">
        <v>0.16416800000000001</v>
      </c>
      <c r="W94" s="157">
        <f t="shared" si="15"/>
        <v>14.179593284029757</v>
      </c>
      <c r="X94" s="164">
        <f t="shared" si="16"/>
        <v>11.413061522088974</v>
      </c>
      <c r="Y94" s="165">
        <f t="shared" si="17"/>
        <v>3.9728281419199716</v>
      </c>
      <c r="Z94" s="126">
        <f t="shared" si="18"/>
        <v>0.66299119706550536</v>
      </c>
      <c r="AA94" s="93">
        <f t="shared" si="19"/>
        <v>4.9514570612204007</v>
      </c>
      <c r="AB94" s="125">
        <v>4.4094700000000004E-3</v>
      </c>
      <c r="AC94" s="14" t="s">
        <v>120</v>
      </c>
      <c r="AE94">
        <v>86.868530016031627</v>
      </c>
      <c r="AF94">
        <v>566.5583525484783</v>
      </c>
      <c r="AG94">
        <v>88.047838192867189</v>
      </c>
      <c r="AH94">
        <v>17.700453520573529</v>
      </c>
      <c r="AI94" s="65">
        <v>0.151036</v>
      </c>
      <c r="AJ94" t="s">
        <v>360</v>
      </c>
    </row>
    <row r="95" spans="5:36" x14ac:dyDescent="0.2">
      <c r="E95" t="s">
        <v>718</v>
      </c>
      <c r="F95" s="43">
        <v>4867054.6847971901</v>
      </c>
      <c r="G95" s="43">
        <v>655414.10179595603</v>
      </c>
      <c r="H95" s="43">
        <v>4208957.1270280099</v>
      </c>
      <c r="I95" s="43">
        <v>453070846.46538001</v>
      </c>
      <c r="J95" s="43"/>
      <c r="K95" s="43">
        <v>5974598.7282052198</v>
      </c>
      <c r="L95" s="43">
        <v>243797.10303268</v>
      </c>
      <c r="M95" s="43">
        <v>5423328.9240070796</v>
      </c>
      <c r="N95" s="43">
        <v>515131584.169671</v>
      </c>
      <c r="P95" s="21">
        <f t="shared" si="10"/>
        <v>645.20876185566794</v>
      </c>
      <c r="Q95" s="162">
        <f t="shared" si="11"/>
        <v>82.7806415125808</v>
      </c>
      <c r="R95" s="21">
        <f t="shared" si="12"/>
        <v>4.1629472801666472</v>
      </c>
      <c r="S95" s="126">
        <f t="shared" si="13"/>
        <v>0.15355134493973016</v>
      </c>
      <c r="T95" s="93">
        <f t="shared" si="14"/>
        <v>25.064547288478586</v>
      </c>
      <c r="U95" s="125">
        <v>0.20044600000000001</v>
      </c>
      <c r="W95" s="157">
        <f t="shared" si="15"/>
        <v>27.619048247616572</v>
      </c>
      <c r="X95" s="164">
        <f t="shared" si="16"/>
        <v>19.856149981205739</v>
      </c>
      <c r="Y95" s="165">
        <f t="shared" si="17"/>
        <v>5.364044278014843</v>
      </c>
      <c r="Z95" s="126">
        <f t="shared" si="18"/>
        <v>0.68514298150721409</v>
      </c>
      <c r="AA95" s="93">
        <f t="shared" si="19"/>
        <v>7.5021598980577124</v>
      </c>
      <c r="AB95" s="125">
        <v>6.3218399999999996E-3</v>
      </c>
      <c r="AC95" s="14" t="s">
        <v>120</v>
      </c>
      <c r="AE95">
        <v>48.098676398930735</v>
      </c>
      <c r="AF95">
        <v>339.23847794543457</v>
      </c>
      <c r="AG95">
        <v>79.728116736779938</v>
      </c>
      <c r="AH95">
        <v>11.614699963403588</v>
      </c>
      <c r="AI95" s="65">
        <v>4.6265199999999999E-2</v>
      </c>
      <c r="AJ95" t="s">
        <v>360</v>
      </c>
    </row>
    <row r="96" spans="5:36" x14ac:dyDescent="0.2">
      <c r="E96" t="s">
        <v>719</v>
      </c>
      <c r="F96" s="43">
        <v>4815156.0654087197</v>
      </c>
      <c r="G96" s="43">
        <v>654509.62077734503</v>
      </c>
      <c r="H96" s="43">
        <v>4301011.1084487</v>
      </c>
      <c r="I96" s="43">
        <v>449568789.20868498</v>
      </c>
      <c r="J96" s="43"/>
      <c r="K96" s="43">
        <v>6471852.3539433395</v>
      </c>
      <c r="L96" s="43">
        <v>261377.753165848</v>
      </c>
      <c r="M96" s="43">
        <v>3844525.33291109</v>
      </c>
      <c r="N96" s="43">
        <v>523054713.63102698</v>
      </c>
      <c r="P96" s="21">
        <f t="shared" si="10"/>
        <v>669.56983172680509</v>
      </c>
      <c r="Q96" s="162">
        <f t="shared" si="11"/>
        <v>74.890986593082431</v>
      </c>
      <c r="R96" s="21">
        <f t="shared" si="12"/>
        <v>4.3997996593901103</v>
      </c>
      <c r="S96" s="126">
        <f t="shared" si="13"/>
        <v>0.15471945642776946</v>
      </c>
      <c r="T96" s="93">
        <f t="shared" si="14"/>
        <v>25.771769731045435</v>
      </c>
      <c r="U96" s="125">
        <v>0.21676100000000001</v>
      </c>
      <c r="W96" s="157">
        <f t="shared" si="15"/>
        <v>13.11896352439576</v>
      </c>
      <c r="X96" s="164">
        <f t="shared" si="16"/>
        <v>10.816534934516033</v>
      </c>
      <c r="Y96" s="165">
        <f t="shared" si="17"/>
        <v>3.9328290078190147</v>
      </c>
      <c r="Z96" s="126">
        <f t="shared" si="18"/>
        <v>0.66243807232151275</v>
      </c>
      <c r="AA96" s="93">
        <f t="shared" si="19"/>
        <v>4.6222356784950041</v>
      </c>
      <c r="AB96" s="125">
        <v>3.9171199999999996E-3</v>
      </c>
      <c r="AC96" s="14" t="s">
        <v>120</v>
      </c>
      <c r="AE96">
        <v>74.175423248463858</v>
      </c>
      <c r="AF96">
        <v>492.82445154773865</v>
      </c>
      <c r="AG96">
        <v>86.573725948240096</v>
      </c>
      <c r="AH96">
        <v>15.504144572830853</v>
      </c>
      <c r="AI96" s="65">
        <v>0.10842599999999999</v>
      </c>
      <c r="AJ96" t="s">
        <v>360</v>
      </c>
    </row>
    <row r="97" spans="5:36" x14ac:dyDescent="0.2">
      <c r="E97" t="s">
        <v>720</v>
      </c>
      <c r="F97" s="43">
        <v>4880460.0713405199</v>
      </c>
      <c r="G97" s="43">
        <v>656079.60532925604</v>
      </c>
      <c r="H97" s="43">
        <v>4185179.6312422301</v>
      </c>
      <c r="I97" s="43">
        <v>454030543.37212503</v>
      </c>
      <c r="J97" s="43"/>
      <c r="K97" s="43">
        <v>5672937.0560705597</v>
      </c>
      <c r="L97" s="43">
        <v>182159.36001005999</v>
      </c>
      <c r="M97" s="43">
        <v>8401414.5590590592</v>
      </c>
      <c r="N97" s="43">
        <v>508536676.79005098</v>
      </c>
      <c r="P97" s="21">
        <f t="shared" si="10"/>
        <v>640.72340217866099</v>
      </c>
      <c r="Q97" s="162">
        <f t="shared" si="11"/>
        <v>71.554938516715211</v>
      </c>
      <c r="R97" s="21">
        <f t="shared" si="12"/>
        <v>3.7085513764179039</v>
      </c>
      <c r="S97" s="126">
        <f t="shared" si="13"/>
        <v>0.1526918660710942</v>
      </c>
      <c r="T97" s="93">
        <f t="shared" si="14"/>
        <v>24.859869450611118</v>
      </c>
      <c r="U97" s="125">
        <v>0.19578899999999999</v>
      </c>
      <c r="W97" s="157">
        <f t="shared" si="15"/>
        <v>35.881349965819908</v>
      </c>
      <c r="X97" s="164">
        <f t="shared" si="16"/>
        <v>26.272073733348044</v>
      </c>
      <c r="Y97" s="165">
        <f t="shared" si="17"/>
        <v>7.4446213238421866</v>
      </c>
      <c r="Z97" s="126">
        <f t="shared" si="18"/>
        <v>0.76474637200412743</v>
      </c>
      <c r="AA97" s="93">
        <f t="shared" si="19"/>
        <v>9.4233574627908343</v>
      </c>
      <c r="AB97" s="125">
        <v>4.1005E-2</v>
      </c>
      <c r="AC97" s="14" t="s">
        <v>360</v>
      </c>
      <c r="AE97">
        <v>58.302024710576532</v>
      </c>
      <c r="AF97">
        <v>398.59204360483113</v>
      </c>
      <c r="AG97">
        <v>82.291175295587593</v>
      </c>
      <c r="AH97">
        <v>13.296499228851502</v>
      </c>
      <c r="AI97" s="65">
        <v>7.3102299999999995E-2</v>
      </c>
      <c r="AJ97" t="s">
        <v>360</v>
      </c>
    </row>
    <row r="98" spans="5:36" x14ac:dyDescent="0.2">
      <c r="E98" t="s">
        <v>721</v>
      </c>
      <c r="F98" s="43">
        <v>5001454.9113501497</v>
      </c>
      <c r="G98" s="43">
        <v>658006.25564139802</v>
      </c>
      <c r="H98" s="43">
        <v>3970567.8191075502</v>
      </c>
      <c r="I98" s="43">
        <v>461917550.14636701</v>
      </c>
      <c r="J98" s="43"/>
      <c r="K98" s="43">
        <v>5338889.0500175003</v>
      </c>
      <c r="L98" s="43">
        <v>188119.525181829</v>
      </c>
      <c r="M98" s="43">
        <v>8757692.5761999208</v>
      </c>
      <c r="N98" s="43">
        <v>500378639.61837798</v>
      </c>
      <c r="P98" s="21">
        <f t="shared" si="10"/>
        <v>583.52380912239585</v>
      </c>
      <c r="Q98" s="162">
        <f t="shared" si="11"/>
        <v>73.266017052559718</v>
      </c>
      <c r="R98" s="21">
        <f t="shared" si="12"/>
        <v>3.5541541268050776</v>
      </c>
      <c r="S98" s="126">
        <f t="shared" si="13"/>
        <v>0.15020365203814112</v>
      </c>
      <c r="T98" s="93">
        <f t="shared" si="14"/>
        <v>23.192498586916592</v>
      </c>
      <c r="U98" s="125">
        <v>0.157942</v>
      </c>
      <c r="W98" s="157">
        <f t="shared" si="15"/>
        <v>50.16320683206763</v>
      </c>
      <c r="X98" s="164">
        <f t="shared" si="16"/>
        <v>34.16057364137594</v>
      </c>
      <c r="Y98" s="165">
        <f t="shared" si="17"/>
        <v>7.8392287020518028</v>
      </c>
      <c r="Z98" s="126">
        <f t="shared" si="18"/>
        <v>0.75704898835040868</v>
      </c>
      <c r="AA98" s="93">
        <f t="shared" si="19"/>
        <v>11.358699855817965</v>
      </c>
      <c r="AB98" s="125">
        <v>3.0506399999999999E-2</v>
      </c>
      <c r="AC98" s="14" t="s">
        <v>359</v>
      </c>
      <c r="AE98">
        <v>16.104187872380407</v>
      </c>
      <c r="AF98">
        <v>145.77744069125291</v>
      </c>
      <c r="AG98">
        <v>62.980272693056023</v>
      </c>
      <c r="AH98">
        <v>5.4583085790109127</v>
      </c>
      <c r="AI98" s="65">
        <v>1.11328E-2</v>
      </c>
      <c r="AJ98" t="s">
        <v>360</v>
      </c>
    </row>
    <row r="99" spans="5:36" x14ac:dyDescent="0.2">
      <c r="E99" t="s">
        <v>722</v>
      </c>
      <c r="F99" s="43">
        <v>4855740.0980372503</v>
      </c>
      <c r="G99" s="43">
        <v>655242.08902602503</v>
      </c>
      <c r="H99" s="43">
        <v>4229026.1148287496</v>
      </c>
      <c r="I99" s="43">
        <v>452402780.487225</v>
      </c>
      <c r="J99" s="43"/>
      <c r="K99" s="43">
        <v>6396226.93625056</v>
      </c>
      <c r="L99" s="43">
        <v>259831.52809161699</v>
      </c>
      <c r="M99" s="43">
        <v>4039949.0142438598</v>
      </c>
      <c r="N99" s="43">
        <v>521774155.28574097</v>
      </c>
      <c r="P99" s="21">
        <f t="shared" si="10"/>
        <v>649.88743115284683</v>
      </c>
      <c r="Q99" s="162">
        <f t="shared" si="11"/>
        <v>73.449632759283702</v>
      </c>
      <c r="R99" s="21">
        <f t="shared" si="12"/>
        <v>4.3131593371256081</v>
      </c>
      <c r="S99" s="126">
        <f t="shared" si="13"/>
        <v>0.15377349453547781</v>
      </c>
      <c r="T99" s="93">
        <f t="shared" si="14"/>
        <v>25.189703335374379</v>
      </c>
      <c r="U99" s="125">
        <v>0.20325799999999999</v>
      </c>
      <c r="W99" s="157">
        <f t="shared" si="15"/>
        <v>15.568574654305376</v>
      </c>
      <c r="X99" s="164">
        <f t="shared" si="16"/>
        <v>12.289372266257528</v>
      </c>
      <c r="Y99" s="165">
        <f t="shared" si="17"/>
        <v>4.1203206930309779</v>
      </c>
      <c r="Z99" s="126">
        <f t="shared" si="18"/>
        <v>0.66443497798911577</v>
      </c>
      <c r="AA99" s="93">
        <f t="shared" si="19"/>
        <v>5.2301577199919365</v>
      </c>
      <c r="AB99" s="125">
        <v>4.8187000000000004E-3</v>
      </c>
      <c r="AC99" s="14" t="s">
        <v>120</v>
      </c>
      <c r="AE99">
        <v>39.939231358852794</v>
      </c>
      <c r="AF99">
        <v>283.70693062892701</v>
      </c>
      <c r="AG99">
        <v>75.149374209911954</v>
      </c>
      <c r="AH99">
        <v>10.309161967253706</v>
      </c>
      <c r="AI99" s="65">
        <v>4.5854899999999997E-2</v>
      </c>
      <c r="AJ99" t="s">
        <v>360</v>
      </c>
    </row>
    <row r="100" spans="5:36" x14ac:dyDescent="0.2">
      <c r="E100" t="s">
        <v>723</v>
      </c>
      <c r="F100" s="43">
        <v>4971213.0222254395</v>
      </c>
      <c r="G100" s="43">
        <v>657436.51599351701</v>
      </c>
      <c r="H100" s="43">
        <v>4024208.67376643</v>
      </c>
      <c r="I100" s="43">
        <v>460133732.02834302</v>
      </c>
      <c r="J100" s="43"/>
      <c r="K100" s="43">
        <v>5308040.8112412002</v>
      </c>
      <c r="L100" s="43">
        <v>191299.05918810799</v>
      </c>
      <c r="M100" s="43">
        <v>8686387.6740097906</v>
      </c>
      <c r="N100" s="43">
        <v>495186416.22046202</v>
      </c>
      <c r="P100" s="21">
        <f t="shared" si="10"/>
        <v>595.94198054420997</v>
      </c>
      <c r="Q100" s="162">
        <f t="shared" si="11"/>
        <v>69.873749906708753</v>
      </c>
      <c r="R100" s="21">
        <f t="shared" si="12"/>
        <v>3.6218143226602142</v>
      </c>
      <c r="S100" s="126">
        <f t="shared" si="13"/>
        <v>0.15093945457483041</v>
      </c>
      <c r="T100" s="93">
        <f t="shared" si="14"/>
        <v>23.558623324261859</v>
      </c>
      <c r="U100" s="125">
        <v>0.165962</v>
      </c>
      <c r="W100" s="157">
        <f t="shared" si="15"/>
        <v>59.342647273989449</v>
      </c>
      <c r="X100" s="164">
        <f t="shared" si="16"/>
        <v>38.955733463579598</v>
      </c>
      <c r="Y100" s="165">
        <f t="shared" si="17"/>
        <v>7.8178061428565488</v>
      </c>
      <c r="Z100" s="126">
        <f t="shared" si="18"/>
        <v>0.75294271069181318</v>
      </c>
      <c r="AA100" s="93">
        <f t="shared" si="19"/>
        <v>13.206985069544894</v>
      </c>
      <c r="AB100" s="125">
        <v>5.7788100000000002E-2</v>
      </c>
      <c r="AC100" s="14" t="s">
        <v>359</v>
      </c>
      <c r="AE100">
        <v>54.82562296086089</v>
      </c>
      <c r="AF100">
        <v>376.85000446267156</v>
      </c>
      <c r="AG100">
        <v>81.198134166699475</v>
      </c>
      <c r="AH100">
        <v>12.758990868596625</v>
      </c>
      <c r="AI100" s="65">
        <v>6.5026899999999999E-2</v>
      </c>
      <c r="AJ100" t="s">
        <v>360</v>
      </c>
    </row>
    <row r="101" spans="5:36" x14ac:dyDescent="0.2">
      <c r="E101" t="s">
        <v>724</v>
      </c>
      <c r="F101" s="43">
        <v>4851775.7220673095</v>
      </c>
      <c r="G101" s="43">
        <v>654908.59883673606</v>
      </c>
      <c r="H101" s="43">
        <v>4236057.8354444802</v>
      </c>
      <c r="I101" s="43">
        <v>452127567.376688</v>
      </c>
      <c r="J101" s="43"/>
      <c r="K101" s="43">
        <v>6255613.9751028102</v>
      </c>
      <c r="L101" s="43">
        <v>221056.00880415001</v>
      </c>
      <c r="M101" s="43">
        <v>5826230.9101180397</v>
      </c>
      <c r="N101" s="43">
        <v>519236548.14110798</v>
      </c>
      <c r="P101" s="21">
        <f t="shared" si="10"/>
        <v>650.37722248522618</v>
      </c>
      <c r="Q101" s="162">
        <f t="shared" si="11"/>
        <v>85.050255559343995</v>
      </c>
      <c r="R101" s="21">
        <f t="shared" si="12"/>
        <v>4.017535270547282</v>
      </c>
      <c r="S101" s="126">
        <f t="shared" si="13"/>
        <v>0.15420418762161364</v>
      </c>
      <c r="T101" s="93">
        <f t="shared" si="14"/>
        <v>25.246711628518721</v>
      </c>
      <c r="U101" s="125">
        <v>0.20501900000000001</v>
      </c>
      <c r="W101" s="157">
        <f t="shared" si="15"/>
        <v>19.064122406885499</v>
      </c>
      <c r="X101" s="164">
        <f t="shared" si="16"/>
        <v>15.528892170672863</v>
      </c>
      <c r="Y101" s="165">
        <f t="shared" si="17"/>
        <v>5.5256771944653966</v>
      </c>
      <c r="Z101" s="126">
        <f t="shared" si="18"/>
        <v>0.71451245734179214</v>
      </c>
      <c r="AA101" s="93">
        <f t="shared" si="19"/>
        <v>6.3079780069147979</v>
      </c>
      <c r="AB101" s="125">
        <v>2.50761E-3</v>
      </c>
      <c r="AC101" s="14" t="s">
        <v>359</v>
      </c>
      <c r="AE101">
        <v>51.823352138174513</v>
      </c>
      <c r="AF101">
        <v>360.4261695528931</v>
      </c>
      <c r="AG101">
        <v>81.028290799858667</v>
      </c>
      <c r="AH101">
        <v>12.10757526092477</v>
      </c>
      <c r="AI101" s="65">
        <v>5.6523799999999999E-2</v>
      </c>
      <c r="AJ101" t="s">
        <v>360</v>
      </c>
    </row>
    <row r="102" spans="5:36" x14ac:dyDescent="0.2">
      <c r="E102" t="s">
        <v>725</v>
      </c>
      <c r="F102" s="43">
        <v>4900731.7644809997</v>
      </c>
      <c r="G102" s="43">
        <v>656457.37521016505</v>
      </c>
      <c r="H102" s="43">
        <v>4149223.1821939098</v>
      </c>
      <c r="I102" s="43">
        <v>455382466.608778</v>
      </c>
      <c r="J102" s="43"/>
      <c r="K102" s="43">
        <v>6610999.9830460204</v>
      </c>
      <c r="L102" s="43">
        <v>269078.93404596503</v>
      </c>
      <c r="M102" s="43">
        <v>3292478.09482778</v>
      </c>
      <c r="N102" s="43">
        <v>525315345.334203</v>
      </c>
      <c r="P102" s="21">
        <f t="shared" si="10"/>
        <v>631.30594288321879</v>
      </c>
      <c r="Q102" s="162">
        <f t="shared" si="11"/>
        <v>53.230092426493535</v>
      </c>
      <c r="R102" s="21">
        <f t="shared" si="12"/>
        <v>4.3092241250936265</v>
      </c>
      <c r="S102" s="126">
        <f t="shared" si="13"/>
        <v>0.15220398702372323</v>
      </c>
      <c r="T102" s="93">
        <f t="shared" si="14"/>
        <v>24.579728042291045</v>
      </c>
      <c r="U102" s="125">
        <v>0.19009000000000001</v>
      </c>
      <c r="W102" s="157">
        <f t="shared" si="15"/>
        <v>8.8444877507848663</v>
      </c>
      <c r="X102" s="164">
        <f t="shared" si="16"/>
        <v>8.0602694844505312</v>
      </c>
      <c r="Y102" s="165">
        <f t="shared" si="17"/>
        <v>3.4194415230448576</v>
      </c>
      <c r="Z102" s="126">
        <f t="shared" si="18"/>
        <v>0.65249221644125532</v>
      </c>
      <c r="AA102" s="93">
        <f t="shared" si="19"/>
        <v>3.3937920951448599</v>
      </c>
      <c r="AB102" s="125">
        <v>2.5094700000000002E-3</v>
      </c>
      <c r="AC102" s="14" t="s">
        <v>120</v>
      </c>
      <c r="AE102">
        <v>102.64636296101722</v>
      </c>
      <c r="AF102">
        <v>663.71420220978268</v>
      </c>
      <c r="AG102">
        <v>92.369723084180293</v>
      </c>
      <c r="AH102">
        <v>19.387054406805703</v>
      </c>
      <c r="AI102" s="65">
        <v>0.185418</v>
      </c>
      <c r="AJ102" t="s">
        <v>360</v>
      </c>
    </row>
    <row r="103" spans="5:36" x14ac:dyDescent="0.2">
      <c r="AB103" s="166">
        <f>AVERAGE(AB3:AB102)</f>
        <v>6.6205920200000004E-2</v>
      </c>
      <c r="AE103">
        <v>41.315935433575092</v>
      </c>
      <c r="AF103">
        <v>293.97982569082086</v>
      </c>
      <c r="AG103">
        <v>75.135824359009234</v>
      </c>
      <c r="AH103">
        <v>11.078350342918938</v>
      </c>
      <c r="AI103" s="65">
        <v>4.9865699999999999E-2</v>
      </c>
      <c r="AJ103" t="s">
        <v>360</v>
      </c>
    </row>
    <row r="104" spans="5:36" x14ac:dyDescent="0.2">
      <c r="AE104">
        <v>11.219568563731116</v>
      </c>
      <c r="AF104">
        <v>114.97097266508048</v>
      </c>
      <c r="AG104">
        <v>58.129464826461479</v>
      </c>
      <c r="AH104">
        <v>4.0280288713290231</v>
      </c>
      <c r="AI104" s="65">
        <v>4.6384299999999998E-3</v>
      </c>
      <c r="AJ104" t="s">
        <v>360</v>
      </c>
    </row>
    <row r="105" spans="5:36" x14ac:dyDescent="0.2">
      <c r="AE105">
        <v>79.42585212860152</v>
      </c>
      <c r="AF105">
        <v>523.79138779475466</v>
      </c>
      <c r="AG105">
        <v>87.12426809982955</v>
      </c>
      <c r="AH105">
        <v>16.469859679633053</v>
      </c>
      <c r="AI105" s="65">
        <v>0.12083000000000001</v>
      </c>
      <c r="AJ105" t="s">
        <v>360</v>
      </c>
    </row>
    <row r="106" spans="5:36" x14ac:dyDescent="0.2">
      <c r="AE106">
        <v>49.971556061732819</v>
      </c>
      <c r="AF106">
        <v>352.45596088072097</v>
      </c>
      <c r="AG106">
        <v>82.144634854124803</v>
      </c>
      <c r="AH106">
        <v>11.402815871465991</v>
      </c>
      <c r="AI106" s="65">
        <v>4.3973100000000001E-2</v>
      </c>
      <c r="AJ106" t="s">
        <v>360</v>
      </c>
    </row>
    <row r="107" spans="5:36" x14ac:dyDescent="0.2">
      <c r="AE107">
        <v>95.124211999071449</v>
      </c>
      <c r="AF107">
        <v>617.5807492858479</v>
      </c>
      <c r="AG107">
        <v>90.585160572831143</v>
      </c>
      <c r="AH107">
        <v>18.514262885951219</v>
      </c>
      <c r="AI107" s="65">
        <v>0.16569</v>
      </c>
      <c r="AJ107" t="s">
        <v>360</v>
      </c>
    </row>
    <row r="108" spans="5:36" x14ac:dyDescent="0.2">
      <c r="AE108">
        <v>95.111339386312906</v>
      </c>
      <c r="AF108">
        <v>617.40709903660172</v>
      </c>
      <c r="AG108">
        <v>90.543779726047489</v>
      </c>
      <c r="AH108">
        <v>18.524799312523427</v>
      </c>
      <c r="AI108" s="65">
        <v>0.167768</v>
      </c>
      <c r="AJ108" t="s">
        <v>360</v>
      </c>
    </row>
    <row r="109" spans="5:36" x14ac:dyDescent="0.2">
      <c r="AE109">
        <v>23.760777236364028</v>
      </c>
      <c r="AF109">
        <v>195.0294750028431</v>
      </c>
      <c r="AG109">
        <v>70.683180727363847</v>
      </c>
      <c r="AH109">
        <v>7.1226384151843449</v>
      </c>
      <c r="AI109" s="65">
        <v>1.12269E-2</v>
      </c>
      <c r="AJ109" t="s">
        <v>360</v>
      </c>
    </row>
    <row r="110" spans="5:36" x14ac:dyDescent="0.2">
      <c r="AE110">
        <v>35.881349965819908</v>
      </c>
      <c r="AF110">
        <v>260.76163336421359</v>
      </c>
      <c r="AG110">
        <v>73.891069121011952</v>
      </c>
      <c r="AH110">
        <v>9.4233574627908343</v>
      </c>
      <c r="AI110" s="65">
        <v>4.1005E-2</v>
      </c>
      <c r="AJ110" t="s">
        <v>360</v>
      </c>
    </row>
  </sheetData>
  <autoFilter ref="W2:AC103" xr:uid="{4203B8A5-8097-4896-9527-1D0A00943F2B}"/>
  <mergeCells count="2">
    <mergeCell ref="F1:I1"/>
    <mergeCell ref="K1:N1"/>
  </mergeCells>
  <phoneticPr fontId="20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0621-57F9-4FC1-B9B5-7008921C4799}">
  <dimension ref="A1:G102"/>
  <sheetViews>
    <sheetView workbookViewId="0">
      <selection activeCell="D4" sqref="D4"/>
    </sheetView>
  </sheetViews>
  <sheetFormatPr defaultRowHeight="14.25" x14ac:dyDescent="0.2"/>
  <cols>
    <col min="1" max="1" width="34.875" style="14" bestFit="1" customWidth="1"/>
    <col min="2" max="2" width="13.5" style="14" bestFit="1" customWidth="1"/>
    <col min="4" max="4" width="28.125" style="14" customWidth="1"/>
    <col min="5" max="5" width="15.5" style="14" bestFit="1" customWidth="1"/>
    <col min="6" max="6" width="23.625" style="14" customWidth="1"/>
    <col min="7" max="7" width="9.25" style="14" bestFit="1" customWidth="1"/>
  </cols>
  <sheetData>
    <row r="1" spans="1:7" x14ac:dyDescent="0.2">
      <c r="A1" s="14" t="s">
        <v>739</v>
      </c>
      <c r="D1" s="14" t="s">
        <v>620</v>
      </c>
    </row>
    <row r="2" spans="1:7" x14ac:dyDescent="0.2">
      <c r="A2" s="14" t="s">
        <v>726</v>
      </c>
      <c r="B2" s="14" t="s">
        <v>730</v>
      </c>
      <c r="C2" s="14" t="s">
        <v>740</v>
      </c>
      <c r="D2" s="14" t="s">
        <v>727</v>
      </c>
      <c r="E2" s="14" t="s">
        <v>738</v>
      </c>
      <c r="F2" s="14" t="s">
        <v>740</v>
      </c>
      <c r="G2" s="14" t="s">
        <v>733</v>
      </c>
    </row>
    <row r="3" spans="1:7" x14ac:dyDescent="0.2">
      <c r="A3" s="27">
        <v>706.27497886517938</v>
      </c>
      <c r="B3" s="27">
        <v>4.1133921581292743</v>
      </c>
      <c r="C3" s="19">
        <v>0.218727</v>
      </c>
      <c r="D3" s="27">
        <v>103.47640406996054</v>
      </c>
      <c r="E3" s="27">
        <v>8.7200512500010436</v>
      </c>
      <c r="F3" s="125">
        <v>0.18723600000000001</v>
      </c>
      <c r="G3" s="14" t="s">
        <v>360</v>
      </c>
    </row>
    <row r="4" spans="1:7" x14ac:dyDescent="0.2">
      <c r="A4" s="27">
        <v>697.85835023674701</v>
      </c>
      <c r="B4" s="27">
        <v>3.6669202720659984</v>
      </c>
      <c r="C4" s="19">
        <v>0.22722100000000001</v>
      </c>
      <c r="D4" s="27">
        <v>103.36457258453662</v>
      </c>
      <c r="E4" s="27">
        <v>8.7200512500010436</v>
      </c>
      <c r="F4" s="125">
        <v>0.18723600000000001</v>
      </c>
      <c r="G4" s="14" t="s">
        <v>360</v>
      </c>
    </row>
    <row r="5" spans="1:7" x14ac:dyDescent="0.2">
      <c r="A5" s="27">
        <v>556.58960623707651</v>
      </c>
      <c r="B5" s="27">
        <v>3.1607675733056273</v>
      </c>
      <c r="C5" s="19">
        <v>0.148756</v>
      </c>
      <c r="D5" s="27">
        <v>102.64636296101722</v>
      </c>
      <c r="E5" s="27">
        <v>8.7075896917880602</v>
      </c>
      <c r="F5" s="125">
        <v>0.185418</v>
      </c>
      <c r="G5" s="14" t="s">
        <v>360</v>
      </c>
    </row>
    <row r="6" spans="1:7" x14ac:dyDescent="0.2">
      <c r="A6" s="27">
        <v>683.52258282267212</v>
      </c>
      <c r="B6" s="27">
        <v>4.3377159641569349</v>
      </c>
      <c r="C6" s="19">
        <v>0.20438200000000001</v>
      </c>
      <c r="D6" s="27">
        <v>102.74488407316636</v>
      </c>
      <c r="E6" s="27">
        <v>8.6979440979580538</v>
      </c>
      <c r="F6" s="125">
        <v>0.191163</v>
      </c>
      <c r="G6" s="14" t="s">
        <v>360</v>
      </c>
    </row>
    <row r="7" spans="1:7" x14ac:dyDescent="0.2">
      <c r="A7" s="27">
        <v>682.34218866466313</v>
      </c>
      <c r="B7" s="27">
        <v>4.0256986625121396</v>
      </c>
      <c r="C7" s="19">
        <v>0.22833500000000001</v>
      </c>
      <c r="D7" s="27">
        <v>102.81952001075507</v>
      </c>
      <c r="E7" s="27">
        <v>8.6750203851084891</v>
      </c>
      <c r="F7" s="125">
        <v>0.189359</v>
      </c>
      <c r="G7" s="14" t="s">
        <v>360</v>
      </c>
    </row>
    <row r="8" spans="1:7" x14ac:dyDescent="0.2">
      <c r="A8" s="27">
        <v>659.34264188171028</v>
      </c>
      <c r="B8" s="27">
        <v>3.7513973385106421</v>
      </c>
      <c r="C8" s="19">
        <v>0.21035699999999999</v>
      </c>
      <c r="D8" s="27">
        <v>100.44566825702238</v>
      </c>
      <c r="E8" s="27">
        <v>8.6736568058242334</v>
      </c>
      <c r="F8" s="125">
        <v>0.181426</v>
      </c>
      <c r="G8" s="14" t="s">
        <v>360</v>
      </c>
    </row>
    <row r="9" spans="1:7" x14ac:dyDescent="0.2">
      <c r="A9" s="27">
        <v>561.63631979282252</v>
      </c>
      <c r="B9" s="27">
        <v>3.4913874152892732</v>
      </c>
      <c r="C9" s="19">
        <v>0.14628099999999999</v>
      </c>
      <c r="D9" s="27">
        <v>99.693022818359296</v>
      </c>
      <c r="E9" s="27">
        <v>8.6662593686270988</v>
      </c>
      <c r="F9" s="125">
        <v>0.179038</v>
      </c>
      <c r="G9" s="14" t="s">
        <v>360</v>
      </c>
    </row>
    <row r="10" spans="1:7" x14ac:dyDescent="0.2">
      <c r="A10" s="27">
        <v>589.01331486853996</v>
      </c>
      <c r="B10" s="27">
        <v>4.1780781590172387</v>
      </c>
      <c r="C10" s="19">
        <v>0.16045599999999999</v>
      </c>
      <c r="D10" s="27">
        <v>97.087574688185413</v>
      </c>
      <c r="E10" s="27">
        <v>8.6289464527796031</v>
      </c>
      <c r="F10" s="125">
        <v>0.17401800000000001</v>
      </c>
      <c r="G10" s="14" t="s">
        <v>360</v>
      </c>
    </row>
    <row r="11" spans="1:7" x14ac:dyDescent="0.2">
      <c r="A11" s="27">
        <v>577.58976049649709</v>
      </c>
      <c r="B11" s="27">
        <v>3.3574951846482892</v>
      </c>
      <c r="C11" s="19">
        <v>0.15462799999999999</v>
      </c>
      <c r="D11" s="27">
        <v>96.159187712792516</v>
      </c>
      <c r="E11" s="27">
        <v>8.5996607876492881</v>
      </c>
      <c r="F11" s="125">
        <v>0.16913600000000001</v>
      </c>
      <c r="G11" s="14" t="s">
        <v>360</v>
      </c>
    </row>
    <row r="12" spans="1:7" x14ac:dyDescent="0.2">
      <c r="A12" s="27">
        <v>574.80738095688173</v>
      </c>
      <c r="B12" s="27">
        <v>3.2417916198599688</v>
      </c>
      <c r="C12" s="19">
        <v>0.15939200000000001</v>
      </c>
      <c r="D12" s="27">
        <v>93.146806802962558</v>
      </c>
      <c r="E12" s="27">
        <v>8.5855061965701545</v>
      </c>
      <c r="F12" s="125">
        <v>0.15931000000000001</v>
      </c>
      <c r="G12" s="14" t="s">
        <v>360</v>
      </c>
    </row>
    <row r="13" spans="1:7" x14ac:dyDescent="0.2">
      <c r="A13" s="27">
        <v>656.79146175553558</v>
      </c>
      <c r="B13" s="27">
        <v>3.5304929850135913</v>
      </c>
      <c r="C13" s="19">
        <v>0.207894</v>
      </c>
      <c r="D13" s="27">
        <v>95.124211999071449</v>
      </c>
      <c r="E13" s="27">
        <v>8.5795386506611084</v>
      </c>
      <c r="F13" s="125">
        <v>0.16569</v>
      </c>
      <c r="G13" s="14" t="s">
        <v>360</v>
      </c>
    </row>
    <row r="14" spans="1:7" x14ac:dyDescent="0.2">
      <c r="A14" s="27">
        <v>560.530179771039</v>
      </c>
      <c r="B14" s="27">
        <v>3.5676250154871276</v>
      </c>
      <c r="C14" s="19">
        <v>0.148396</v>
      </c>
      <c r="D14" s="27">
        <v>95.111339386312906</v>
      </c>
      <c r="E14" s="27">
        <v>8.5766115056250456</v>
      </c>
      <c r="F14" s="125">
        <v>0.167768</v>
      </c>
      <c r="G14" s="14" t="s">
        <v>360</v>
      </c>
    </row>
    <row r="15" spans="1:7" x14ac:dyDescent="0.2">
      <c r="A15" s="27">
        <v>678.08449998887204</v>
      </c>
      <c r="B15" s="27">
        <v>4.0979869661456014</v>
      </c>
      <c r="C15" s="19">
        <v>0.22528699999999999</v>
      </c>
      <c r="D15" s="27">
        <v>91.150777413234749</v>
      </c>
      <c r="E15" s="27">
        <v>8.5693060073269987</v>
      </c>
      <c r="F15" s="125">
        <v>0.150726</v>
      </c>
      <c r="G15" s="14" t="s">
        <v>360</v>
      </c>
    </row>
    <row r="16" spans="1:7" x14ac:dyDescent="0.2">
      <c r="A16" s="27">
        <v>680.869384120066</v>
      </c>
      <c r="B16" s="27">
        <v>3.9143596960356262</v>
      </c>
      <c r="C16" s="19">
        <v>0.227135</v>
      </c>
      <c r="D16" s="27">
        <v>92.242552714678254</v>
      </c>
      <c r="E16" s="27">
        <v>8.545621664330918</v>
      </c>
      <c r="F16" s="125">
        <v>0.161498</v>
      </c>
      <c r="G16" s="14" t="s">
        <v>360</v>
      </c>
    </row>
    <row r="17" spans="1:7" x14ac:dyDescent="0.2">
      <c r="A17" s="27">
        <v>665.64703507083289</v>
      </c>
      <c r="B17" s="27">
        <v>3.8104449448114566</v>
      </c>
      <c r="C17" s="19">
        <v>0.214643</v>
      </c>
      <c r="D17" s="27">
        <v>83.789717456287903</v>
      </c>
      <c r="E17" s="27">
        <v>8.5348980300896109</v>
      </c>
      <c r="F17" s="125">
        <v>0.115977</v>
      </c>
      <c r="G17" s="14" t="s">
        <v>359</v>
      </c>
    </row>
    <row r="18" spans="1:7" x14ac:dyDescent="0.2">
      <c r="A18" s="27">
        <v>614.1679986262252</v>
      </c>
      <c r="B18" s="27">
        <v>3.6597120985797473</v>
      </c>
      <c r="C18" s="19">
        <v>0.179891</v>
      </c>
      <c r="D18" s="27">
        <v>85.974006722365544</v>
      </c>
      <c r="E18" s="27">
        <v>8.4781732241045997</v>
      </c>
      <c r="F18" s="125">
        <v>0.14113999999999999</v>
      </c>
      <c r="G18" s="14" t="s">
        <v>360</v>
      </c>
    </row>
    <row r="19" spans="1:7" x14ac:dyDescent="0.2">
      <c r="A19" s="27">
        <v>627.58235942015017</v>
      </c>
      <c r="B19" s="27">
        <v>3.533726557438337</v>
      </c>
      <c r="C19" s="19">
        <v>0.187449</v>
      </c>
      <c r="D19" s="27">
        <v>87.836080016265512</v>
      </c>
      <c r="E19" s="27">
        <v>8.4251146210250649</v>
      </c>
      <c r="F19" s="125">
        <v>0.14868300000000001</v>
      </c>
      <c r="G19" s="14" t="s">
        <v>360</v>
      </c>
    </row>
    <row r="20" spans="1:7" x14ac:dyDescent="0.2">
      <c r="A20" s="27">
        <v>663.06776470892783</v>
      </c>
      <c r="B20" s="27">
        <v>3.8039710659367572</v>
      </c>
      <c r="C20" s="19">
        <v>0.21298900000000001</v>
      </c>
      <c r="D20" s="27">
        <v>80.736665818035632</v>
      </c>
      <c r="E20" s="27">
        <v>8.4232094823854169</v>
      </c>
      <c r="F20" s="125">
        <v>0.123627</v>
      </c>
      <c r="G20" s="14" t="s">
        <v>360</v>
      </c>
    </row>
    <row r="21" spans="1:7" x14ac:dyDescent="0.2">
      <c r="A21" s="27">
        <v>591.8294130909843</v>
      </c>
      <c r="B21" s="27">
        <v>4.144814300728715</v>
      </c>
      <c r="C21" s="19">
        <v>0.16250600000000001</v>
      </c>
      <c r="D21" s="27">
        <v>89.632254345422453</v>
      </c>
      <c r="E21" s="27">
        <v>8.3935750729452732</v>
      </c>
      <c r="F21" s="125">
        <v>0.156947</v>
      </c>
      <c r="G21" s="14" t="s">
        <v>360</v>
      </c>
    </row>
    <row r="22" spans="1:7" x14ac:dyDescent="0.2">
      <c r="A22" s="27">
        <v>617.45013774118092</v>
      </c>
      <c r="B22" s="27">
        <v>3.4414960237821304</v>
      </c>
      <c r="C22" s="19">
        <v>0.18082100000000001</v>
      </c>
      <c r="D22" s="27">
        <v>86.868530016031627</v>
      </c>
      <c r="E22" s="27">
        <v>8.3871125138522533</v>
      </c>
      <c r="F22" s="125">
        <v>0.151036</v>
      </c>
      <c r="G22" s="14" t="s">
        <v>360</v>
      </c>
    </row>
    <row r="23" spans="1:7" x14ac:dyDescent="0.2">
      <c r="A23" s="27">
        <v>559.7387257913839</v>
      </c>
      <c r="B23" s="27">
        <v>3.1930699085004846</v>
      </c>
      <c r="C23" s="19">
        <v>0.14960999999999999</v>
      </c>
      <c r="D23" s="27">
        <v>81.551103797732779</v>
      </c>
      <c r="E23" s="27">
        <v>8.3828113821385113</v>
      </c>
      <c r="F23" s="125">
        <v>0.12567500000000001</v>
      </c>
      <c r="G23" s="14" t="s">
        <v>360</v>
      </c>
    </row>
    <row r="24" spans="1:7" x14ac:dyDescent="0.2">
      <c r="A24" s="27">
        <v>629.33246671091183</v>
      </c>
      <c r="B24" s="27">
        <v>3.4401689448823216</v>
      </c>
      <c r="C24" s="19">
        <v>0.188888</v>
      </c>
      <c r="D24" s="27">
        <v>77.714773087539314</v>
      </c>
      <c r="E24" s="27">
        <v>8.3407381612783897</v>
      </c>
      <c r="F24" s="125">
        <v>0.119768</v>
      </c>
      <c r="G24" s="14" t="s">
        <v>360</v>
      </c>
    </row>
    <row r="25" spans="1:7" x14ac:dyDescent="0.2">
      <c r="A25" s="27">
        <v>640.17641214522939</v>
      </c>
      <c r="B25" s="27">
        <v>3.5355723057555659</v>
      </c>
      <c r="C25" s="19">
        <v>0.19564500000000001</v>
      </c>
      <c r="D25" s="27">
        <v>79.42585212860152</v>
      </c>
      <c r="E25" s="27">
        <v>8.3152118520788463</v>
      </c>
      <c r="F25" s="125">
        <v>0.12083000000000001</v>
      </c>
      <c r="G25" s="14" t="s">
        <v>360</v>
      </c>
    </row>
    <row r="26" spans="1:7" x14ac:dyDescent="0.2">
      <c r="A26" s="27">
        <v>634.76801763940773</v>
      </c>
      <c r="B26" s="27">
        <v>3.465533407021574</v>
      </c>
      <c r="C26" s="19">
        <v>0.19192699999999999</v>
      </c>
      <c r="D26" s="27">
        <v>75.90150494765065</v>
      </c>
      <c r="E26" s="27">
        <v>8.2961841643501124</v>
      </c>
      <c r="F26" s="125">
        <v>0.115615</v>
      </c>
      <c r="G26" s="14" t="s">
        <v>360</v>
      </c>
    </row>
    <row r="27" spans="1:7" x14ac:dyDescent="0.2">
      <c r="A27" s="27">
        <v>671.33328638736782</v>
      </c>
      <c r="B27" s="27">
        <v>3.8893597776309048</v>
      </c>
      <c r="C27" s="19">
        <v>0.21889900000000001</v>
      </c>
      <c r="D27" s="27">
        <v>74.175423248463858</v>
      </c>
      <c r="E27" s="27">
        <v>8.2942052212349484</v>
      </c>
      <c r="F27" s="125">
        <v>0.10842599999999999</v>
      </c>
      <c r="G27" s="14" t="s">
        <v>360</v>
      </c>
    </row>
    <row r="28" spans="1:7" x14ac:dyDescent="0.2">
      <c r="A28" s="27">
        <v>623.46767665538073</v>
      </c>
      <c r="B28" s="27">
        <v>4.1692281721285553</v>
      </c>
      <c r="C28" s="19">
        <v>0.183754</v>
      </c>
      <c r="D28" s="27">
        <v>75.134667316403423</v>
      </c>
      <c r="E28" s="27">
        <v>8.2879744896650891</v>
      </c>
      <c r="F28" s="125">
        <v>0.11168699999999999</v>
      </c>
      <c r="G28" s="14" t="s">
        <v>360</v>
      </c>
    </row>
    <row r="29" spans="1:7" x14ac:dyDescent="0.2">
      <c r="A29" s="27">
        <v>675.68248819160033</v>
      </c>
      <c r="B29" s="27">
        <v>3.9549583862414353</v>
      </c>
      <c r="C29" s="19">
        <v>0.22363</v>
      </c>
      <c r="D29" s="27">
        <v>70.707209321177913</v>
      </c>
      <c r="E29" s="27">
        <v>8.2247359541052347</v>
      </c>
      <c r="F29" s="125">
        <v>9.9195599999999995E-2</v>
      </c>
      <c r="G29" s="14" t="s">
        <v>360</v>
      </c>
    </row>
    <row r="30" spans="1:7" x14ac:dyDescent="0.2">
      <c r="A30" s="27">
        <v>621.85453945714562</v>
      </c>
      <c r="B30" s="27">
        <v>4.2965360176106797</v>
      </c>
      <c r="C30" s="19">
        <v>0.18312999999999999</v>
      </c>
      <c r="D30" s="27">
        <v>71.793350806843506</v>
      </c>
      <c r="E30" s="27">
        <v>8.2078832396860104</v>
      </c>
      <c r="F30" s="125">
        <v>0.10803400000000001</v>
      </c>
      <c r="G30" s="14" t="s">
        <v>360</v>
      </c>
    </row>
    <row r="31" spans="1:7" x14ac:dyDescent="0.2">
      <c r="A31" s="27">
        <v>591.82678068153973</v>
      </c>
      <c r="B31" s="27">
        <v>3.3388993655113288</v>
      </c>
      <c r="C31" s="19">
        <v>0.162526</v>
      </c>
      <c r="D31" s="27">
        <v>70.408470871054689</v>
      </c>
      <c r="E31" s="27">
        <v>8.2034352452998665</v>
      </c>
      <c r="F31" s="125">
        <v>9.9579899999999999E-2</v>
      </c>
      <c r="G31" s="14" t="s">
        <v>360</v>
      </c>
    </row>
    <row r="32" spans="1:7" x14ac:dyDescent="0.2">
      <c r="A32" s="27">
        <v>624.82602941522555</v>
      </c>
      <c r="B32" s="27">
        <v>3.5066079639000942</v>
      </c>
      <c r="C32" s="19">
        <v>0.18579200000000001</v>
      </c>
      <c r="D32" s="27">
        <v>66.4652840366319</v>
      </c>
      <c r="E32" s="27">
        <v>8.1360598303627754</v>
      </c>
      <c r="F32" s="125">
        <v>9.1560900000000001E-2</v>
      </c>
      <c r="G32" s="14" t="s">
        <v>360</v>
      </c>
    </row>
    <row r="33" spans="1:7" x14ac:dyDescent="0.2">
      <c r="A33" s="27">
        <v>571.49436467676526</v>
      </c>
      <c r="B33" s="27">
        <v>3.2382828290407009</v>
      </c>
      <c r="C33" s="19">
        <v>0.15459500000000001</v>
      </c>
      <c r="D33" s="27">
        <v>66.170775935442947</v>
      </c>
      <c r="E33" s="27">
        <v>8.1324400648834327</v>
      </c>
      <c r="F33" s="125">
        <v>9.3999100000000002E-2</v>
      </c>
      <c r="G33" s="14" t="s">
        <v>360</v>
      </c>
    </row>
    <row r="34" spans="1:7" x14ac:dyDescent="0.2">
      <c r="A34" s="27">
        <v>566.18544205316505</v>
      </c>
      <c r="B34" s="27">
        <v>3.347073883250983</v>
      </c>
      <c r="C34" s="19">
        <v>0.15177299999999999</v>
      </c>
      <c r="D34" s="27">
        <v>62.937580154880045</v>
      </c>
      <c r="E34" s="27">
        <v>8.0611433178285132</v>
      </c>
      <c r="F34" s="125">
        <v>8.3761799999999997E-2</v>
      </c>
      <c r="G34" s="14" t="s">
        <v>360</v>
      </c>
    </row>
    <row r="35" spans="1:7" x14ac:dyDescent="0.2">
      <c r="A35" s="27">
        <v>570.31311761715472</v>
      </c>
      <c r="B35" s="27">
        <v>3.4464267856700435</v>
      </c>
      <c r="C35" s="19">
        <v>0.15385399999999999</v>
      </c>
      <c r="D35" s="27">
        <v>62.624425380648979</v>
      </c>
      <c r="E35" s="27">
        <v>8.05697588996434</v>
      </c>
      <c r="F35" s="125">
        <v>8.9598499999999998E-2</v>
      </c>
      <c r="G35" s="14" t="s">
        <v>360</v>
      </c>
    </row>
    <row r="36" spans="1:7" x14ac:dyDescent="0.2">
      <c r="A36" s="27">
        <v>566.65183556645343</v>
      </c>
      <c r="B36" s="27">
        <v>3.4726464758750462</v>
      </c>
      <c r="C36" s="19">
        <v>0.15149699999999999</v>
      </c>
      <c r="D36" s="27">
        <v>60.405360074005401</v>
      </c>
      <c r="E36" s="27">
        <v>8.0269248394080499</v>
      </c>
      <c r="F36" s="125">
        <v>8.1532800000000002E-2</v>
      </c>
      <c r="G36" s="14" t="s">
        <v>360</v>
      </c>
    </row>
    <row r="37" spans="1:7" x14ac:dyDescent="0.2">
      <c r="A37" s="27">
        <v>670.64774692967615</v>
      </c>
      <c r="B37" s="27">
        <v>4.2833747721446231</v>
      </c>
      <c r="C37" s="19">
        <v>0.21951899999999999</v>
      </c>
      <c r="D37" s="27">
        <v>69.555503599481739</v>
      </c>
      <c r="E37" s="27">
        <v>8.013745283265461</v>
      </c>
      <c r="F37" s="125">
        <v>0.112218</v>
      </c>
      <c r="G37" s="14" t="s">
        <v>360</v>
      </c>
    </row>
    <row r="38" spans="1:7" x14ac:dyDescent="0.2">
      <c r="A38" s="27">
        <v>644.37310584783972</v>
      </c>
      <c r="B38" s="27">
        <v>3.6855914755742827</v>
      </c>
      <c r="C38" s="19">
        <v>0.19810900000000001</v>
      </c>
      <c r="D38" s="27">
        <v>49.971556061732819</v>
      </c>
      <c r="E38" s="27">
        <v>7.9682071862644879</v>
      </c>
      <c r="F38" s="125">
        <v>4.3973100000000001E-2</v>
      </c>
      <c r="G38" s="14" t="s">
        <v>360</v>
      </c>
    </row>
    <row r="39" spans="1:7" x14ac:dyDescent="0.2">
      <c r="A39" s="27">
        <v>613.76019971121002</v>
      </c>
      <c r="B39" s="27">
        <v>3.4629775240231795</v>
      </c>
      <c r="C39" s="19">
        <v>0.173736</v>
      </c>
      <c r="D39" s="27">
        <v>58.302024710576532</v>
      </c>
      <c r="E39" s="27">
        <v>7.9590146190360258</v>
      </c>
      <c r="F39" s="125">
        <v>7.3102299999999995E-2</v>
      </c>
      <c r="G39" s="14" t="s">
        <v>360</v>
      </c>
    </row>
    <row r="40" spans="1:7" x14ac:dyDescent="0.2">
      <c r="A40" s="27">
        <v>631.37511907077476</v>
      </c>
      <c r="B40" s="27">
        <v>3.5173537003230781</v>
      </c>
      <c r="C40" s="19">
        <v>0.19036500000000001</v>
      </c>
      <c r="D40" s="27">
        <v>57.153811926163449</v>
      </c>
      <c r="E40" s="27">
        <v>7.921178929373804</v>
      </c>
      <c r="F40" s="125">
        <v>7.1151800000000001E-2</v>
      </c>
      <c r="G40" s="14" t="s">
        <v>360</v>
      </c>
    </row>
    <row r="41" spans="1:7" x14ac:dyDescent="0.2">
      <c r="A41" s="27">
        <v>573.21552987617099</v>
      </c>
      <c r="B41" s="27">
        <v>3.37503131690233</v>
      </c>
      <c r="C41" s="19">
        <v>0.15831700000000001</v>
      </c>
      <c r="D41" s="27">
        <v>59.250521950971446</v>
      </c>
      <c r="E41" s="27">
        <v>7.9112579539762242</v>
      </c>
      <c r="F41" s="125">
        <v>7.65787E-2</v>
      </c>
      <c r="G41" s="14" t="s">
        <v>360</v>
      </c>
    </row>
    <row r="42" spans="1:7" x14ac:dyDescent="0.2">
      <c r="A42" s="27">
        <v>623.62167919981721</v>
      </c>
      <c r="B42" s="27">
        <v>3.4948229610646999</v>
      </c>
      <c r="C42" s="19">
        <v>0.18489</v>
      </c>
      <c r="D42" s="27">
        <v>54.82562296086089</v>
      </c>
      <c r="E42" s="27">
        <v>7.900812921631263</v>
      </c>
      <c r="F42" s="125">
        <v>6.5026899999999999E-2</v>
      </c>
      <c r="G42" s="14" t="s">
        <v>360</v>
      </c>
    </row>
    <row r="43" spans="1:7" x14ac:dyDescent="0.2">
      <c r="A43" s="27">
        <v>634.66192034158507</v>
      </c>
      <c r="B43" s="27">
        <v>4.2106884211893174</v>
      </c>
      <c r="C43" s="19">
        <v>0.192245</v>
      </c>
      <c r="D43" s="27">
        <v>51.823352138174513</v>
      </c>
      <c r="E43" s="27">
        <v>7.8860923630733053</v>
      </c>
      <c r="F43" s="125">
        <v>5.6523799999999999E-2</v>
      </c>
      <c r="G43" s="14" t="s">
        <v>360</v>
      </c>
    </row>
    <row r="44" spans="1:7" x14ac:dyDescent="0.2">
      <c r="A44" s="27">
        <v>660.73089861823905</v>
      </c>
      <c r="B44" s="27">
        <v>3.6358671379384027</v>
      </c>
      <c r="C44" s="19">
        <v>0.211982</v>
      </c>
      <c r="D44" s="27">
        <v>52.704595591284829</v>
      </c>
      <c r="E44" s="27">
        <v>7.8615020292551323</v>
      </c>
      <c r="F44" s="125">
        <v>6.4947599999999994E-2</v>
      </c>
      <c r="G44" s="14" t="s">
        <v>360</v>
      </c>
    </row>
    <row r="45" spans="1:7" x14ac:dyDescent="0.2">
      <c r="A45" s="27">
        <v>648.86963565627741</v>
      </c>
      <c r="B45" s="27">
        <v>3.5234017975029777</v>
      </c>
      <c r="C45" s="19">
        <v>0.202293</v>
      </c>
      <c r="D45" s="27">
        <v>50.16320683206763</v>
      </c>
      <c r="E45" s="27">
        <v>7.8392287020518028</v>
      </c>
      <c r="F45" s="125">
        <v>3.0506399999999999E-2</v>
      </c>
      <c r="G45" s="14" t="s">
        <v>359</v>
      </c>
    </row>
    <row r="46" spans="1:7" x14ac:dyDescent="0.2">
      <c r="A46" s="27">
        <v>617.06854803254043</v>
      </c>
      <c r="B46" s="27">
        <v>3.7958530084740545</v>
      </c>
      <c r="C46" s="19">
        <v>0.17930099999999999</v>
      </c>
      <c r="D46" s="27">
        <v>56.286606974333147</v>
      </c>
      <c r="E46" s="27">
        <v>7.8190603843989432</v>
      </c>
      <c r="F46" s="125">
        <v>4.89746E-2</v>
      </c>
      <c r="G46" s="14" t="s">
        <v>359</v>
      </c>
    </row>
    <row r="47" spans="1:7" x14ac:dyDescent="0.2">
      <c r="A47" s="27">
        <v>558.20540582260719</v>
      </c>
      <c r="B47" s="27">
        <v>3.35539352082644</v>
      </c>
      <c r="C47" s="19">
        <v>0.14909600000000001</v>
      </c>
      <c r="D47" s="27">
        <v>59.342647273989449</v>
      </c>
      <c r="E47" s="27">
        <v>7.8178061428565488</v>
      </c>
      <c r="F47" s="125">
        <v>5.7788100000000002E-2</v>
      </c>
      <c r="G47" s="14" t="s">
        <v>359</v>
      </c>
    </row>
    <row r="48" spans="1:7" x14ac:dyDescent="0.2">
      <c r="A48" s="27">
        <v>654.11112267061651</v>
      </c>
      <c r="B48" s="27">
        <v>3.632693791768951</v>
      </c>
      <c r="C48" s="19">
        <v>0.207373</v>
      </c>
      <c r="D48" s="27">
        <v>51.624692567852705</v>
      </c>
      <c r="E48" s="27">
        <v>7.7878715586172129</v>
      </c>
      <c r="F48" s="125">
        <v>6.7992999999999998E-2</v>
      </c>
      <c r="G48" s="14" t="s">
        <v>360</v>
      </c>
    </row>
    <row r="49" spans="1:7" x14ac:dyDescent="0.2">
      <c r="A49" s="27">
        <v>611.44745381125438</v>
      </c>
      <c r="B49" s="27">
        <v>3.7169946939176661</v>
      </c>
      <c r="C49" s="19">
        <v>0.175621</v>
      </c>
      <c r="D49" s="27">
        <v>49.165027475731371</v>
      </c>
      <c r="E49" s="27">
        <v>7.7623530744502647</v>
      </c>
      <c r="F49" s="125">
        <v>2.52077E-2</v>
      </c>
      <c r="G49" s="14" t="s">
        <v>359</v>
      </c>
    </row>
    <row r="50" spans="1:7" x14ac:dyDescent="0.2">
      <c r="A50" s="27">
        <v>587.0192090703365</v>
      </c>
      <c r="B50" s="27">
        <v>3.4236949895830544</v>
      </c>
      <c r="C50" s="19">
        <v>0.16001499999999999</v>
      </c>
      <c r="D50" s="27">
        <v>48.098676398930735</v>
      </c>
      <c r="E50" s="27">
        <v>7.7537664100154053</v>
      </c>
      <c r="F50" s="125">
        <v>4.6265199999999999E-2</v>
      </c>
      <c r="G50" s="14" t="s">
        <v>360</v>
      </c>
    </row>
    <row r="51" spans="1:7" x14ac:dyDescent="0.2">
      <c r="A51" s="27">
        <v>568.3037898729857</v>
      </c>
      <c r="B51" s="27">
        <v>3.3890506237478046</v>
      </c>
      <c r="C51" s="19">
        <v>0.152866</v>
      </c>
      <c r="D51" s="27">
        <v>52.350376418729709</v>
      </c>
      <c r="E51" s="27">
        <v>7.7102448540523794</v>
      </c>
      <c r="F51" s="125">
        <v>4.02041E-2</v>
      </c>
      <c r="G51" s="14" t="s">
        <v>359</v>
      </c>
    </row>
    <row r="52" spans="1:7" x14ac:dyDescent="0.2">
      <c r="A52" s="27">
        <v>639.96118696355961</v>
      </c>
      <c r="B52" s="27">
        <v>3.7994414101728959</v>
      </c>
      <c r="C52" s="19">
        <v>0.19611000000000001</v>
      </c>
      <c r="D52" s="27">
        <v>49.848429814752265</v>
      </c>
      <c r="E52" s="27">
        <v>7.6360572169135583</v>
      </c>
      <c r="F52" s="125">
        <v>3.1362800000000003E-2</v>
      </c>
      <c r="G52" s="14" t="s">
        <v>359</v>
      </c>
    </row>
    <row r="53" spans="1:7" x14ac:dyDescent="0.2">
      <c r="A53" s="27">
        <v>572.19222179457677</v>
      </c>
      <c r="B53" s="27">
        <v>3.2559733790589656</v>
      </c>
      <c r="C53" s="19">
        <v>0.155193</v>
      </c>
      <c r="D53" s="27">
        <v>43.990012993821018</v>
      </c>
      <c r="E53" s="27">
        <v>7.6017041665605785</v>
      </c>
      <c r="F53" s="125">
        <v>5.2770299999999999E-2</v>
      </c>
      <c r="G53" s="14" t="s">
        <v>360</v>
      </c>
    </row>
    <row r="54" spans="1:7" x14ac:dyDescent="0.2">
      <c r="A54" s="27">
        <v>647.86492857805513</v>
      </c>
      <c r="B54" s="27">
        <v>3.611188007555409</v>
      </c>
      <c r="C54" s="19">
        <v>0.201069</v>
      </c>
      <c r="D54" s="27">
        <v>39.939231358852794</v>
      </c>
      <c r="E54" s="27">
        <v>7.5513034977849776</v>
      </c>
      <c r="F54" s="125">
        <v>4.5854899999999997E-2</v>
      </c>
      <c r="G54" s="14" t="s">
        <v>360</v>
      </c>
    </row>
    <row r="55" spans="1:7" x14ac:dyDescent="0.2">
      <c r="A55" s="27">
        <v>652.83152721461249</v>
      </c>
      <c r="B55" s="27">
        <v>3.5274205754564143</v>
      </c>
      <c r="C55" s="19">
        <v>0.20619100000000001</v>
      </c>
      <c r="D55" s="27">
        <v>41.067420583498695</v>
      </c>
      <c r="E55" s="27">
        <v>7.5335811943515489</v>
      </c>
      <c r="F55" s="125">
        <v>7.79059E-3</v>
      </c>
      <c r="G55" s="14" t="s">
        <v>359</v>
      </c>
    </row>
    <row r="56" spans="1:7" x14ac:dyDescent="0.2">
      <c r="A56" s="27">
        <v>673.51215736104928</v>
      </c>
      <c r="B56" s="27">
        <v>3.6846491612881156</v>
      </c>
      <c r="C56" s="19">
        <v>0.22068699999999999</v>
      </c>
      <c r="D56" s="27">
        <v>35.881349965819908</v>
      </c>
      <c r="E56" s="27">
        <v>7.4446213238421866</v>
      </c>
      <c r="F56" s="125">
        <v>4.1005E-2</v>
      </c>
      <c r="G56" s="14" t="s">
        <v>360</v>
      </c>
    </row>
    <row r="57" spans="1:7" x14ac:dyDescent="0.2">
      <c r="A57" s="27">
        <v>615.82584121240575</v>
      </c>
      <c r="B57" s="27">
        <v>3.4779881786484701</v>
      </c>
      <c r="C57" s="19">
        <v>0.177754</v>
      </c>
      <c r="D57" s="27">
        <v>41.315935433575092</v>
      </c>
      <c r="E57" s="27">
        <v>7.4430816513692974</v>
      </c>
      <c r="F57" s="125">
        <v>4.9865699999999999E-2</v>
      </c>
      <c r="G57" s="14" t="s">
        <v>360</v>
      </c>
    </row>
    <row r="58" spans="1:7" x14ac:dyDescent="0.2">
      <c r="A58" s="27">
        <v>675.37201570958825</v>
      </c>
      <c r="B58" s="27">
        <v>3.6436936146202155</v>
      </c>
      <c r="C58" s="19">
        <v>0.22311700000000001</v>
      </c>
      <c r="D58" s="27">
        <v>47.909543448998001</v>
      </c>
      <c r="E58" s="27">
        <v>7.4233039076263241</v>
      </c>
      <c r="F58" s="125">
        <v>3.2303199999999997E-2</v>
      </c>
      <c r="G58" s="14" t="s">
        <v>359</v>
      </c>
    </row>
    <row r="59" spans="1:7" x14ac:dyDescent="0.2">
      <c r="A59" s="27">
        <v>581.95401848234508</v>
      </c>
      <c r="B59" s="27">
        <v>3.6522649076032101</v>
      </c>
      <c r="C59" s="19">
        <v>0.15661700000000001</v>
      </c>
      <c r="D59" s="27">
        <v>35.38071037998585</v>
      </c>
      <c r="E59" s="27">
        <v>7.4166208932444961</v>
      </c>
      <c r="F59" s="125">
        <v>3.5498000000000002E-2</v>
      </c>
      <c r="G59" s="14" t="s">
        <v>360</v>
      </c>
    </row>
    <row r="60" spans="1:7" x14ac:dyDescent="0.2">
      <c r="A60" s="27">
        <v>669.82022279469527</v>
      </c>
      <c r="B60" s="27">
        <v>3.5731647075103661</v>
      </c>
      <c r="C60" s="19">
        <v>0.21731900000000001</v>
      </c>
      <c r="D60" s="27">
        <v>69.905987262480807</v>
      </c>
      <c r="E60" s="27">
        <v>7.4030211004054145</v>
      </c>
      <c r="F60" s="125">
        <v>7.9566600000000001E-2</v>
      </c>
      <c r="G60" s="14" t="s">
        <v>120</v>
      </c>
    </row>
    <row r="61" spans="1:7" x14ac:dyDescent="0.2">
      <c r="A61" s="27">
        <v>632.79707264564763</v>
      </c>
      <c r="B61" s="27">
        <v>3.5172833084144961</v>
      </c>
      <c r="C61" s="19">
        <v>0.18629799999999999</v>
      </c>
      <c r="D61" s="27">
        <v>52.090328802149095</v>
      </c>
      <c r="E61" s="27">
        <v>7.3747181631437586</v>
      </c>
      <c r="F61" s="125">
        <v>6.1947099999999998E-2</v>
      </c>
      <c r="G61" s="14" t="s">
        <v>119</v>
      </c>
    </row>
    <row r="62" spans="1:7" x14ac:dyDescent="0.2">
      <c r="A62" s="27">
        <v>666.8386925495131</v>
      </c>
      <c r="B62" s="27">
        <v>3.7956450133675985</v>
      </c>
      <c r="C62" s="19">
        <v>0.21527499999999999</v>
      </c>
      <c r="D62" s="27">
        <v>35.680112196739358</v>
      </c>
      <c r="E62" s="27">
        <v>7.334780289370368</v>
      </c>
      <c r="F62" s="125">
        <v>4.3855699999999997E-2</v>
      </c>
      <c r="G62" s="14" t="s">
        <v>360</v>
      </c>
    </row>
    <row r="63" spans="1:7" x14ac:dyDescent="0.2">
      <c r="A63" s="27">
        <v>599.37267555530786</v>
      </c>
      <c r="B63" s="27">
        <v>3.5788041160146671</v>
      </c>
      <c r="C63" s="19">
        <v>0.16720099999999999</v>
      </c>
      <c r="D63" s="27">
        <v>42.605250877135177</v>
      </c>
      <c r="E63" s="27">
        <v>7.3144675570093645</v>
      </c>
      <c r="F63" s="125">
        <v>1.6636100000000001E-2</v>
      </c>
      <c r="G63" s="14" t="s">
        <v>359</v>
      </c>
    </row>
    <row r="64" spans="1:7" x14ac:dyDescent="0.2">
      <c r="A64" s="27">
        <v>652.34930234773174</v>
      </c>
      <c r="B64" s="27">
        <v>3.5272443673196245</v>
      </c>
      <c r="C64" s="19">
        <v>0.20408699999999999</v>
      </c>
      <c r="D64" s="27">
        <v>47.135165705076034</v>
      </c>
      <c r="E64" s="27">
        <v>7.3033573703528347</v>
      </c>
      <c r="F64" s="125">
        <v>4.1982600000000002E-2</v>
      </c>
      <c r="G64" s="14" t="s">
        <v>119</v>
      </c>
    </row>
    <row r="65" spans="1:7" x14ac:dyDescent="0.2">
      <c r="A65" s="27">
        <v>608.61853188306884</v>
      </c>
      <c r="B65" s="27">
        <v>3.656671853694295</v>
      </c>
      <c r="C65" s="19">
        <v>0.17463200000000001</v>
      </c>
      <c r="D65" s="27">
        <v>28.507674921618939</v>
      </c>
      <c r="E65" s="27">
        <v>7.2538095431642713</v>
      </c>
      <c r="F65" s="125">
        <v>2.0110200000000002E-2</v>
      </c>
      <c r="G65" s="14" t="s">
        <v>360</v>
      </c>
    </row>
    <row r="66" spans="1:7" x14ac:dyDescent="0.2">
      <c r="A66" s="27">
        <v>601.87071099187483</v>
      </c>
      <c r="B66" s="27">
        <v>3.4399821683666891</v>
      </c>
      <c r="C66" s="19">
        <v>0.16932</v>
      </c>
      <c r="D66" s="27">
        <v>31.642692925024281</v>
      </c>
      <c r="E66" s="27">
        <v>7.1879745672117918</v>
      </c>
      <c r="F66" s="125">
        <v>3.08469E-2</v>
      </c>
      <c r="G66" s="14" t="s">
        <v>360</v>
      </c>
    </row>
    <row r="67" spans="1:7" x14ac:dyDescent="0.2">
      <c r="A67" s="27">
        <v>582.98124608077308</v>
      </c>
      <c r="B67" s="27">
        <v>3.3349890963356201</v>
      </c>
      <c r="C67" s="19">
        <v>0.15801999999999999</v>
      </c>
      <c r="D67" s="27">
        <v>23.760777236364028</v>
      </c>
      <c r="E67" s="27">
        <v>7.0870690534087428</v>
      </c>
      <c r="F67" s="125">
        <v>1.12269E-2</v>
      </c>
      <c r="G67" s="14" t="s">
        <v>360</v>
      </c>
    </row>
    <row r="68" spans="1:7" x14ac:dyDescent="0.2">
      <c r="A68" s="27">
        <v>655.16513822788727</v>
      </c>
      <c r="B68" s="27">
        <v>3.6585027907903727</v>
      </c>
      <c r="C68" s="19">
        <v>0.20660800000000001</v>
      </c>
      <c r="D68" s="27">
        <v>43.383707480386448</v>
      </c>
      <c r="E68" s="27">
        <v>7.0616668021695794</v>
      </c>
      <c r="F68" s="125">
        <v>4.6143099999999999E-2</v>
      </c>
      <c r="G68" s="14" t="s">
        <v>119</v>
      </c>
    </row>
    <row r="69" spans="1:7" x14ac:dyDescent="0.2">
      <c r="A69" s="27">
        <v>607.42580127943427</v>
      </c>
      <c r="B69" s="27">
        <v>3.6578532657677423</v>
      </c>
      <c r="C69" s="19">
        <v>0.17361499999999999</v>
      </c>
      <c r="D69" s="27">
        <v>35.162623994823491</v>
      </c>
      <c r="E69" s="27">
        <v>7.0331473718084156</v>
      </c>
      <c r="F69" s="125">
        <v>1.9006800000000001E-2</v>
      </c>
      <c r="G69" s="14" t="s">
        <v>119</v>
      </c>
    </row>
    <row r="70" spans="1:7" x14ac:dyDescent="0.2">
      <c r="A70" s="27">
        <v>599.19033538735994</v>
      </c>
      <c r="B70" s="27">
        <v>3.3974791057502252</v>
      </c>
      <c r="C70" s="19">
        <v>0.16803599999999999</v>
      </c>
      <c r="D70" s="27">
        <v>36.323119053553761</v>
      </c>
      <c r="E70" s="27">
        <v>6.9027739962243633</v>
      </c>
      <c r="F70" s="125">
        <v>3.12302E-2</v>
      </c>
      <c r="G70" s="14" t="s">
        <v>119</v>
      </c>
    </row>
    <row r="71" spans="1:7" x14ac:dyDescent="0.2">
      <c r="A71" s="27">
        <v>646.63750927613705</v>
      </c>
      <c r="B71" s="27">
        <v>3.6915690811492103</v>
      </c>
      <c r="C71" s="19">
        <v>0.20014899999999999</v>
      </c>
      <c r="D71" s="27">
        <v>29.880941307063949</v>
      </c>
      <c r="E71" s="27">
        <v>6.8963411427382137</v>
      </c>
      <c r="F71" s="125">
        <v>3.9165999999999999E-2</v>
      </c>
      <c r="G71" s="14" t="s">
        <v>360</v>
      </c>
    </row>
    <row r="72" spans="1:7" x14ac:dyDescent="0.2">
      <c r="A72" s="27">
        <v>579.18413995740877</v>
      </c>
      <c r="B72" s="27">
        <v>3.476443202718273</v>
      </c>
      <c r="C72" s="19">
        <v>0.154805</v>
      </c>
      <c r="D72" s="27">
        <v>20.939096609563283</v>
      </c>
      <c r="E72" s="27">
        <v>6.8582955247249817</v>
      </c>
      <c r="F72" s="125">
        <v>1.3263199999999999E-2</v>
      </c>
      <c r="G72" s="14" t="s">
        <v>360</v>
      </c>
    </row>
    <row r="73" spans="1:7" x14ac:dyDescent="0.2">
      <c r="A73" s="27">
        <v>651.0282388881451</v>
      </c>
      <c r="B73" s="27">
        <v>3.6607094712261072</v>
      </c>
      <c r="C73" s="19">
        <v>0.20321400000000001</v>
      </c>
      <c r="D73" s="27">
        <v>23.014055860696814</v>
      </c>
      <c r="E73" s="27">
        <v>6.8506559853607492</v>
      </c>
      <c r="F73" s="125">
        <v>1.7720199999999998E-2</v>
      </c>
      <c r="G73" s="14" t="s">
        <v>360</v>
      </c>
    </row>
    <row r="74" spans="1:7" x14ac:dyDescent="0.2">
      <c r="A74" s="27">
        <v>610.43759277105721</v>
      </c>
      <c r="B74" s="27">
        <v>3.4700332085621977</v>
      </c>
      <c r="C74" s="19">
        <v>0.17494699999999999</v>
      </c>
      <c r="D74" s="27">
        <v>40.74732601814199</v>
      </c>
      <c r="E74" s="27">
        <v>6.764730859803044</v>
      </c>
      <c r="F74" s="125">
        <v>2.6525900000000002E-2</v>
      </c>
      <c r="G74" s="14" t="s">
        <v>359</v>
      </c>
    </row>
    <row r="75" spans="1:7" x14ac:dyDescent="0.2">
      <c r="A75" s="27">
        <v>673.81811052797696</v>
      </c>
      <c r="B75" s="27">
        <v>3.6218032956854174</v>
      </c>
      <c r="C75" s="19">
        <v>0.22154199999999999</v>
      </c>
      <c r="D75" s="27">
        <v>18.953278510452531</v>
      </c>
      <c r="E75" s="27">
        <v>6.6722196886880818</v>
      </c>
      <c r="F75" s="125">
        <v>1.40258E-2</v>
      </c>
      <c r="G75" s="14" t="s">
        <v>360</v>
      </c>
    </row>
    <row r="76" spans="1:7" x14ac:dyDescent="0.2">
      <c r="A76" s="27">
        <v>603.33709996329583</v>
      </c>
      <c r="B76" s="27">
        <v>3.4554012700501811</v>
      </c>
      <c r="C76" s="19">
        <v>0.17032</v>
      </c>
      <c r="D76" s="27">
        <v>39.012520607658999</v>
      </c>
      <c r="E76" s="27">
        <v>6.6312290660022786</v>
      </c>
      <c r="F76" s="125">
        <v>2.5301299999999999E-2</v>
      </c>
      <c r="G76" s="14" t="s">
        <v>359</v>
      </c>
    </row>
    <row r="77" spans="1:7" x14ac:dyDescent="0.2">
      <c r="A77" s="27">
        <v>642.5652258082531</v>
      </c>
      <c r="B77" s="27">
        <v>3.5471792948818734</v>
      </c>
      <c r="C77" s="19">
        <v>0.197801</v>
      </c>
      <c r="D77" s="27">
        <v>21.56956738814165</v>
      </c>
      <c r="E77" s="27">
        <v>6.5402996761591217</v>
      </c>
      <c r="F77" s="125">
        <v>8.0322699999999993E-3</v>
      </c>
      <c r="G77" s="14" t="s">
        <v>119</v>
      </c>
    </row>
    <row r="78" spans="1:7" x14ac:dyDescent="0.2">
      <c r="A78" s="27">
        <v>604.53235493850889</v>
      </c>
      <c r="B78" s="27">
        <v>3.4394952735277116</v>
      </c>
      <c r="C78" s="19">
        <v>0.17175799999999999</v>
      </c>
      <c r="D78" s="27">
        <v>16.104187872380407</v>
      </c>
      <c r="E78" s="27">
        <v>6.4276270102519284</v>
      </c>
      <c r="F78" s="125">
        <v>1.11328E-2</v>
      </c>
      <c r="G78" s="14" t="s">
        <v>360</v>
      </c>
    </row>
    <row r="79" spans="1:7" x14ac:dyDescent="0.2">
      <c r="A79" s="27">
        <v>597.03138254705698</v>
      </c>
      <c r="B79" s="27">
        <v>3.6066308945252801</v>
      </c>
      <c r="C79" s="19">
        <v>0.16584699999999999</v>
      </c>
      <c r="D79" s="27">
        <v>20.696135125353308</v>
      </c>
      <c r="E79" s="27">
        <v>6.4027037269777294</v>
      </c>
      <c r="F79" s="125">
        <v>1.2141000000000001E-2</v>
      </c>
      <c r="G79" s="14" t="s">
        <v>119</v>
      </c>
    </row>
    <row r="80" spans="1:7" x14ac:dyDescent="0.2">
      <c r="A80" s="27">
        <v>642.33747093102124</v>
      </c>
      <c r="B80" s="27">
        <v>3.7036039666121292</v>
      </c>
      <c r="C80" s="19">
        <v>0.197521</v>
      </c>
      <c r="D80" s="27">
        <v>14.57291752587561</v>
      </c>
      <c r="E80" s="27">
        <v>6.2027208688706477</v>
      </c>
      <c r="F80" s="125">
        <v>1.1945799999999999E-2</v>
      </c>
      <c r="G80" s="14" t="s">
        <v>360</v>
      </c>
    </row>
    <row r="81" spans="1:7" x14ac:dyDescent="0.2">
      <c r="A81" s="27">
        <v>632.51558383272197</v>
      </c>
      <c r="B81" s="27">
        <v>3.5507345651931059</v>
      </c>
      <c r="C81" s="19">
        <v>0.19026100000000001</v>
      </c>
      <c r="D81" s="27">
        <v>11.219568563731116</v>
      </c>
      <c r="E81" s="27">
        <v>6.0204600085456015</v>
      </c>
      <c r="F81" s="125">
        <v>4.6384299999999998E-3</v>
      </c>
      <c r="G81" s="14" t="s">
        <v>360</v>
      </c>
    </row>
    <row r="82" spans="1:7" x14ac:dyDescent="0.2">
      <c r="A82" s="27">
        <v>594.49213889635848</v>
      </c>
      <c r="B82" s="27">
        <v>4.1556953046989635</v>
      </c>
      <c r="C82" s="19">
        <v>0.164216</v>
      </c>
      <c r="D82" s="27">
        <v>18.035221663246261</v>
      </c>
      <c r="E82" s="27">
        <v>5.9227802087772323</v>
      </c>
      <c r="F82" s="125">
        <v>1.22264E-2</v>
      </c>
      <c r="G82" s="14" t="s">
        <v>119</v>
      </c>
    </row>
    <row r="83" spans="1:7" x14ac:dyDescent="0.2">
      <c r="A83" s="27">
        <v>614.74307483853374</v>
      </c>
      <c r="B83" s="27">
        <v>3.4998976985008587</v>
      </c>
      <c r="C83" s="19">
        <v>0.17768400000000001</v>
      </c>
      <c r="D83" s="27">
        <v>16.553948485852182</v>
      </c>
      <c r="E83" s="27">
        <v>5.8140037661743023</v>
      </c>
      <c r="F83" s="125">
        <v>1.9675000000000002E-2</v>
      </c>
      <c r="G83" s="14" t="s">
        <v>360</v>
      </c>
    </row>
    <row r="84" spans="1:7" x14ac:dyDescent="0.2">
      <c r="A84" s="27">
        <v>607.49901831798093</v>
      </c>
      <c r="B84" s="27">
        <v>4.1590188253819802</v>
      </c>
      <c r="C84" s="19">
        <v>0.17272699999999999</v>
      </c>
      <c r="D84" s="27">
        <v>19.064122406885499</v>
      </c>
      <c r="E84" s="27">
        <v>5.5256771944653966</v>
      </c>
      <c r="F84" s="125">
        <v>2.50761E-3</v>
      </c>
      <c r="G84" s="14" t="s">
        <v>359</v>
      </c>
    </row>
    <row r="85" spans="1:7" x14ac:dyDescent="0.2">
      <c r="A85" s="27">
        <v>579.76329500120266</v>
      </c>
      <c r="B85" s="27">
        <v>3.2796080397872793</v>
      </c>
      <c r="C85" s="19">
        <v>0.155253</v>
      </c>
      <c r="D85" s="27">
        <v>11.269162028815622</v>
      </c>
      <c r="E85" s="27">
        <v>5.5002195375515628</v>
      </c>
      <c r="F85" s="125">
        <v>1.0436300000000001E-2</v>
      </c>
      <c r="G85" s="14" t="s">
        <v>119</v>
      </c>
    </row>
    <row r="86" spans="1:7" x14ac:dyDescent="0.2">
      <c r="A86" s="27">
        <v>668.1546778779832</v>
      </c>
      <c r="B86" s="27">
        <v>3.7459032508753509</v>
      </c>
      <c r="C86" s="19">
        <v>0.215672</v>
      </c>
      <c r="D86" s="27">
        <v>27.619048247616572</v>
      </c>
      <c r="E86" s="27">
        <v>5.364044278014843</v>
      </c>
      <c r="F86" s="125">
        <v>6.3218399999999996E-3</v>
      </c>
      <c r="G86" s="14" t="s">
        <v>120</v>
      </c>
    </row>
    <row r="87" spans="1:7" x14ac:dyDescent="0.2">
      <c r="A87" s="27">
        <v>635.42464077130774</v>
      </c>
      <c r="B87" s="27">
        <v>3.7983666658556268</v>
      </c>
      <c r="C87" s="19">
        <v>0.192889</v>
      </c>
      <c r="D87" s="27">
        <v>4.4238963965372804</v>
      </c>
      <c r="E87" s="27">
        <v>5.2265910231112089</v>
      </c>
      <c r="F87" s="125">
        <v>3.0742199999999999E-3</v>
      </c>
      <c r="G87" s="14" t="s">
        <v>360</v>
      </c>
    </row>
    <row r="88" spans="1:7" x14ac:dyDescent="0.2">
      <c r="A88" s="27">
        <v>662.56191599246893</v>
      </c>
      <c r="B88" s="27">
        <v>3.5905749351111265</v>
      </c>
      <c r="C88" s="19">
        <v>0.212288</v>
      </c>
      <c r="D88" s="27">
        <v>3.838760448407879</v>
      </c>
      <c r="E88" s="27">
        <v>5.1927604538788952</v>
      </c>
      <c r="F88" s="125">
        <v>3.5520399999999998E-3</v>
      </c>
      <c r="G88" s="14" t="s">
        <v>360</v>
      </c>
    </row>
    <row r="89" spans="1:7" x14ac:dyDescent="0.2">
      <c r="A89" s="27">
        <v>607.73595050192046</v>
      </c>
      <c r="B89" s="27">
        <v>3.4618325238603997</v>
      </c>
      <c r="C89" s="19">
        <v>0.17315700000000001</v>
      </c>
      <c r="D89" s="27">
        <v>29.552330237362462</v>
      </c>
      <c r="E89" s="27">
        <v>5.1649124176923005</v>
      </c>
      <c r="F89" s="125">
        <v>1.7455600000000002E-2</v>
      </c>
      <c r="G89" s="14" t="s">
        <v>120</v>
      </c>
    </row>
    <row r="90" spans="1:7" x14ac:dyDescent="0.2">
      <c r="A90" s="27">
        <v>604.13386382492331</v>
      </c>
      <c r="B90" s="27">
        <v>3.6580510713467933</v>
      </c>
      <c r="C90" s="19">
        <v>0.17149600000000001</v>
      </c>
      <c r="D90" s="27">
        <v>4.2440938717383965</v>
      </c>
      <c r="E90" s="27">
        <v>5.1611268440630473</v>
      </c>
      <c r="F90" s="125">
        <v>1.8579200000000001E-3</v>
      </c>
      <c r="G90" s="14" t="s">
        <v>360</v>
      </c>
    </row>
    <row r="91" spans="1:7" x14ac:dyDescent="0.2">
      <c r="A91" s="27">
        <v>604.19112596459331</v>
      </c>
      <c r="B91" s="27">
        <v>3.3686578452056395</v>
      </c>
      <c r="C91" s="19">
        <v>0.17083200000000001</v>
      </c>
      <c r="D91" s="27">
        <v>24.097615554680885</v>
      </c>
      <c r="E91" s="27">
        <v>4.7451259548270572</v>
      </c>
      <c r="F91" s="125">
        <v>8.7500400000000006E-3</v>
      </c>
      <c r="G91" s="14" t="s">
        <v>120</v>
      </c>
    </row>
    <row r="92" spans="1:7" x14ac:dyDescent="0.2">
      <c r="A92" s="27">
        <v>595.3581314553079</v>
      </c>
      <c r="B92" s="27">
        <v>3.345249764773309</v>
      </c>
      <c r="C92" s="19">
        <v>0.164545</v>
      </c>
      <c r="D92" s="27">
        <v>19.778454633263195</v>
      </c>
      <c r="E92" s="27">
        <v>4.4672184927498861</v>
      </c>
      <c r="F92" s="125">
        <v>3.8551599999999998E-3</v>
      </c>
      <c r="G92" s="14" t="s">
        <v>120</v>
      </c>
    </row>
    <row r="93" spans="1:7" x14ac:dyDescent="0.2">
      <c r="A93" s="27">
        <v>584.5012174608878</v>
      </c>
      <c r="B93" s="27">
        <v>3.5014945492984162</v>
      </c>
      <c r="C93" s="19">
        <v>0.15920999999999999</v>
      </c>
      <c r="D93" s="27">
        <v>10.170378530529071</v>
      </c>
      <c r="E93" s="27">
        <v>4.2330129520325093</v>
      </c>
      <c r="F93" s="125">
        <v>1.86297E-3</v>
      </c>
      <c r="G93" s="14" t="s">
        <v>359</v>
      </c>
    </row>
    <row r="94" spans="1:7" x14ac:dyDescent="0.2">
      <c r="A94" s="27">
        <v>593.66586813015181</v>
      </c>
      <c r="B94" s="27">
        <v>4.0996384409845046</v>
      </c>
      <c r="C94" s="19">
        <v>0.16416800000000001</v>
      </c>
      <c r="D94" s="27">
        <v>15.568574654305376</v>
      </c>
      <c r="E94" s="27">
        <v>4.1203206930309779</v>
      </c>
      <c r="F94" s="125">
        <v>4.8187000000000004E-3</v>
      </c>
      <c r="G94" s="14" t="s">
        <v>120</v>
      </c>
    </row>
    <row r="95" spans="1:7" x14ac:dyDescent="0.2">
      <c r="A95" s="27">
        <v>645.20876185566794</v>
      </c>
      <c r="B95" s="27">
        <v>4.1629472801666472</v>
      </c>
      <c r="C95" s="19">
        <v>0.20044600000000001</v>
      </c>
      <c r="D95" s="27">
        <v>15.35816893107093</v>
      </c>
      <c r="E95" s="27">
        <v>3.9747768795259986</v>
      </c>
      <c r="F95" s="125">
        <v>6.0363600000000002E-3</v>
      </c>
      <c r="G95" s="14" t="s">
        <v>120</v>
      </c>
    </row>
    <row r="96" spans="1:7" x14ac:dyDescent="0.2">
      <c r="A96" s="27">
        <v>669.56983172680509</v>
      </c>
      <c r="B96" s="27">
        <v>4.3997996593901103</v>
      </c>
      <c r="C96" s="19">
        <v>0.21676100000000001</v>
      </c>
      <c r="D96" s="27">
        <v>14.179593284029757</v>
      </c>
      <c r="E96" s="27">
        <v>3.9728281419199716</v>
      </c>
      <c r="F96" s="125">
        <v>4.4094700000000004E-3</v>
      </c>
      <c r="G96" s="14" t="s">
        <v>120</v>
      </c>
    </row>
    <row r="97" spans="1:7" x14ac:dyDescent="0.2">
      <c r="A97" s="27">
        <v>640.72340217866099</v>
      </c>
      <c r="B97" s="27">
        <v>3.7085513764179039</v>
      </c>
      <c r="C97" s="19">
        <v>0.19578899999999999</v>
      </c>
      <c r="D97" s="27">
        <v>13.11896352439576</v>
      </c>
      <c r="E97" s="27">
        <v>3.9328290078190147</v>
      </c>
      <c r="F97" s="125">
        <v>3.9171199999999996E-3</v>
      </c>
      <c r="G97" s="14" t="s">
        <v>120</v>
      </c>
    </row>
    <row r="98" spans="1:7" x14ac:dyDescent="0.2">
      <c r="A98" s="27">
        <v>583.52380912239585</v>
      </c>
      <c r="B98" s="27">
        <v>3.5541541268050776</v>
      </c>
      <c r="C98" s="19">
        <v>0.157942</v>
      </c>
      <c r="D98" s="27">
        <v>9.3960647759430795</v>
      </c>
      <c r="E98" s="27">
        <v>3.4962071817594382</v>
      </c>
      <c r="F98" s="125">
        <v>2.5029900000000001E-3</v>
      </c>
      <c r="G98" s="14" t="s">
        <v>120</v>
      </c>
    </row>
    <row r="99" spans="1:7" x14ac:dyDescent="0.2">
      <c r="A99" s="27">
        <v>649.88743115284683</v>
      </c>
      <c r="B99" s="27">
        <v>4.3131593371256081</v>
      </c>
      <c r="C99" s="19">
        <v>0.20325799999999999</v>
      </c>
      <c r="D99" s="27">
        <v>8.2829753423990589</v>
      </c>
      <c r="E99" s="27">
        <v>3.4462392588442325</v>
      </c>
      <c r="F99" s="125">
        <v>2.1296399999999999E-3</v>
      </c>
      <c r="G99" s="14" t="s">
        <v>120</v>
      </c>
    </row>
    <row r="100" spans="1:7" x14ac:dyDescent="0.2">
      <c r="A100" s="27">
        <v>595.94198054420997</v>
      </c>
      <c r="B100" s="27">
        <v>3.6218143226602142</v>
      </c>
      <c r="C100" s="19">
        <v>0.165962</v>
      </c>
      <c r="D100" s="27">
        <v>8.8444877507848663</v>
      </c>
      <c r="E100" s="27">
        <v>3.4194415230448576</v>
      </c>
      <c r="F100" s="125">
        <v>2.5094700000000002E-3</v>
      </c>
      <c r="G100" s="14" t="s">
        <v>120</v>
      </c>
    </row>
    <row r="101" spans="1:7" x14ac:dyDescent="0.2">
      <c r="A101" s="27">
        <v>650.37722248522618</v>
      </c>
      <c r="B101" s="27">
        <v>4.017535270547282</v>
      </c>
      <c r="C101" s="19">
        <v>0.20501900000000001</v>
      </c>
      <c r="D101" s="27">
        <v>7.3719748997516303</v>
      </c>
      <c r="E101" s="27">
        <v>3.2519574481939642</v>
      </c>
      <c r="F101" s="125">
        <v>1.73156E-3</v>
      </c>
      <c r="G101" s="14" t="s">
        <v>120</v>
      </c>
    </row>
    <row r="102" spans="1:7" x14ac:dyDescent="0.2">
      <c r="A102" s="27">
        <v>631.30594288321879</v>
      </c>
      <c r="B102" s="27">
        <v>4.3092241250936265</v>
      </c>
      <c r="C102" s="19">
        <v>0.19009000000000001</v>
      </c>
      <c r="D102" s="27">
        <v>5.7582919845176379</v>
      </c>
      <c r="E102" s="27">
        <v>3.0771197936944019</v>
      </c>
      <c r="F102" s="125">
        <v>1.9093199999999999E-3</v>
      </c>
      <c r="G102" s="14" t="s">
        <v>120</v>
      </c>
    </row>
  </sheetData>
  <autoFilter ref="D2:G2" xr:uid="{C3880621-57F9-4FC1-B9B5-7008921C4799}">
    <sortState xmlns:xlrd2="http://schemas.microsoft.com/office/spreadsheetml/2017/richdata2" ref="D3:G102">
      <sortCondition descending="1" ref="E2"/>
    </sortState>
  </autoFilter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6"/>
  <sheetViews>
    <sheetView topLeftCell="K16" zoomScale="80" zoomScaleNormal="80" workbookViewId="0">
      <selection activeCell="P55" sqref="P55"/>
    </sheetView>
  </sheetViews>
  <sheetFormatPr defaultRowHeight="14.25" x14ac:dyDescent="0.2"/>
  <cols>
    <col min="1" max="1" width="35.5" customWidth="1"/>
    <col min="2" max="2" width="18.625" bestFit="1" customWidth="1"/>
    <col min="3" max="3" width="13.875" bestFit="1" customWidth="1"/>
    <col min="4" max="5" width="20.625" customWidth="1"/>
    <col min="6" max="6" width="24.625" style="14" bestFit="1" customWidth="1"/>
    <col min="7" max="8" width="18.875" style="14" bestFit="1" customWidth="1"/>
    <col min="9" max="9" width="23.5" style="14" bestFit="1" customWidth="1"/>
    <col min="10" max="11" width="38" style="14" bestFit="1" customWidth="1"/>
    <col min="12" max="12" width="17.625" style="14" bestFit="1" customWidth="1"/>
    <col min="13" max="13" width="20.625" style="14" customWidth="1"/>
    <col min="14" max="14" width="19.875" style="14" customWidth="1"/>
    <col min="15" max="15" width="18" style="14" customWidth="1"/>
    <col min="16" max="16" width="29.625" bestFit="1" customWidth="1"/>
    <col min="17" max="17" width="43.5" customWidth="1"/>
    <col min="18" max="18" width="12.125" bestFit="1" customWidth="1"/>
    <col min="19" max="20" width="5.5" bestFit="1" customWidth="1"/>
  </cols>
  <sheetData>
    <row r="1" spans="1:19" x14ac:dyDescent="0.2">
      <c r="B1" s="159" t="s">
        <v>349</v>
      </c>
      <c r="C1" s="159"/>
      <c r="D1" s="159"/>
      <c r="E1" s="159"/>
    </row>
    <row r="2" spans="1:19" s="10" customFormat="1" x14ac:dyDescent="0.2">
      <c r="B2" s="122" t="s">
        <v>0</v>
      </c>
      <c r="C2" s="122" t="s">
        <v>345</v>
      </c>
      <c r="D2" s="122" t="s">
        <v>344</v>
      </c>
      <c r="E2" s="122" t="s">
        <v>348</v>
      </c>
      <c r="F2" s="122" t="s">
        <v>0</v>
      </c>
      <c r="G2" s="122" t="s">
        <v>1</v>
      </c>
      <c r="H2" s="122" t="s">
        <v>2</v>
      </c>
      <c r="I2" s="123" t="s">
        <v>3</v>
      </c>
      <c r="J2" s="123" t="s">
        <v>225</v>
      </c>
      <c r="K2" s="124" t="s">
        <v>225</v>
      </c>
      <c r="L2" s="122" t="s">
        <v>65</v>
      </c>
      <c r="M2" s="123" t="s">
        <v>186</v>
      </c>
      <c r="N2" s="122" t="s">
        <v>174</v>
      </c>
      <c r="O2" s="122" t="s">
        <v>66</v>
      </c>
      <c r="P2" s="122" t="s">
        <v>178</v>
      </c>
    </row>
    <row r="3" spans="1:19" x14ac:dyDescent="0.2">
      <c r="B3" s="66" t="s">
        <v>4</v>
      </c>
      <c r="C3" s="66" t="s">
        <v>4</v>
      </c>
      <c r="D3" s="66" t="s">
        <v>4</v>
      </c>
      <c r="E3" s="66" t="s">
        <v>4</v>
      </c>
      <c r="F3" s="66" t="s">
        <v>4</v>
      </c>
      <c r="G3" s="66" t="s">
        <v>4</v>
      </c>
      <c r="H3" s="66" t="s">
        <v>4</v>
      </c>
      <c r="I3" s="76" t="s">
        <v>4</v>
      </c>
      <c r="J3" s="76" t="s">
        <v>4</v>
      </c>
      <c r="K3" s="92" t="s">
        <v>4</v>
      </c>
      <c r="L3" s="66" t="s">
        <v>4</v>
      </c>
      <c r="M3" s="76" t="s">
        <v>4</v>
      </c>
      <c r="N3" s="66" t="s">
        <v>4</v>
      </c>
      <c r="O3" s="66" t="s">
        <v>4</v>
      </c>
      <c r="P3" s="66" t="s">
        <v>4</v>
      </c>
    </row>
    <row r="4" spans="1:19" x14ac:dyDescent="0.2">
      <c r="A4" s="121" t="s">
        <v>333</v>
      </c>
      <c r="B4" s="120">
        <v>500000</v>
      </c>
      <c r="C4" s="120">
        <v>500000</v>
      </c>
      <c r="D4" s="120">
        <v>500000</v>
      </c>
      <c r="E4" s="120">
        <v>500000</v>
      </c>
      <c r="F4" s="119">
        <v>536244.99096475297</v>
      </c>
      <c r="G4" s="119">
        <v>523847.08925118699</v>
      </c>
      <c r="H4" s="119">
        <v>523847.08925118699</v>
      </c>
      <c r="I4" s="119">
        <v>500000</v>
      </c>
      <c r="J4" s="67">
        <v>500000</v>
      </c>
      <c r="K4" s="67">
        <f>(I4+M4)/2</f>
        <v>500000</v>
      </c>
      <c r="L4" s="24">
        <v>490052.06258623197</v>
      </c>
      <c r="M4" s="24">
        <v>500000</v>
      </c>
      <c r="N4" s="24">
        <v>490052.06258623197</v>
      </c>
      <c r="O4" s="24">
        <v>510907.35331931501</v>
      </c>
      <c r="Q4" s="5"/>
      <c r="S4" s="75"/>
    </row>
    <row r="5" spans="1:19" x14ac:dyDescent="0.2">
      <c r="A5" s="121" t="s">
        <v>334</v>
      </c>
      <c r="B5" s="120">
        <v>1433919744.1500001</v>
      </c>
      <c r="C5" s="120">
        <v>1433919744.1500001</v>
      </c>
      <c r="D5" s="120">
        <v>1433919744.1500001</v>
      </c>
      <c r="E5" s="120">
        <v>1449643437.2750001</v>
      </c>
      <c r="F5" s="119">
        <v>1427042000</v>
      </c>
      <c r="G5" s="119">
        <v>1427042000</v>
      </c>
      <c r="H5" s="119">
        <v>1427042000</v>
      </c>
      <c r="I5" s="119">
        <v>1427042000</v>
      </c>
      <c r="J5" s="67">
        <v>1427042000</v>
      </c>
      <c r="K5" s="67">
        <f t="shared" ref="K5:K9" si="0">(I5+M5)/2</f>
        <v>1427042000</v>
      </c>
      <c r="L5" s="24">
        <v>1427042000</v>
      </c>
      <c r="M5" s="24">
        <v>1427042000</v>
      </c>
      <c r="N5" s="24">
        <v>1427042000</v>
      </c>
      <c r="O5" s="24">
        <v>1427042000</v>
      </c>
      <c r="S5" s="75"/>
    </row>
    <row r="6" spans="1:19" x14ac:dyDescent="0.2">
      <c r="A6" s="3" t="s">
        <v>335</v>
      </c>
      <c r="B6" s="120">
        <v>19071338</v>
      </c>
      <c r="C6" s="120">
        <v>19071338</v>
      </c>
      <c r="D6" s="120">
        <v>19071338</v>
      </c>
      <c r="E6" s="120">
        <v>19071338</v>
      </c>
      <c r="F6" s="119">
        <v>17816919.7587873</v>
      </c>
      <c r="G6" s="119">
        <v>17816852.212331198</v>
      </c>
      <c r="H6" s="119">
        <v>18567262.971795902</v>
      </c>
      <c r="I6" s="119">
        <v>19476967</v>
      </c>
      <c r="J6" s="67">
        <v>19476967</v>
      </c>
      <c r="K6" s="67">
        <f t="shared" si="0"/>
        <v>19476967</v>
      </c>
      <c r="L6" s="24">
        <v>17816984.6371044</v>
      </c>
      <c r="M6" s="24">
        <v>19476967</v>
      </c>
      <c r="N6" s="24">
        <v>20247146.748445999</v>
      </c>
      <c r="O6" s="24">
        <v>17816893.657124899</v>
      </c>
      <c r="S6" s="75"/>
    </row>
    <row r="7" spans="1:19" x14ac:dyDescent="0.2">
      <c r="A7" s="3" t="s">
        <v>336</v>
      </c>
      <c r="B7" s="120">
        <v>221097099.736646</v>
      </c>
      <c r="C7" s="120">
        <v>425551846.42940301</v>
      </c>
      <c r="D7" s="120">
        <v>323324473.08302498</v>
      </c>
      <c r="E7" s="120">
        <v>323324473.08302498</v>
      </c>
      <c r="F7" s="119">
        <v>206702868.33322299</v>
      </c>
      <c r="G7" s="119">
        <v>201060423.09277099</v>
      </c>
      <c r="H7" s="119">
        <v>201060423.09277099</v>
      </c>
      <c r="I7" s="119">
        <v>201060423.09277099</v>
      </c>
      <c r="J7" s="67">
        <v>217076342.054961</v>
      </c>
      <c r="K7" s="67">
        <f t="shared" si="0"/>
        <v>217076342.05496049</v>
      </c>
      <c r="L7" s="24">
        <v>233092261.01715001</v>
      </c>
      <c r="M7" s="24">
        <v>233092261.01715001</v>
      </c>
      <c r="N7" s="24">
        <v>233092261.01715001</v>
      </c>
      <c r="O7" s="24">
        <v>236929294.20041299</v>
      </c>
      <c r="S7" s="75"/>
    </row>
    <row r="8" spans="1:19" x14ac:dyDescent="0.2">
      <c r="A8" s="3" t="s">
        <v>337</v>
      </c>
      <c r="B8" s="120">
        <v>0</v>
      </c>
      <c r="C8" s="120">
        <v>5778802.4999999898</v>
      </c>
      <c r="D8" s="120">
        <v>3867350.5305945501</v>
      </c>
      <c r="E8" s="120">
        <v>3867350.5305945501</v>
      </c>
      <c r="F8" s="119">
        <v>0</v>
      </c>
      <c r="G8" s="119">
        <v>988312.61953075195</v>
      </c>
      <c r="H8" s="119">
        <v>6340464.3195797196</v>
      </c>
      <c r="I8" s="119">
        <v>6851689.1770777404</v>
      </c>
      <c r="J8" s="67">
        <v>7911115.3428945998</v>
      </c>
      <c r="K8" s="67">
        <f t="shared" si="0"/>
        <v>7950188.9611858204</v>
      </c>
      <c r="L8" s="24">
        <v>6754514.8571532797</v>
      </c>
      <c r="M8" s="24">
        <v>9048688.7452939004</v>
      </c>
      <c r="N8" s="24">
        <v>10801500</v>
      </c>
      <c r="O8" s="24">
        <v>5770995.0948497001</v>
      </c>
      <c r="S8" s="75"/>
    </row>
    <row r="9" spans="1:19" x14ac:dyDescent="0.2">
      <c r="A9" s="3" t="s">
        <v>5</v>
      </c>
      <c r="B9" s="120">
        <v>1674588181.8866401</v>
      </c>
      <c r="C9" s="120">
        <v>1879042928.5794001</v>
      </c>
      <c r="D9" s="120">
        <v>1776815555.2330201</v>
      </c>
      <c r="E9" s="120">
        <v>1792539248.3580201</v>
      </c>
      <c r="F9" s="119">
        <v>1652098033.0829699</v>
      </c>
      <c r="G9" s="119">
        <v>1646443122.3943501</v>
      </c>
      <c r="H9" s="119">
        <v>1647193533.15381</v>
      </c>
      <c r="I9" s="119">
        <v>1648079390.0927701</v>
      </c>
      <c r="J9" s="67">
        <v>1664095309.05496</v>
      </c>
      <c r="K9" s="67">
        <f t="shared" si="0"/>
        <v>1664095309.05496</v>
      </c>
      <c r="L9" s="24">
        <v>1678441297.71684</v>
      </c>
      <c r="M9" s="24">
        <v>1680111228.0171499</v>
      </c>
      <c r="N9" s="24">
        <v>1680871459.8281801</v>
      </c>
      <c r="O9" s="24">
        <v>1682299095.21085</v>
      </c>
      <c r="S9" s="75"/>
    </row>
    <row r="10" spans="1:19" x14ac:dyDescent="0.2">
      <c r="A10" s="3"/>
      <c r="B10" s="120"/>
      <c r="C10" s="120"/>
      <c r="D10" s="120"/>
      <c r="E10" s="120"/>
      <c r="F10" s="23"/>
      <c r="G10" s="67"/>
    </row>
    <row r="11" spans="1:19" s="10" customFormat="1" x14ac:dyDescent="0.2">
      <c r="B11" s="122" t="s">
        <v>6</v>
      </c>
      <c r="C11" s="122" t="s">
        <v>6</v>
      </c>
      <c r="D11" s="122" t="s">
        <v>6</v>
      </c>
      <c r="E11" s="122" t="s">
        <v>6</v>
      </c>
      <c r="F11" s="122" t="s">
        <v>6</v>
      </c>
      <c r="G11" s="122" t="s">
        <v>6</v>
      </c>
      <c r="H11" s="122" t="s">
        <v>6</v>
      </c>
      <c r="I11" s="122" t="s">
        <v>6</v>
      </c>
      <c r="J11" s="122" t="s">
        <v>6</v>
      </c>
      <c r="K11" s="122" t="s">
        <v>6</v>
      </c>
      <c r="L11" s="122" t="s">
        <v>6</v>
      </c>
      <c r="M11" s="122" t="s">
        <v>6</v>
      </c>
      <c r="N11" s="122" t="s">
        <v>6</v>
      </c>
      <c r="O11" s="122" t="s">
        <v>6</v>
      </c>
    </row>
    <row r="12" spans="1:19" x14ac:dyDescent="0.2">
      <c r="A12" s="121" t="s">
        <v>340</v>
      </c>
      <c r="B12" s="120">
        <v>1885864968.42048</v>
      </c>
      <c r="C12" s="120">
        <v>1885864968.42048</v>
      </c>
      <c r="D12" s="120">
        <v>1885864968.42048</v>
      </c>
      <c r="E12" s="120">
        <v>1900754123.7769499</v>
      </c>
      <c r="F12" s="119">
        <v>2088886000</v>
      </c>
      <c r="G12" s="119">
        <v>2088886000</v>
      </c>
      <c r="H12" s="119">
        <v>2088886000</v>
      </c>
      <c r="I12" s="119">
        <v>2088886000</v>
      </c>
      <c r="J12" s="67">
        <v>2088886000</v>
      </c>
      <c r="K12" s="67">
        <f>(I12+M12)/2</f>
        <v>2088886000</v>
      </c>
      <c r="L12" s="67">
        <v>2088886000</v>
      </c>
      <c r="M12" s="67">
        <v>2088886000</v>
      </c>
      <c r="N12" s="67">
        <v>2088886000</v>
      </c>
      <c r="O12" s="67">
        <v>2088886000</v>
      </c>
    </row>
    <row r="13" spans="1:19" x14ac:dyDescent="0.2">
      <c r="A13" s="3" t="s">
        <v>338</v>
      </c>
      <c r="B13" s="120">
        <v>270022385.952793</v>
      </c>
      <c r="C13" s="120">
        <v>270022385.952793</v>
      </c>
      <c r="D13" s="120">
        <v>270022385.952793</v>
      </c>
      <c r="E13" s="120">
        <v>269554420.84894699</v>
      </c>
      <c r="F13" s="119"/>
      <c r="G13" s="119"/>
      <c r="H13" s="119"/>
      <c r="I13" s="119"/>
      <c r="J13" s="67"/>
      <c r="K13" s="67"/>
      <c r="L13" s="67"/>
      <c r="M13" s="67"/>
      <c r="N13" s="67"/>
      <c r="O13" s="67"/>
    </row>
    <row r="14" spans="1:19" x14ac:dyDescent="0.2">
      <c r="A14" s="3" t="s">
        <v>339</v>
      </c>
      <c r="B14" s="120">
        <v>472032554.80142802</v>
      </c>
      <c r="C14" s="120">
        <v>365370872.73314101</v>
      </c>
      <c r="D14" s="120">
        <v>418701713.76728398</v>
      </c>
      <c r="E14" s="120">
        <v>418701713.76728398</v>
      </c>
      <c r="F14" s="119">
        <v>445650374.292858</v>
      </c>
      <c r="G14" s="119">
        <v>440336713.97055799</v>
      </c>
      <c r="H14" s="119">
        <v>440336713.97055799</v>
      </c>
      <c r="I14" s="119">
        <v>440336713.97055799</v>
      </c>
      <c r="J14" s="67">
        <v>437723018.43061101</v>
      </c>
      <c r="K14" s="67">
        <f>(I14+M14)/2</f>
        <v>437723018.43061101</v>
      </c>
      <c r="L14" s="67">
        <v>435109322.89066398</v>
      </c>
      <c r="M14" s="67">
        <v>435109322.89066398</v>
      </c>
      <c r="N14" s="67">
        <v>435109322.89066398</v>
      </c>
      <c r="O14" s="67">
        <v>431654507.11201698</v>
      </c>
    </row>
    <row r="15" spans="1:19" ht="14.25" customHeight="1" x14ac:dyDescent="0.2">
      <c r="A15" s="3" t="s">
        <v>341</v>
      </c>
      <c r="B15" s="120">
        <v>2357897523.22191</v>
      </c>
      <c r="C15" s="120">
        <v>2251235841.1536198</v>
      </c>
      <c r="D15" s="120">
        <v>2304566682.1877599</v>
      </c>
      <c r="E15" s="120">
        <v>2319455837.54424</v>
      </c>
      <c r="F15" s="119">
        <v>2534536374.29285</v>
      </c>
      <c r="G15" s="119">
        <v>2529222713.9705501</v>
      </c>
      <c r="H15" s="119">
        <v>2529222713.9705501</v>
      </c>
      <c r="I15" s="119">
        <v>2529222713.9705501</v>
      </c>
      <c r="J15" s="67">
        <v>2526609018.4306102</v>
      </c>
      <c r="K15" s="67">
        <f>(I15+M15)/2</f>
        <v>2526609018.4306049</v>
      </c>
      <c r="L15" s="67">
        <v>2523995322.8906598</v>
      </c>
      <c r="M15" s="67">
        <v>2523995322.8906598</v>
      </c>
      <c r="N15" s="67">
        <v>2523995322.8906598</v>
      </c>
      <c r="O15" s="67">
        <v>2520540507.11201</v>
      </c>
    </row>
    <row r="16" spans="1:19" x14ac:dyDescent="0.2">
      <c r="A16" s="3" t="s">
        <v>343</v>
      </c>
      <c r="B16" s="93">
        <f t="shared" ref="B16:J16" si="1">B14-B7</f>
        <v>250935455.06478202</v>
      </c>
      <c r="C16" s="93">
        <f t="shared" si="1"/>
        <v>-60180973.696262002</v>
      </c>
      <c r="D16" s="93">
        <f t="shared" si="1"/>
        <v>95377240.684258997</v>
      </c>
      <c r="E16" s="93">
        <f t="shared" si="1"/>
        <v>95377240.684258997</v>
      </c>
      <c r="F16" s="93">
        <f t="shared" si="1"/>
        <v>238947505.95963502</v>
      </c>
      <c r="G16" s="93">
        <f t="shared" si="1"/>
        <v>239276290.87778699</v>
      </c>
      <c r="H16" s="93">
        <f t="shared" si="1"/>
        <v>239276290.87778699</v>
      </c>
      <c r="I16" s="93">
        <f t="shared" si="1"/>
        <v>239276290.87778699</v>
      </c>
      <c r="J16" s="67">
        <f t="shared" si="1"/>
        <v>220646676.37565002</v>
      </c>
      <c r="K16" s="67">
        <f>(I16+M16)/2</f>
        <v>220646676.37565047</v>
      </c>
      <c r="L16" s="67">
        <f>L14-L7</f>
        <v>202017061.87351397</v>
      </c>
      <c r="M16" s="67">
        <f>M14-M7</f>
        <v>202017061.87351397</v>
      </c>
      <c r="N16" s="67">
        <f>N14-N7</f>
        <v>202017061.87351397</v>
      </c>
      <c r="O16" s="67">
        <f>O14-O7</f>
        <v>194725212.91160399</v>
      </c>
      <c r="S16" s="67"/>
    </row>
    <row r="17" spans="1:23" x14ac:dyDescent="0.2">
      <c r="A17" s="121" t="s">
        <v>342</v>
      </c>
      <c r="B17" s="93">
        <f t="shared" ref="B17:J17" si="2">B12-B5</f>
        <v>451945224.27047992</v>
      </c>
      <c r="C17" s="93">
        <f t="shared" si="2"/>
        <v>451945224.27047992</v>
      </c>
      <c r="D17" s="93">
        <f t="shared" si="2"/>
        <v>451945224.27047992</v>
      </c>
      <c r="E17" s="93">
        <f t="shared" si="2"/>
        <v>451110686.50194979</v>
      </c>
      <c r="F17" s="93">
        <f t="shared" si="2"/>
        <v>661844000</v>
      </c>
      <c r="G17" s="93">
        <f t="shared" si="2"/>
        <v>661844000</v>
      </c>
      <c r="H17" s="93">
        <f t="shared" si="2"/>
        <v>661844000</v>
      </c>
      <c r="I17" s="93">
        <f t="shared" si="2"/>
        <v>661844000</v>
      </c>
      <c r="J17" s="67">
        <f t="shared" si="2"/>
        <v>661844000</v>
      </c>
      <c r="K17" s="67">
        <f>(I17+M17)/2</f>
        <v>661844000</v>
      </c>
      <c r="L17" s="23">
        <f>L12-L5</f>
        <v>661844000</v>
      </c>
      <c r="M17" s="23">
        <f>M12-M5</f>
        <v>661844000</v>
      </c>
      <c r="N17" s="23">
        <f>N12-N5</f>
        <v>661844000</v>
      </c>
      <c r="O17" s="23">
        <f>O12-O5</f>
        <v>661844000</v>
      </c>
      <c r="S17" s="67"/>
    </row>
    <row r="18" spans="1:23" x14ac:dyDescent="0.2">
      <c r="B18" s="43"/>
      <c r="C18" s="43"/>
      <c r="D18" s="93"/>
      <c r="E18" s="126"/>
      <c r="F18" s="93"/>
      <c r="G18" s="93"/>
      <c r="H18" s="93"/>
      <c r="I18" s="93"/>
      <c r="K18" s="67"/>
      <c r="L18" s="67"/>
      <c r="M18" s="67"/>
      <c r="N18" s="67"/>
    </row>
    <row r="19" spans="1:23" x14ac:dyDescent="0.2">
      <c r="A19" s="3" t="s">
        <v>8</v>
      </c>
      <c r="B19" s="127">
        <f>B13+B14-B7-B6-B4+B8</f>
        <v>501386503.01757497</v>
      </c>
      <c r="C19" s="93">
        <f>C13+C14-C7-C6-C4+C8</f>
        <v>196048876.75653106</v>
      </c>
      <c r="D19" s="93">
        <f>D13+D14-D7-D6-D4+D8</f>
        <v>349695639.16764659</v>
      </c>
      <c r="E19" s="93">
        <f>E13+E14-E7-E6-E4+E8</f>
        <v>349227674.06380051</v>
      </c>
      <c r="F19" s="93">
        <f>F15-F9+F8</f>
        <v>882438341.20988011</v>
      </c>
      <c r="G19" s="93">
        <f>G15-G9+G8</f>
        <v>883767904.19573081</v>
      </c>
      <c r="H19" s="93">
        <f>H15-H9+H8</f>
        <v>888369645.13631976</v>
      </c>
      <c r="I19" s="93">
        <f>I15-I9+I8</f>
        <v>887995013.05485773</v>
      </c>
      <c r="J19" s="23">
        <f>J15-J9+J8</f>
        <v>870424824.71854472</v>
      </c>
      <c r="K19" s="67">
        <f>(I19+M19)/2</f>
        <v>870463898.33683074</v>
      </c>
      <c r="L19" s="23">
        <f>L15-L9+L8</f>
        <v>852308540.03097308</v>
      </c>
      <c r="M19" s="23">
        <f>M15-M9+M8</f>
        <v>852932783.61880374</v>
      </c>
      <c r="N19" s="23">
        <f>N15-N9+N8</f>
        <v>853925363.06247973</v>
      </c>
      <c r="O19" s="23">
        <f>O15-O9+O8</f>
        <v>844012406.99600971</v>
      </c>
      <c r="S19" s="23"/>
    </row>
    <row r="20" spans="1:23" x14ac:dyDescent="0.2">
      <c r="B20">
        <v>501386503.01757497</v>
      </c>
      <c r="L20" s="77">
        <f>I19/2+M19/2</f>
        <v>870463898.33683074</v>
      </c>
      <c r="M20" s="67"/>
      <c r="N20" s="67"/>
    </row>
    <row r="21" spans="1:23" x14ac:dyDescent="0.2">
      <c r="B21">
        <f>B20/1000000</f>
        <v>501.38650301757497</v>
      </c>
    </row>
    <row r="22" spans="1:23" s="10" customFormat="1" x14ac:dyDescent="0.2">
      <c r="F22" s="122" t="s">
        <v>31</v>
      </c>
      <c r="G22" s="122" t="s">
        <v>31</v>
      </c>
      <c r="H22" s="122" t="s">
        <v>31</v>
      </c>
      <c r="I22" s="122" t="s">
        <v>31</v>
      </c>
      <c r="J22" s="122" t="s">
        <v>31</v>
      </c>
      <c r="K22" s="122" t="s">
        <v>31</v>
      </c>
      <c r="L22" s="122" t="s">
        <v>31</v>
      </c>
      <c r="M22" s="122" t="s">
        <v>31</v>
      </c>
      <c r="N22" s="122" t="s">
        <v>31</v>
      </c>
      <c r="O22" s="122" t="s">
        <v>31</v>
      </c>
    </row>
    <row r="23" spans="1:23" x14ac:dyDescent="0.2">
      <c r="A23" s="3" t="s">
        <v>9</v>
      </c>
      <c r="B23" s="13">
        <v>7927673.0393279996</v>
      </c>
      <c r="C23" s="133">
        <v>7734596.5183392204</v>
      </c>
      <c r="D23" s="52">
        <v>5059647.2316406202</v>
      </c>
      <c r="E23" s="52">
        <v>5059647.2316406202</v>
      </c>
      <c r="F23" s="68">
        <v>7927673.0393279996</v>
      </c>
      <c r="G23" s="68">
        <v>7546838.0847827997</v>
      </c>
      <c r="H23" s="68">
        <v>7354678.4617544897</v>
      </c>
      <c r="I23" s="68">
        <v>6967790.8366366504</v>
      </c>
      <c r="J23" s="68"/>
      <c r="K23" s="68">
        <f t="shared" ref="K23:K31" si="3">(I23+M23)/2</f>
        <v>6015417.475744145</v>
      </c>
      <c r="L23" s="24">
        <v>5642114.0084388899</v>
      </c>
      <c r="M23" s="24">
        <v>5063044.1148516396</v>
      </c>
      <c r="N23" s="24">
        <v>5057854.9846975803</v>
      </c>
      <c r="O23" s="24">
        <v>6518034.69913268</v>
      </c>
      <c r="Q23" s="71" t="s">
        <v>180</v>
      </c>
      <c r="R23" s="72">
        <v>7240000</v>
      </c>
      <c r="S23" s="71" t="s">
        <v>175</v>
      </c>
    </row>
    <row r="24" spans="1:23" x14ac:dyDescent="0.2">
      <c r="A24" s="3" t="s">
        <v>10</v>
      </c>
      <c r="B24" s="13">
        <v>774078.52418565005</v>
      </c>
      <c r="C24" s="3" t="s">
        <v>354</v>
      </c>
      <c r="D24" s="52">
        <v>678770.61750693806</v>
      </c>
      <c r="E24" s="52">
        <v>560085.19112395903</v>
      </c>
      <c r="F24" s="68">
        <v>746183.80259337404</v>
      </c>
      <c r="G24" s="68">
        <v>727679.89145713404</v>
      </c>
      <c r="H24" s="68">
        <v>216773.01519497699</v>
      </c>
      <c r="I24" s="68">
        <v>279018.082607763</v>
      </c>
      <c r="J24" s="68"/>
      <c r="K24" s="68">
        <f t="shared" si="3"/>
        <v>237410.6597628505</v>
      </c>
      <c r="L24" s="24">
        <v>644091.15569846402</v>
      </c>
      <c r="M24" s="24">
        <v>195803.23691793799</v>
      </c>
      <c r="N24" s="24">
        <v>135334.04861580301</v>
      </c>
      <c r="O24" s="24">
        <v>641463.73652484803</v>
      </c>
      <c r="Q24" s="71" t="s">
        <v>181</v>
      </c>
      <c r="R24" s="72">
        <v>324000</v>
      </c>
      <c r="S24" s="71" t="s">
        <v>175</v>
      </c>
    </row>
    <row r="25" spans="1:23" x14ac:dyDescent="0.2">
      <c r="A25" s="3" t="s">
        <v>346</v>
      </c>
      <c r="B25" s="3"/>
      <c r="C25" s="3"/>
      <c r="D25" s="3"/>
      <c r="E25" s="3"/>
      <c r="F25" s="68"/>
      <c r="G25" s="68"/>
      <c r="H25" s="68"/>
      <c r="I25" s="68"/>
      <c r="J25" s="68"/>
      <c r="K25" s="68"/>
      <c r="L25" s="24"/>
      <c r="M25" s="24"/>
      <c r="N25" s="24"/>
      <c r="O25" s="24"/>
    </row>
    <row r="26" spans="1:23" x14ac:dyDescent="0.2">
      <c r="A26" s="3" t="s">
        <v>347</v>
      </c>
      <c r="B26" s="3"/>
      <c r="C26" s="3"/>
      <c r="D26" s="3"/>
      <c r="E26" s="3"/>
      <c r="F26" s="68"/>
      <c r="G26" s="68"/>
      <c r="H26" s="68"/>
      <c r="I26" s="68"/>
      <c r="J26" s="68"/>
      <c r="K26" s="68"/>
      <c r="L26" s="24"/>
      <c r="M26" s="24"/>
      <c r="N26" s="24"/>
      <c r="O26" s="24"/>
    </row>
    <row r="27" spans="1:23" x14ac:dyDescent="0.2">
      <c r="A27" s="3" t="s">
        <v>167</v>
      </c>
      <c r="B27" s="3"/>
      <c r="C27" s="3"/>
      <c r="D27" s="3"/>
      <c r="E27" s="3"/>
      <c r="F27" s="68">
        <v>27275.831034782699</v>
      </c>
      <c r="G27" s="68">
        <v>27450.7812415599</v>
      </c>
      <c r="H27" s="68">
        <v>27450.7812415599</v>
      </c>
      <c r="I27" s="68">
        <v>27450.7812415599</v>
      </c>
      <c r="J27" s="68"/>
      <c r="K27" s="68">
        <f>(I27+M27)/2</f>
        <v>26085.401894253548</v>
      </c>
      <c r="L27" s="24">
        <v>24720.022546947199</v>
      </c>
      <c r="M27" s="24">
        <v>24720.022546947199</v>
      </c>
      <c r="N27" s="24">
        <v>24720.022546947199</v>
      </c>
      <c r="O27" s="24">
        <v>25142.969714579202</v>
      </c>
      <c r="Q27" t="s">
        <v>183</v>
      </c>
      <c r="R27" s="13">
        <v>599913.57999999996</v>
      </c>
      <c r="S27" t="s">
        <v>175</v>
      </c>
    </row>
    <row r="28" spans="1:23" x14ac:dyDescent="0.2">
      <c r="A28" s="3" t="s">
        <v>166</v>
      </c>
      <c r="B28" s="3"/>
      <c r="C28" s="3"/>
      <c r="D28" s="3"/>
      <c r="E28" s="3"/>
      <c r="F28" s="68">
        <v>31236.300323128002</v>
      </c>
      <c r="G28" s="68">
        <v>31398.482285734201</v>
      </c>
      <c r="H28" s="68">
        <v>31398.482285734201</v>
      </c>
      <c r="I28" s="68">
        <v>31398.482285734201</v>
      </c>
      <c r="J28" s="68"/>
      <c r="K28" s="68">
        <f>(I28+M28)/2</f>
        <v>29878.046429879752</v>
      </c>
      <c r="L28" s="24">
        <v>28357.610574025301</v>
      </c>
      <c r="M28" s="24">
        <v>28357.610574025301</v>
      </c>
      <c r="N28" s="24">
        <v>28357.610574025301</v>
      </c>
      <c r="O28" s="24">
        <v>28654.598115324799</v>
      </c>
    </row>
    <row r="29" spans="1:23" x14ac:dyDescent="0.2">
      <c r="A29" s="3" t="s">
        <v>169</v>
      </c>
      <c r="B29" s="3"/>
      <c r="C29" s="3"/>
      <c r="D29" s="3"/>
      <c r="E29" s="3"/>
      <c r="F29" s="68">
        <v>73399.496481399998</v>
      </c>
      <c r="G29" s="68">
        <v>73547.161776937501</v>
      </c>
      <c r="H29" s="68">
        <v>73547.161776937501</v>
      </c>
      <c r="I29" s="68">
        <v>73547.161776937501</v>
      </c>
      <c r="J29" s="68"/>
      <c r="K29" s="68">
        <f>(I29+M29)/2</f>
        <v>52749.654348665601</v>
      </c>
      <c r="L29" s="24">
        <v>31952.146920393701</v>
      </c>
      <c r="M29" s="24">
        <v>31952.146920393701</v>
      </c>
      <c r="N29" s="24">
        <v>31952.146920393701</v>
      </c>
      <c r="O29" s="24">
        <v>25351.409578250001</v>
      </c>
      <c r="Q29" t="s">
        <v>182</v>
      </c>
      <c r="R29" s="113">
        <f>582397.8012075/1.11</f>
        <v>524682.70379054057</v>
      </c>
      <c r="S29" t="s">
        <v>175</v>
      </c>
      <c r="U29" t="s">
        <v>497</v>
      </c>
      <c r="V29">
        <v>680</v>
      </c>
      <c r="W29" t="s">
        <v>498</v>
      </c>
    </row>
    <row r="30" spans="1:23" x14ac:dyDescent="0.2">
      <c r="A30" s="3" t="s">
        <v>168</v>
      </c>
      <c r="B30" s="3"/>
      <c r="C30" s="3"/>
      <c r="D30" s="3"/>
      <c r="E30" s="3"/>
      <c r="F30" s="68">
        <v>91815.9915644875</v>
      </c>
      <c r="G30" s="68">
        <v>92120.282576856203</v>
      </c>
      <c r="H30" s="68">
        <v>92120.282576856203</v>
      </c>
      <c r="I30" s="68">
        <v>92120.282576856203</v>
      </c>
      <c r="J30" s="68"/>
      <c r="K30" s="68">
        <f t="shared" si="3"/>
        <v>66397.781761384351</v>
      </c>
      <c r="L30" s="24">
        <v>40675.280945912498</v>
      </c>
      <c r="M30" s="24">
        <v>40675.280945912498</v>
      </c>
      <c r="N30" s="24">
        <v>40675.280945912498</v>
      </c>
      <c r="O30" s="24">
        <v>32064.458549675001</v>
      </c>
      <c r="Q30" t="s">
        <v>184</v>
      </c>
      <c r="R30" s="65">
        <f>R27/F23</f>
        <v>7.5673350430059169E-2</v>
      </c>
      <c r="V30">
        <v>940</v>
      </c>
      <c r="W30" t="s">
        <v>499</v>
      </c>
    </row>
    <row r="31" spans="1:23" x14ac:dyDescent="0.2">
      <c r="A31" s="3" t="s">
        <v>11</v>
      </c>
      <c r="B31" s="3"/>
      <c r="C31" s="3"/>
      <c r="D31" s="3"/>
      <c r="E31" s="3"/>
      <c r="F31" s="68">
        <v>1069837595.60068</v>
      </c>
      <c r="G31" s="68">
        <v>1069632623.71258</v>
      </c>
      <c r="H31" s="68">
        <v>1069632623.71258</v>
      </c>
      <c r="I31" s="68">
        <v>1069632623.71258</v>
      </c>
      <c r="J31" s="68"/>
      <c r="K31" s="68">
        <f t="shared" si="3"/>
        <v>1025639127.010842</v>
      </c>
      <c r="L31" s="24">
        <v>981645630.30910397</v>
      </c>
      <c r="M31" s="24">
        <v>981645630.30910397</v>
      </c>
      <c r="N31" s="24">
        <v>981645630.30910397</v>
      </c>
      <c r="O31" s="24">
        <v>988125746.4102</v>
      </c>
      <c r="Q31" t="s">
        <v>305</v>
      </c>
      <c r="R31" s="65">
        <f>R29/F24</f>
        <v>0.70315477495892731</v>
      </c>
      <c r="V31" s="65">
        <f>V29/V30</f>
        <v>0.72340425531914898</v>
      </c>
    </row>
    <row r="33" spans="1:19" x14ac:dyDescent="0.2">
      <c r="F33" s="66" t="s">
        <v>12</v>
      </c>
      <c r="G33" s="66" t="s">
        <v>12</v>
      </c>
      <c r="H33" s="66" t="s">
        <v>12</v>
      </c>
      <c r="I33" s="66" t="s">
        <v>12</v>
      </c>
      <c r="J33" s="66" t="s">
        <v>12</v>
      </c>
      <c r="K33" s="66" t="s">
        <v>12</v>
      </c>
      <c r="L33" s="66" t="s">
        <v>12</v>
      </c>
      <c r="M33" s="66" t="s">
        <v>12</v>
      </c>
      <c r="N33" s="66" t="s">
        <v>12</v>
      </c>
      <c r="O33" s="66" t="s">
        <v>12</v>
      </c>
      <c r="Q33" t="s">
        <v>306</v>
      </c>
      <c r="R33" s="65">
        <f>582/(582+301)</f>
        <v>0.65911664779161949</v>
      </c>
    </row>
    <row r="34" spans="1:19" x14ac:dyDescent="0.2">
      <c r="A34" s="3" t="s">
        <v>13</v>
      </c>
      <c r="B34" s="3"/>
      <c r="C34" s="3"/>
      <c r="D34" s="3"/>
      <c r="E34" s="3"/>
      <c r="F34" s="81">
        <f>F23/F31*1000</f>
        <v>7.4101649371153959</v>
      </c>
      <c r="G34" s="27">
        <f>G23/G31*1000</f>
        <v>7.0555421716556612</v>
      </c>
      <c r="H34" s="27">
        <f>H23/H31*1000</f>
        <v>6.8758920574310745</v>
      </c>
      <c r="I34" s="27">
        <f>I23/I31*1000</f>
        <v>6.5141906502928055</v>
      </c>
      <c r="J34" s="27"/>
      <c r="K34" s="88">
        <f t="shared" ref="K34:K43" si="4">(I34+M34)/2</f>
        <v>5.8359506465200486</v>
      </c>
      <c r="L34" s="27">
        <f>L23/L31*1000</f>
        <v>5.7476077254704245</v>
      </c>
      <c r="M34" s="27">
        <f>M23/M31*1000</f>
        <v>5.1577106427472925</v>
      </c>
      <c r="N34" s="27">
        <f>N23/N31*1000</f>
        <v>5.1524244885651305</v>
      </c>
      <c r="O34" s="27">
        <f>O23/O31*1000</f>
        <v>6.5963615691750759</v>
      </c>
      <c r="Q34" t="s">
        <v>307</v>
      </c>
      <c r="R34" s="13">
        <v>301000</v>
      </c>
      <c r="S34" t="s">
        <v>175</v>
      </c>
    </row>
    <row r="35" spans="1:19" x14ac:dyDescent="0.2">
      <c r="A35" s="3" t="s">
        <v>14</v>
      </c>
      <c r="B35" s="3"/>
      <c r="C35" s="3"/>
      <c r="D35" s="3"/>
      <c r="E35" s="3"/>
      <c r="F35" s="82">
        <f>F24/F31*1000</f>
        <v>0.6974739022649652</v>
      </c>
      <c r="G35" s="27">
        <f>G24/G31*1000</f>
        <v>0.68030824352704877</v>
      </c>
      <c r="H35" s="27">
        <f>H24/H31*1000</f>
        <v>0.20266118514839343</v>
      </c>
      <c r="I35" s="27">
        <f>I24/I31*1000</f>
        <v>0.26085412544666148</v>
      </c>
      <c r="J35" s="27"/>
      <c r="K35" s="88">
        <f t="shared" si="4"/>
        <v>0.23015920173172361</v>
      </c>
      <c r="L35" s="27">
        <f>L24/L31*1000</f>
        <v>0.65613408322884337</v>
      </c>
      <c r="M35" s="27">
        <f>M24/M31*1000</f>
        <v>0.19946427801678576</v>
      </c>
      <c r="N35" s="27">
        <f>N24/N31*1000</f>
        <v>0.13786446395446036</v>
      </c>
      <c r="O35" s="27">
        <f>O24/O31*1000</f>
        <v>0.64917217151283257</v>
      </c>
      <c r="Q35" t="s">
        <v>308</v>
      </c>
      <c r="R35" s="30">
        <f>R34-115000-76000</f>
        <v>110000</v>
      </c>
      <c r="S35" t="s">
        <v>175</v>
      </c>
    </row>
    <row r="36" spans="1:19" x14ac:dyDescent="0.2">
      <c r="A36" s="3" t="s">
        <v>176</v>
      </c>
      <c r="B36" s="3"/>
      <c r="C36" s="3"/>
      <c r="D36" s="3"/>
      <c r="E36" s="3"/>
      <c r="G36" s="70">
        <f t="shared" ref="G36:O37" si="5">($F34-G34)/$F34</f>
        <v>4.7856258054868754E-2</v>
      </c>
      <c r="H36" s="70">
        <f t="shared" si="5"/>
        <v>7.2099998342587693E-2</v>
      </c>
      <c r="I36" s="70">
        <f t="shared" si="5"/>
        <v>0.12091151741237385</v>
      </c>
      <c r="J36" s="70"/>
      <c r="K36" s="88">
        <f t="shared" si="4"/>
        <v>0.21243984499056939</v>
      </c>
      <c r="L36" s="70">
        <f t="shared" si="5"/>
        <v>0.22436170122444887</v>
      </c>
      <c r="M36" s="70">
        <f t="shared" si="5"/>
        <v>0.3039681725687649</v>
      </c>
      <c r="N36" s="70">
        <f t="shared" si="5"/>
        <v>0.30468153782136342</v>
      </c>
      <c r="O36" s="70">
        <f t="shared" si="5"/>
        <v>0.10982257140650295</v>
      </c>
    </row>
    <row r="37" spans="1:19" x14ac:dyDescent="0.2">
      <c r="A37" s="3" t="s">
        <v>177</v>
      </c>
      <c r="B37" s="3"/>
      <c r="C37" s="3"/>
      <c r="D37" s="3"/>
      <c r="E37" s="3"/>
      <c r="G37" s="70">
        <f t="shared" si="5"/>
        <v>2.4611184278254636E-2</v>
      </c>
      <c r="H37" s="70">
        <f t="shared" si="5"/>
        <v>0.70943545774218242</v>
      </c>
      <c r="I37" s="70">
        <f t="shared" si="5"/>
        <v>0.62600159719300164</v>
      </c>
      <c r="J37" s="70"/>
      <c r="K37" s="88">
        <f t="shared" si="4"/>
        <v>0.67001030291698593</v>
      </c>
      <c r="L37" s="70">
        <f t="shared" si="5"/>
        <v>5.9270775439590764E-2</v>
      </c>
      <c r="M37" s="70">
        <f t="shared" si="5"/>
        <v>0.71401900864097023</v>
      </c>
      <c r="N37" s="70">
        <f t="shared" si="5"/>
        <v>0.80233745878267038</v>
      </c>
      <c r="O37" s="70">
        <f t="shared" si="5"/>
        <v>6.9252384347684381E-2</v>
      </c>
      <c r="Q37" t="s">
        <v>509</v>
      </c>
    </row>
    <row r="38" spans="1:19" x14ac:dyDescent="0.2">
      <c r="A38" s="3" t="s">
        <v>173</v>
      </c>
      <c r="B38" s="3"/>
      <c r="C38" s="3"/>
      <c r="D38" s="3"/>
      <c r="E38" s="3"/>
      <c r="G38" s="70">
        <f>($F27-G27)/$F27</f>
        <v>-6.4141109597761056E-3</v>
      </c>
      <c r="H38" s="70">
        <f>($F27-H27)/$F27</f>
        <v>-6.4141109597761056E-3</v>
      </c>
      <c r="I38" s="70">
        <f>($F27-I27)/$F27</f>
        <v>-6.4141109597761056E-3</v>
      </c>
      <c r="J38" s="70"/>
      <c r="K38" s="88">
        <f t="shared" si="4"/>
        <v>4.3644101586165787E-2</v>
      </c>
      <c r="L38" s="70">
        <f>($F27-L27)/$F27</f>
        <v>9.3702314132107681E-2</v>
      </c>
      <c r="M38" s="70">
        <f>($F27-M27)/$F27</f>
        <v>9.3702314132107681E-2</v>
      </c>
      <c r="N38" s="70">
        <f>($F27-N27)/$F27</f>
        <v>9.3702314132107681E-2</v>
      </c>
      <c r="O38" s="70">
        <f>($F27-O27)/$F27</f>
        <v>7.8196016007124738E-2</v>
      </c>
      <c r="Q38" t="s">
        <v>306</v>
      </c>
      <c r="R38" s="69">
        <f>R40/(R39+R40)</f>
        <v>0.61538461538461542</v>
      </c>
    </row>
    <row r="39" spans="1:19" s="151" customFormat="1" x14ac:dyDescent="0.2">
      <c r="A39" s="3" t="s">
        <v>172</v>
      </c>
      <c r="B39" s="3"/>
      <c r="C39" s="3"/>
      <c r="D39" s="3"/>
      <c r="E39" s="3"/>
      <c r="F39" s="14"/>
      <c r="G39" s="69">
        <f>($F30-G30)/$F30</f>
        <v>-3.3141395870563877E-3</v>
      </c>
      <c r="H39" s="69">
        <f>($F30-H30)/$F30</f>
        <v>-3.3141395870563877E-3</v>
      </c>
      <c r="I39" s="69">
        <f>($F30-I30)/$F30</f>
        <v>-3.3141395870563877E-3</v>
      </c>
      <c r="J39" s="69"/>
      <c r="K39" s="88">
        <f t="shared" si="4"/>
        <v>0.27683859173105502</v>
      </c>
      <c r="L39" s="69">
        <f>($F30-L30)/$F30</f>
        <v>0.55699132304916643</v>
      </c>
      <c r="M39" s="69">
        <f>($F30-M30)/$F30</f>
        <v>0.55699132304916643</v>
      </c>
      <c r="N39" s="69">
        <f>($F30-N30)/$F30</f>
        <v>0.55699132304916643</v>
      </c>
      <c r="O39" s="69">
        <f>($F30-O30)/$F30</f>
        <v>0.65077479420178852</v>
      </c>
      <c r="Q39" s="151" t="s">
        <v>510</v>
      </c>
      <c r="R39" s="153">
        <v>500</v>
      </c>
      <c r="S39" s="151" t="s">
        <v>271</v>
      </c>
    </row>
    <row r="40" spans="1:19" s="151" customFormat="1" x14ac:dyDescent="0.2">
      <c r="A40" s="71" t="s">
        <v>197</v>
      </c>
      <c r="B40" s="71"/>
      <c r="C40" s="71"/>
      <c r="D40" s="71"/>
      <c r="E40" s="71"/>
      <c r="F40" s="73">
        <f t="shared" ref="F40:I41" si="6">($R23-F23)/$R23</f>
        <v>-9.4982463995580052E-2</v>
      </c>
      <c r="G40" s="73">
        <f t="shared" si="6"/>
        <v>-4.2380950936850785E-2</v>
      </c>
      <c r="H40" s="73">
        <f t="shared" si="6"/>
        <v>-1.5839566540675372E-2</v>
      </c>
      <c r="I40" s="73">
        <f t="shared" si="6"/>
        <v>3.7597950740794146E-2</v>
      </c>
      <c r="J40" s="73"/>
      <c r="K40" s="89">
        <f>(I40+M40)/2</f>
        <v>0.16914123263202416</v>
      </c>
      <c r="L40" s="73">
        <f t="shared" ref="L40:O41" si="7">($R23-L23)/$R23</f>
        <v>0.22070248502225279</v>
      </c>
      <c r="M40" s="73">
        <f t="shared" si="7"/>
        <v>0.30068451452325418</v>
      </c>
      <c r="N40" s="73">
        <f t="shared" si="7"/>
        <v>0.30140124520751654</v>
      </c>
      <c r="O40" s="73">
        <f t="shared" si="7"/>
        <v>9.9718964208193372E-2</v>
      </c>
      <c r="Q40" s="151" t="s">
        <v>511</v>
      </c>
      <c r="R40" s="153">
        <v>800</v>
      </c>
      <c r="S40" s="151" t="s">
        <v>271</v>
      </c>
    </row>
    <row r="41" spans="1:19" s="151" customFormat="1" x14ac:dyDescent="0.2">
      <c r="A41" s="71" t="s">
        <v>198</v>
      </c>
      <c r="B41" s="71"/>
      <c r="C41" s="71"/>
      <c r="D41" s="71"/>
      <c r="E41" s="71"/>
      <c r="F41" s="73">
        <f t="shared" si="6"/>
        <v>-1.3030364277573272</v>
      </c>
      <c r="G41" s="73">
        <f t="shared" si="6"/>
        <v>-1.2459255909170803</v>
      </c>
      <c r="H41" s="73">
        <f t="shared" si="6"/>
        <v>0.33094748396612039</v>
      </c>
      <c r="I41" s="73">
        <f t="shared" si="6"/>
        <v>0.13883307837110184</v>
      </c>
      <c r="J41" s="73"/>
      <c r="K41" s="89">
        <f t="shared" si="4"/>
        <v>0.26725105011465894</v>
      </c>
      <c r="L41" s="73">
        <f t="shared" si="7"/>
        <v>-0.98793566573600011</v>
      </c>
      <c r="M41" s="73">
        <f t="shared" si="7"/>
        <v>0.39566902185821606</v>
      </c>
      <c r="N41" s="73">
        <f t="shared" si="7"/>
        <v>0.58230231908702779</v>
      </c>
      <c r="O41" s="73">
        <f t="shared" si="7"/>
        <v>-0.97982634729891371</v>
      </c>
      <c r="Q41" s="151" t="s">
        <v>512</v>
      </c>
      <c r="R41" s="153">
        <v>930</v>
      </c>
      <c r="S41" s="151" t="s">
        <v>271</v>
      </c>
    </row>
    <row r="42" spans="1:19" s="152" customFormat="1" x14ac:dyDescent="0.2">
      <c r="A42" s="71" t="s">
        <v>199</v>
      </c>
      <c r="B42" s="71"/>
      <c r="C42" s="71"/>
      <c r="D42" s="71"/>
      <c r="E42" s="71"/>
      <c r="F42" s="76"/>
      <c r="G42" s="73">
        <f t="shared" ref="G42:I43" si="8">($F23-G23)/$F23</f>
        <v>4.8038680790180754E-2</v>
      </c>
      <c r="H42" s="73">
        <f t="shared" si="8"/>
        <v>7.2277776181102524E-2</v>
      </c>
      <c r="I42" s="73">
        <f t="shared" si="8"/>
        <v>0.12107994337424327</v>
      </c>
      <c r="J42" s="73"/>
      <c r="K42" s="89">
        <f t="shared" si="4"/>
        <v>0.2412127182967109</v>
      </c>
      <c r="L42" s="73">
        <f t="shared" ref="L42:O43" si="9">($F23-L23)/$F23</f>
        <v>0.28830137412968387</v>
      </c>
      <c r="M42" s="73">
        <f t="shared" si="9"/>
        <v>0.36134549321917853</v>
      </c>
      <c r="N42" s="73">
        <f t="shared" si="9"/>
        <v>0.36200005227179294</v>
      </c>
      <c r="O42" s="73">
        <f t="shared" si="9"/>
        <v>0.1778123710705922</v>
      </c>
      <c r="Q42" s="151" t="s">
        <v>513</v>
      </c>
      <c r="R42" s="153">
        <v>370</v>
      </c>
      <c r="S42" s="151" t="s">
        <v>271</v>
      </c>
    </row>
    <row r="43" spans="1:19" s="152" customFormat="1" x14ac:dyDescent="0.2">
      <c r="A43" s="71" t="s">
        <v>200</v>
      </c>
      <c r="B43" s="71"/>
      <c r="C43" s="71"/>
      <c r="D43" s="71"/>
      <c r="E43" s="71"/>
      <c r="F43" s="76"/>
      <c r="G43" s="73">
        <f t="shared" si="8"/>
        <v>2.4798060574257111E-2</v>
      </c>
      <c r="H43" s="73">
        <f t="shared" si="8"/>
        <v>0.7094911274654061</v>
      </c>
      <c r="I43" s="73">
        <f t="shared" si="8"/>
        <v>0.62607325214239296</v>
      </c>
      <c r="J43" s="73"/>
      <c r="K43" s="89">
        <f t="shared" si="4"/>
        <v>0.68183353895149446</v>
      </c>
      <c r="L43" s="73">
        <f t="shared" si="9"/>
        <v>0.13681970385860073</v>
      </c>
      <c r="M43" s="73">
        <f t="shared" si="9"/>
        <v>0.73759382576059596</v>
      </c>
      <c r="N43" s="73">
        <f t="shared" si="9"/>
        <v>0.81863175246440978</v>
      </c>
      <c r="O43" s="73">
        <f t="shared" si="9"/>
        <v>0.14034084592103138</v>
      </c>
    </row>
    <row r="45" spans="1:19" x14ac:dyDescent="0.2">
      <c r="I45" s="129"/>
    </row>
    <row r="46" spans="1:19" x14ac:dyDescent="0.2">
      <c r="A46" s="14" t="s">
        <v>202</v>
      </c>
      <c r="B46" s="14"/>
      <c r="C46" s="14"/>
      <c r="D46" s="14"/>
      <c r="E46" s="14"/>
      <c r="L46" s="78">
        <v>3786620.0587067702</v>
      </c>
    </row>
    <row r="47" spans="1:19" x14ac:dyDescent="0.2">
      <c r="A47" s="14" t="s">
        <v>203</v>
      </c>
      <c r="B47" s="14"/>
      <c r="C47" s="14"/>
      <c r="D47" s="14"/>
      <c r="E47" s="14"/>
      <c r="L47" s="78">
        <v>114706.107307477</v>
      </c>
    </row>
    <row r="48" spans="1:19" x14ac:dyDescent="0.2">
      <c r="L48" s="78"/>
    </row>
    <row r="49" spans="6:16" x14ac:dyDescent="0.2">
      <c r="L49" s="78">
        <f>L46/1000-5332118.9/1000*0.75</f>
        <v>-212.46911629322994</v>
      </c>
    </row>
    <row r="50" spans="6:16" x14ac:dyDescent="0.2">
      <c r="L50" s="78">
        <f>L47/1000-204030/1000*0.55</f>
        <v>2.4896073074769873</v>
      </c>
    </row>
    <row r="52" spans="6:16" x14ac:dyDescent="0.2">
      <c r="G52" s="14" t="s">
        <v>232</v>
      </c>
      <c r="H52" s="14" t="s">
        <v>228</v>
      </c>
      <c r="I52" s="14" t="s">
        <v>231</v>
      </c>
      <c r="J52" s="14" t="s">
        <v>236</v>
      </c>
      <c r="K52" s="14" t="s">
        <v>233</v>
      </c>
      <c r="L52" s="14" t="s">
        <v>237</v>
      </c>
      <c r="P52" s="14"/>
    </row>
    <row r="53" spans="6:16" x14ac:dyDescent="0.2">
      <c r="F53" s="14" t="s">
        <v>226</v>
      </c>
      <c r="G53" s="24">
        <v>1701707344.74947</v>
      </c>
      <c r="H53" s="24">
        <v>425426836.18736899</v>
      </c>
      <c r="I53" s="24">
        <v>850084186.87482095</v>
      </c>
      <c r="J53" s="14">
        <v>424657350.68745202</v>
      </c>
      <c r="K53" s="24">
        <v>1698629402.74981</v>
      </c>
      <c r="P53" s="14"/>
    </row>
    <row r="54" spans="6:16" x14ac:dyDescent="0.2">
      <c r="F54" s="14" t="s">
        <v>227</v>
      </c>
      <c r="G54" s="24">
        <v>510329206.65347803</v>
      </c>
      <c r="H54" s="24">
        <v>127582301.663369</v>
      </c>
      <c r="I54" s="24">
        <v>251822226.99531701</v>
      </c>
      <c r="K54" s="24">
        <v>496959701.32779098</v>
      </c>
      <c r="P54" s="14"/>
    </row>
    <row r="55" spans="6:16" x14ac:dyDescent="0.2">
      <c r="F55" s="14" t="s">
        <v>229</v>
      </c>
      <c r="G55" s="24">
        <v>258659516.40191999</v>
      </c>
      <c r="H55" s="24">
        <v>64664879.100480102</v>
      </c>
      <c r="I55" s="24">
        <v>129212796.404972</v>
      </c>
      <c r="K55" s="24">
        <v>258191669.217971</v>
      </c>
      <c r="P55" s="14"/>
    </row>
    <row r="56" spans="6:16" x14ac:dyDescent="0.2">
      <c r="F56" s="14" t="s">
        <v>230</v>
      </c>
      <c r="G56" s="24">
        <v>181677197.568638</v>
      </c>
      <c r="H56" s="24">
        <v>45419299.392159499</v>
      </c>
      <c r="I56" s="24">
        <v>89648712.810332894</v>
      </c>
      <c r="K56" s="24">
        <v>176917653.67269301</v>
      </c>
      <c r="P56" s="14"/>
    </row>
    <row r="57" spans="6:16" x14ac:dyDescent="0.2">
      <c r="G57" s="24">
        <v>440336713.97055799</v>
      </c>
      <c r="H57" s="24">
        <v>110084178.49263901</v>
      </c>
      <c r="I57" s="24">
        <v>218861509.215305</v>
      </c>
      <c r="K57" s="24">
        <v>435109322.89066398</v>
      </c>
      <c r="P57" s="14"/>
    </row>
    <row r="58" spans="6:16" x14ac:dyDescent="0.2">
      <c r="G58" s="14" t="s">
        <v>187</v>
      </c>
    </row>
    <row r="60" spans="6:16" x14ac:dyDescent="0.2">
      <c r="F60" s="14" t="s">
        <v>234</v>
      </c>
      <c r="G60" s="14">
        <v>3020.3969589285698</v>
      </c>
      <c r="H60" s="14">
        <v>1510.1984794642799</v>
      </c>
      <c r="I60" s="14">
        <v>1700168373.74964</v>
      </c>
      <c r="L60" s="27">
        <v>1700783962.14957</v>
      </c>
    </row>
    <row r="61" spans="6:16" x14ac:dyDescent="0.2">
      <c r="F61" s="14" t="s">
        <v>235</v>
      </c>
      <c r="I61" s="91">
        <f>(G53+K53)/2</f>
        <v>1700168373.74964</v>
      </c>
      <c r="L61" s="27">
        <f>G53*0.7+K53*0.3</f>
        <v>1700783962.1495719</v>
      </c>
    </row>
    <row r="62" spans="6:16" x14ac:dyDescent="0.2">
      <c r="I62" s="29"/>
    </row>
    <row r="66" spans="1:12" x14ac:dyDescent="0.2">
      <c r="A66" s="118">
        <v>44290</v>
      </c>
      <c r="B66" s="118"/>
      <c r="C66" s="118"/>
      <c r="D66" s="118"/>
      <c r="E66" s="118"/>
      <c r="F66" s="16" t="s">
        <v>0</v>
      </c>
      <c r="G66" s="117" t="s">
        <v>310</v>
      </c>
      <c r="H66" s="16" t="s">
        <v>309</v>
      </c>
      <c r="I66" s="16" t="s">
        <v>314</v>
      </c>
      <c r="J66" s="16" t="s">
        <v>315</v>
      </c>
    </row>
    <row r="67" spans="1:12" x14ac:dyDescent="0.2">
      <c r="A67" s="14" t="s">
        <v>311</v>
      </c>
      <c r="B67" s="14"/>
      <c r="C67" s="14"/>
      <c r="D67" s="14"/>
      <c r="E67" s="14"/>
      <c r="F67" s="131">
        <v>7927673.0393279996</v>
      </c>
      <c r="G67" s="116">
        <f>F67*0.75</f>
        <v>5945754.7794959992</v>
      </c>
      <c r="H67" s="116">
        <f>F67*0.55</f>
        <v>4360220.1716304002</v>
      </c>
      <c r="I67" s="116">
        <v>5642114.0084388899</v>
      </c>
      <c r="J67" s="116">
        <v>2264896.69413298</v>
      </c>
    </row>
    <row r="68" spans="1:12" x14ac:dyDescent="0.2">
      <c r="A68" s="14" t="s">
        <v>245</v>
      </c>
      <c r="B68" s="14"/>
      <c r="C68" s="14"/>
      <c r="D68" s="14"/>
      <c r="E68" s="14"/>
      <c r="F68" s="131">
        <v>774078</v>
      </c>
      <c r="G68" s="116">
        <f t="shared" ref="G68:G70" si="10">F68*0.75</f>
        <v>580558.5</v>
      </c>
      <c r="H68" s="116">
        <f t="shared" ref="H68:H70" si="11">F68*0.55</f>
        <v>425742.9</v>
      </c>
      <c r="I68" s="116">
        <v>668169.32974326599</v>
      </c>
      <c r="J68" s="116">
        <v>589907.01759167504</v>
      </c>
      <c r="K68" s="125">
        <f>(F68-I68)/F68</f>
        <v>0.13681911933517554</v>
      </c>
      <c r="L68" s="125">
        <f>(F68-J68)/F68</f>
        <v>0.23792302895615811</v>
      </c>
    </row>
    <row r="69" spans="1:12" x14ac:dyDescent="0.2">
      <c r="A69" s="14" t="s">
        <v>312</v>
      </c>
      <c r="B69" s="14"/>
      <c r="C69" s="14"/>
      <c r="D69" s="14"/>
      <c r="E69" s="14"/>
      <c r="F69" s="116">
        <v>5375482.9421765199</v>
      </c>
      <c r="G69" s="116">
        <f t="shared" si="10"/>
        <v>4031612.2066323897</v>
      </c>
      <c r="H69" s="116">
        <f t="shared" si="11"/>
        <v>2956515.6181970863</v>
      </c>
      <c r="I69" s="116">
        <v>3786620.0587067702</v>
      </c>
      <c r="J69" s="116">
        <v>1394313.1731364799</v>
      </c>
      <c r="K69" s="69">
        <f>(F67-J67)/F67</f>
        <v>0.71430498168918344</v>
      </c>
    </row>
    <row r="70" spans="1:12" x14ac:dyDescent="0.2">
      <c r="A70" s="14" t="s">
        <v>313</v>
      </c>
      <c r="B70" s="14"/>
      <c r="C70" s="14"/>
      <c r="D70" s="14"/>
      <c r="E70" s="14"/>
      <c r="F70" s="116">
        <v>212170.953624024</v>
      </c>
      <c r="G70" s="116">
        <f t="shared" si="10"/>
        <v>159128.21521801798</v>
      </c>
      <c r="H70" s="116">
        <f t="shared" si="11"/>
        <v>116694.0244932132</v>
      </c>
      <c r="I70" s="116">
        <v>118994.186085327</v>
      </c>
      <c r="J70" s="116">
        <v>46204.349224088699</v>
      </c>
      <c r="K70" s="69">
        <f>(F68-J68)/F68</f>
        <v>0.23792302895615811</v>
      </c>
    </row>
    <row r="72" spans="1:12" x14ac:dyDescent="0.2">
      <c r="A72" s="14" t="s">
        <v>316</v>
      </c>
      <c r="B72" s="14"/>
      <c r="C72" s="14"/>
      <c r="D72" s="14"/>
      <c r="E72" s="14"/>
      <c r="F72" s="14">
        <v>7240000</v>
      </c>
      <c r="G72" s="116">
        <f>F72*0.75</f>
        <v>5430000</v>
      </c>
      <c r="H72" s="116">
        <f>F72*0.55</f>
        <v>3982000.0000000005</v>
      </c>
    </row>
    <row r="73" spans="1:12" x14ac:dyDescent="0.2">
      <c r="A73" s="14" t="s">
        <v>317</v>
      </c>
      <c r="B73" s="14"/>
      <c r="C73" s="14"/>
      <c r="D73" s="14"/>
      <c r="E73" s="14"/>
      <c r="F73" s="14">
        <v>324000</v>
      </c>
      <c r="G73" s="116">
        <f>F73*0.75</f>
        <v>243000</v>
      </c>
      <c r="H73" s="116">
        <f>F73*0.55</f>
        <v>178200</v>
      </c>
    </row>
    <row r="75" spans="1:12" x14ac:dyDescent="0.2">
      <c r="F75" s="15" t="s">
        <v>319</v>
      </c>
    </row>
    <row r="76" spans="1:12" x14ac:dyDescent="0.2">
      <c r="F76" s="15" t="s">
        <v>318</v>
      </c>
    </row>
    <row r="79" spans="1:12" x14ac:dyDescent="0.2">
      <c r="A79" s="16" t="s">
        <v>330</v>
      </c>
      <c r="B79" s="16"/>
      <c r="C79" s="16"/>
      <c r="D79" s="16"/>
      <c r="E79" s="16"/>
      <c r="F79" s="16" t="s">
        <v>326</v>
      </c>
      <c r="G79" s="16" t="s">
        <v>327</v>
      </c>
      <c r="H79" s="16" t="s">
        <v>328</v>
      </c>
      <c r="I79" s="16" t="s">
        <v>329</v>
      </c>
    </row>
    <row r="80" spans="1:12" x14ac:dyDescent="0.2">
      <c r="A80" s="14" t="s">
        <v>321</v>
      </c>
      <c r="B80" s="14"/>
      <c r="C80" s="14"/>
      <c r="D80" s="14"/>
      <c r="E80" s="14"/>
      <c r="F80" s="115">
        <v>0.15</v>
      </c>
      <c r="G80" s="115">
        <v>0.45</v>
      </c>
      <c r="H80" s="115">
        <v>0.15</v>
      </c>
      <c r="I80" s="115">
        <v>0.45</v>
      </c>
    </row>
    <row r="81" spans="1:11" x14ac:dyDescent="0.2">
      <c r="A81" s="14" t="s">
        <v>322</v>
      </c>
      <c r="B81" s="14"/>
      <c r="C81" s="14"/>
      <c r="D81" s="14"/>
      <c r="E81" s="14"/>
      <c r="F81" s="115">
        <v>0.25</v>
      </c>
      <c r="G81" s="115">
        <v>0.45</v>
      </c>
      <c r="H81" s="14" t="s">
        <v>20</v>
      </c>
      <c r="I81" s="14" t="s">
        <v>20</v>
      </c>
    </row>
    <row r="82" spans="1:11" x14ac:dyDescent="0.2">
      <c r="A82" s="14" t="s">
        <v>323</v>
      </c>
      <c r="B82" s="14"/>
      <c r="C82" s="14"/>
      <c r="D82" s="14"/>
      <c r="E82" s="14"/>
      <c r="F82" s="115">
        <v>0.15</v>
      </c>
      <c r="G82" s="115">
        <v>0.25</v>
      </c>
      <c r="H82" s="115">
        <v>0.15</v>
      </c>
      <c r="I82" s="115">
        <v>0.25</v>
      </c>
    </row>
    <row r="83" spans="1:11" x14ac:dyDescent="0.2">
      <c r="A83" s="14" t="s">
        <v>320</v>
      </c>
      <c r="B83" s="14"/>
      <c r="C83" s="14"/>
      <c r="D83" s="14"/>
      <c r="E83" s="14"/>
      <c r="F83" s="115">
        <v>0.25</v>
      </c>
      <c r="G83" s="115">
        <v>0.25</v>
      </c>
      <c r="H83" s="115">
        <v>0.25</v>
      </c>
      <c r="I83" s="115">
        <v>0.25</v>
      </c>
    </row>
    <row r="84" spans="1:11" x14ac:dyDescent="0.2">
      <c r="A84" s="14" t="s">
        <v>325</v>
      </c>
      <c r="B84" s="14"/>
      <c r="C84" s="14"/>
      <c r="D84" s="14"/>
      <c r="E84" s="14"/>
      <c r="F84" s="115">
        <v>0.15</v>
      </c>
      <c r="G84" s="115">
        <v>0.25</v>
      </c>
      <c r="H84" s="115">
        <v>0.15</v>
      </c>
      <c r="I84" s="115">
        <v>0.25</v>
      </c>
    </row>
    <row r="85" spans="1:11" x14ac:dyDescent="0.2">
      <c r="A85" s="14" t="s">
        <v>324</v>
      </c>
      <c r="B85" s="14"/>
      <c r="C85" s="14"/>
      <c r="D85" s="14"/>
      <c r="E85" s="14"/>
      <c r="F85" s="115">
        <v>0.15</v>
      </c>
      <c r="G85" s="115">
        <v>0.25</v>
      </c>
      <c r="H85" s="115">
        <v>0.15</v>
      </c>
      <c r="I85" s="115">
        <v>0.25</v>
      </c>
    </row>
    <row r="86" spans="1:11" x14ac:dyDescent="0.2">
      <c r="A86" s="14"/>
      <c r="B86" s="14"/>
      <c r="C86" s="14"/>
      <c r="D86" s="14"/>
      <c r="E86" s="14"/>
    </row>
    <row r="88" spans="1:11" x14ac:dyDescent="0.2">
      <c r="F88" s="22">
        <v>779297000</v>
      </c>
      <c r="G88" s="14" t="s">
        <v>34</v>
      </c>
    </row>
    <row r="89" spans="1:11" x14ac:dyDescent="0.2">
      <c r="F89" s="14">
        <v>3680</v>
      </c>
      <c r="G89" s="14" t="s">
        <v>331</v>
      </c>
    </row>
    <row r="90" spans="1:11" x14ac:dyDescent="0.2">
      <c r="F90" s="22">
        <f>F88/F89/100</f>
        <v>2117.654891304348</v>
      </c>
      <c r="G90" s="14" t="s">
        <v>332</v>
      </c>
    </row>
    <row r="92" spans="1:11" x14ac:dyDescent="0.2">
      <c r="F92" s="93">
        <v>390181239</v>
      </c>
    </row>
    <row r="93" spans="1:11" x14ac:dyDescent="0.2">
      <c r="F93" s="22">
        <f>F92/F89/100</f>
        <v>1060.2751059782609</v>
      </c>
    </row>
    <row r="95" spans="1:11" x14ac:dyDescent="0.2">
      <c r="G95" s="16" t="s">
        <v>350</v>
      </c>
      <c r="H95" s="16" t="s">
        <v>351</v>
      </c>
      <c r="I95" s="16" t="s">
        <v>353</v>
      </c>
      <c r="J95" s="16" t="s">
        <v>357</v>
      </c>
      <c r="K95" s="16" t="s">
        <v>358</v>
      </c>
    </row>
    <row r="96" spans="1:11" x14ac:dyDescent="0.2">
      <c r="F96" s="14" t="s">
        <v>315</v>
      </c>
      <c r="G96" s="14">
        <v>365370872.73314101</v>
      </c>
      <c r="H96" s="14">
        <v>425551846.42940301</v>
      </c>
      <c r="I96" s="14">
        <f>G96-H96</f>
        <v>-60180973.696262002</v>
      </c>
      <c r="J96" s="130">
        <f>(I97-I96)/(F67-J67)</f>
        <v>54.940617427886345</v>
      </c>
      <c r="K96" s="130">
        <f>(I97-I96)/(F68-J68)</f>
        <v>1689.2803887599875</v>
      </c>
    </row>
    <row r="97" spans="6:11" x14ac:dyDescent="0.2">
      <c r="F97" s="14" t="s">
        <v>352</v>
      </c>
      <c r="G97" s="14">
        <v>472032554.80142802</v>
      </c>
      <c r="H97" s="14">
        <v>221097099.736646</v>
      </c>
      <c r="I97" s="14">
        <f>G97-H97</f>
        <v>250935455.06478202</v>
      </c>
    </row>
    <row r="98" spans="6:11" x14ac:dyDescent="0.2">
      <c r="J98" s="24"/>
    </row>
    <row r="100" spans="6:11" x14ac:dyDescent="0.2">
      <c r="G100" s="14" t="s">
        <v>147</v>
      </c>
      <c r="H100" s="14" t="s">
        <v>119</v>
      </c>
      <c r="I100" s="14" t="s">
        <v>120</v>
      </c>
      <c r="J100" s="14" t="s">
        <v>359</v>
      </c>
      <c r="K100" s="14" t="s">
        <v>360</v>
      </c>
    </row>
    <row r="101" spans="6:11" x14ac:dyDescent="0.2">
      <c r="F101" s="3" t="s">
        <v>9</v>
      </c>
      <c r="G101" s="13">
        <v>7927673.0393279996</v>
      </c>
      <c r="H101" s="78">
        <v>7734596.5183392204</v>
      </c>
      <c r="I101" s="78">
        <v>7348603.1457407502</v>
      </c>
      <c r="J101" s="78">
        <v>7341443.5696150102</v>
      </c>
      <c r="K101" s="78">
        <v>7343397.5983012803</v>
      </c>
    </row>
    <row r="102" spans="6:11" x14ac:dyDescent="0.2">
      <c r="F102" s="3" t="s">
        <v>10</v>
      </c>
      <c r="G102" s="13">
        <v>774078.52418565005</v>
      </c>
      <c r="H102" s="78">
        <v>244074.57149774299</v>
      </c>
      <c r="I102" s="78">
        <v>309032.17853482399</v>
      </c>
      <c r="J102" s="78">
        <v>276928.74435494799</v>
      </c>
      <c r="K102" s="78">
        <v>246320.15792920999</v>
      </c>
    </row>
    <row r="103" spans="6:11" x14ac:dyDescent="0.2">
      <c r="F103" s="14" t="s">
        <v>361</v>
      </c>
      <c r="K103" s="134">
        <f>G101-K101</f>
        <v>584275.44102671929</v>
      </c>
    </row>
    <row r="104" spans="6:11" x14ac:dyDescent="0.2">
      <c r="F104" s="14" t="s">
        <v>362</v>
      </c>
      <c r="K104" s="134">
        <f>G102-K102</f>
        <v>527758.36625644006</v>
      </c>
    </row>
    <row r="105" spans="6:11" x14ac:dyDescent="0.2">
      <c r="F105" s="14" t="s">
        <v>363</v>
      </c>
      <c r="K105" s="134">
        <f>K103*J96</f>
        <v>32100453.477958553</v>
      </c>
    </row>
    <row r="106" spans="6:11" x14ac:dyDescent="0.2">
      <c r="G106" s="14">
        <v>5642114.0084388899</v>
      </c>
      <c r="K106" s="134">
        <f>K104*K96</f>
        <v>891531858.12101495</v>
      </c>
    </row>
    <row r="107" spans="6:11" x14ac:dyDescent="0.2">
      <c r="G107" s="90">
        <f>G106/G101</f>
        <v>0.71169862587031607</v>
      </c>
    </row>
    <row r="111" spans="6:11" ht="15" thickBot="1" x14ac:dyDescent="0.25">
      <c r="I111" s="14">
        <v>0.92500000000000004</v>
      </c>
      <c r="J111" s="14">
        <v>0.29699999999999999</v>
      </c>
    </row>
    <row r="112" spans="6:11" ht="19.5" thickBot="1" x14ac:dyDescent="0.35">
      <c r="G112" s="140">
        <v>0.05</v>
      </c>
      <c r="H112" s="140">
        <v>0.08</v>
      </c>
      <c r="I112" s="69">
        <f>G112*I$111</f>
        <v>4.6250000000000006E-2</v>
      </c>
      <c r="J112" s="69">
        <f>H112*J$111</f>
        <v>2.376E-2</v>
      </c>
    </row>
    <row r="113" spans="3:10" ht="20.25" thickTop="1" thickBot="1" x14ac:dyDescent="0.35">
      <c r="G113" s="141">
        <v>7.0000000000000007E-2</v>
      </c>
      <c r="H113" s="141">
        <v>0.26</v>
      </c>
      <c r="I113" s="69">
        <f t="shared" ref="I113:I116" si="12">G113*I$111</f>
        <v>6.4750000000000016E-2</v>
      </c>
      <c r="J113" s="69">
        <f>H113*J$111</f>
        <v>7.7219999999999997E-2</v>
      </c>
    </row>
    <row r="114" spans="3:10" ht="19.5" thickBot="1" x14ac:dyDescent="0.35">
      <c r="G114" s="142">
        <v>0.28000000000000003</v>
      </c>
      <c r="H114" s="142">
        <v>0.41</v>
      </c>
      <c r="I114" s="69">
        <f t="shared" si="12"/>
        <v>0.25900000000000006</v>
      </c>
      <c r="J114" s="69">
        <f>H114*J$111</f>
        <v>0.12176999999999999</v>
      </c>
    </row>
    <row r="115" spans="3:10" ht="19.5" thickBot="1" x14ac:dyDescent="0.35">
      <c r="G115" s="142">
        <v>0.28999999999999998</v>
      </c>
      <c r="H115" s="142">
        <v>0.42</v>
      </c>
      <c r="I115" s="69">
        <f t="shared" si="12"/>
        <v>0.26824999999999999</v>
      </c>
      <c r="J115" s="69">
        <f>H115*J$111</f>
        <v>0.12473999999999999</v>
      </c>
    </row>
    <row r="116" spans="3:10" ht="19.5" thickBot="1" x14ac:dyDescent="0.35">
      <c r="G116" s="142">
        <v>0.3</v>
      </c>
      <c r="H116" s="142">
        <v>0.42</v>
      </c>
      <c r="I116" s="69">
        <f t="shared" si="12"/>
        <v>0.27750000000000002</v>
      </c>
      <c r="J116" s="69">
        <f>H116*J$111</f>
        <v>0.12473999999999999</v>
      </c>
    </row>
    <row r="122" spans="3:10" x14ac:dyDescent="0.2">
      <c r="D122" t="s">
        <v>435</v>
      </c>
      <c r="E122" t="s">
        <v>436</v>
      </c>
    </row>
    <row r="123" spans="3:10" x14ac:dyDescent="0.2">
      <c r="C123" t="s">
        <v>376</v>
      </c>
      <c r="D123">
        <v>0</v>
      </c>
      <c r="E123">
        <v>0</v>
      </c>
    </row>
    <row r="124" spans="3:10" x14ac:dyDescent="0.2">
      <c r="C124" t="s">
        <v>377</v>
      </c>
      <c r="D124">
        <v>20.653300000000002</v>
      </c>
      <c r="E124">
        <v>40.253399999999999</v>
      </c>
    </row>
    <row r="125" spans="3:10" x14ac:dyDescent="0.2">
      <c r="C125" t="s">
        <v>378</v>
      </c>
      <c r="D125">
        <v>29.9436</v>
      </c>
      <c r="E125">
        <v>54.226199999999999</v>
      </c>
    </row>
    <row r="126" spans="3:10" x14ac:dyDescent="0.2">
      <c r="C126" t="s">
        <v>379</v>
      </c>
      <c r="D126">
        <v>-9.6794600000000006</v>
      </c>
      <c r="E126">
        <v>1534.73</v>
      </c>
    </row>
    <row r="127" spans="3:10" x14ac:dyDescent="0.2">
      <c r="C127" t="s">
        <v>380</v>
      </c>
      <c r="D127">
        <v>-15.860900000000001</v>
      </c>
      <c r="E127">
        <v>146.03700000000001</v>
      </c>
    </row>
    <row r="128" spans="3:10" x14ac:dyDescent="0.2">
      <c r="C128" t="s">
        <v>381</v>
      </c>
      <c r="D128">
        <v>-28.813600000000001</v>
      </c>
      <c r="E128">
        <v>193.18</v>
      </c>
    </row>
    <row r="129" spans="3:5" x14ac:dyDescent="0.2">
      <c r="C129" t="s">
        <v>393</v>
      </c>
      <c r="D129">
        <v>-7.9950799999999997</v>
      </c>
      <c r="E129">
        <v>0</v>
      </c>
    </row>
    <row r="130" spans="3:5" x14ac:dyDescent="0.2">
      <c r="C130" t="s">
        <v>394</v>
      </c>
      <c r="D130">
        <v>-11.2666</v>
      </c>
      <c r="E130">
        <v>267.74400000000003</v>
      </c>
    </row>
    <row r="131" spans="3:5" x14ac:dyDescent="0.2">
      <c r="C131" t="s">
        <v>395</v>
      </c>
      <c r="D131">
        <v>-16.436499999999999</v>
      </c>
      <c r="E131">
        <v>318.61900000000003</v>
      </c>
    </row>
    <row r="132" spans="3:5" x14ac:dyDescent="0.2">
      <c r="C132" t="s">
        <v>396</v>
      </c>
      <c r="D132">
        <v>18.319600000000001</v>
      </c>
      <c r="E132">
        <v>590.34699999999998</v>
      </c>
    </row>
    <row r="133" spans="3:5" x14ac:dyDescent="0.2">
      <c r="C133" t="s">
        <v>397</v>
      </c>
      <c r="D133">
        <v>18.6843</v>
      </c>
      <c r="E133">
        <v>373.53199999999998</v>
      </c>
    </row>
    <row r="134" spans="3:5" x14ac:dyDescent="0.2">
      <c r="C134" t="s">
        <v>398</v>
      </c>
      <c r="D134">
        <v>19.420000000000002</v>
      </c>
      <c r="E134">
        <v>371.23700000000002</v>
      </c>
    </row>
    <row r="135" spans="3:5" x14ac:dyDescent="0.2">
      <c r="C135" t="s">
        <v>399</v>
      </c>
      <c r="D135">
        <v>30.212399999999999</v>
      </c>
      <c r="E135">
        <v>645.60199999999998</v>
      </c>
    </row>
    <row r="136" spans="3:5" x14ac:dyDescent="0.2">
      <c r="C136" t="s">
        <v>400</v>
      </c>
      <c r="D136">
        <v>30.142600000000002</v>
      </c>
      <c r="E136">
        <v>424.72800000000001</v>
      </c>
    </row>
    <row r="137" spans="3:5" x14ac:dyDescent="0.2">
      <c r="C137" t="s">
        <v>401</v>
      </c>
      <c r="D137">
        <v>29.880800000000001</v>
      </c>
      <c r="E137">
        <v>446.94400000000002</v>
      </c>
    </row>
    <row r="138" spans="3:5" x14ac:dyDescent="0.2">
      <c r="C138" t="s">
        <v>402</v>
      </c>
      <c r="D138">
        <v>47.658900000000003</v>
      </c>
      <c r="E138">
        <v>833.03200000000004</v>
      </c>
    </row>
    <row r="139" spans="3:5" x14ac:dyDescent="0.2">
      <c r="C139" t="s">
        <v>403</v>
      </c>
      <c r="D139">
        <v>44.255200000000002</v>
      </c>
      <c r="E139">
        <v>527.78200000000004</v>
      </c>
    </row>
    <row r="140" spans="3:5" x14ac:dyDescent="0.2">
      <c r="C140" t="s">
        <v>404</v>
      </c>
      <c r="D140">
        <v>45.143799999999999</v>
      </c>
      <c r="E140">
        <v>522.35500000000002</v>
      </c>
    </row>
    <row r="141" spans="3:5" x14ac:dyDescent="0.2">
      <c r="C141" t="s">
        <v>405</v>
      </c>
      <c r="D141">
        <v>-11.881399999999999</v>
      </c>
      <c r="E141">
        <v>-224.024</v>
      </c>
    </row>
    <row r="142" spans="3:5" x14ac:dyDescent="0.2">
      <c r="C142" t="s">
        <v>406</v>
      </c>
      <c r="D142">
        <v>-0.60597900000000005</v>
      </c>
      <c r="E142">
        <v>-2.9220700000000002</v>
      </c>
    </row>
    <row r="143" spans="3:5" x14ac:dyDescent="0.2">
      <c r="C143" t="s">
        <v>407</v>
      </c>
      <c r="D143">
        <v>2.6989299999999998</v>
      </c>
      <c r="E143">
        <v>12.1967</v>
      </c>
    </row>
    <row r="144" spans="3:5" x14ac:dyDescent="0.2">
      <c r="C144" t="s">
        <v>408</v>
      </c>
      <c r="D144">
        <v>-9.0941500000000008</v>
      </c>
      <c r="E144">
        <v>190.785</v>
      </c>
    </row>
    <row r="145" spans="3:5" x14ac:dyDescent="0.2">
      <c r="C145" t="s">
        <v>409</v>
      </c>
      <c r="D145">
        <v>-44.169600000000003</v>
      </c>
      <c r="E145">
        <v>119.626</v>
      </c>
    </row>
    <row r="146" spans="3:5" x14ac:dyDescent="0.2">
      <c r="C146" t="s">
        <v>410</v>
      </c>
      <c r="D146">
        <v>-23.056999999999999</v>
      </c>
      <c r="E146">
        <v>94.646799999999999</v>
      </c>
    </row>
    <row r="147" spans="3:5" x14ac:dyDescent="0.2">
      <c r="C147" t="s">
        <v>411</v>
      </c>
      <c r="D147">
        <v>-7.97004</v>
      </c>
      <c r="E147">
        <v>628.84199999999998</v>
      </c>
    </row>
    <row r="148" spans="3:5" x14ac:dyDescent="0.2">
      <c r="C148" t="s">
        <v>412</v>
      </c>
      <c r="D148">
        <v>-10.808199999999999</v>
      </c>
      <c r="E148">
        <v>150.67500000000001</v>
      </c>
    </row>
    <row r="149" spans="3:5" x14ac:dyDescent="0.2">
      <c r="C149" t="s">
        <v>413</v>
      </c>
      <c r="D149">
        <v>-12.822900000000001</v>
      </c>
      <c r="E149">
        <v>157.90600000000001</v>
      </c>
    </row>
    <row r="150" spans="3:5" x14ac:dyDescent="0.2">
      <c r="C150" t="s">
        <v>414</v>
      </c>
      <c r="D150">
        <v>15.767899999999999</v>
      </c>
      <c r="E150">
        <v>479.63099999999997</v>
      </c>
    </row>
    <row r="151" spans="3:5" x14ac:dyDescent="0.2">
      <c r="C151" t="s">
        <v>415</v>
      </c>
      <c r="D151">
        <v>16.207100000000001</v>
      </c>
      <c r="E151">
        <v>326.30399999999997</v>
      </c>
    </row>
    <row r="152" spans="3:5" x14ac:dyDescent="0.2">
      <c r="C152" t="s">
        <v>416</v>
      </c>
      <c r="D152">
        <v>16.6617</v>
      </c>
      <c r="E152">
        <v>326.13499999999999</v>
      </c>
    </row>
    <row r="153" spans="3:5" x14ac:dyDescent="0.2">
      <c r="C153" t="s">
        <v>240</v>
      </c>
      <c r="D153">
        <v>24.78</v>
      </c>
      <c r="E153">
        <v>544.99300000000005</v>
      </c>
    </row>
    <row r="154" spans="3:5" x14ac:dyDescent="0.2">
      <c r="C154" t="s">
        <v>417</v>
      </c>
      <c r="D154">
        <v>25.4084</v>
      </c>
      <c r="E154">
        <v>365.36799999999999</v>
      </c>
    </row>
    <row r="155" spans="3:5" x14ac:dyDescent="0.2">
      <c r="C155" t="s">
        <v>418</v>
      </c>
      <c r="D155">
        <v>25.560600000000001</v>
      </c>
      <c r="E155">
        <v>365.68200000000002</v>
      </c>
    </row>
    <row r="156" spans="3:5" x14ac:dyDescent="0.2">
      <c r="C156" t="s">
        <v>419</v>
      </c>
      <c r="D156">
        <v>37.664999999999999</v>
      </c>
      <c r="E156">
        <v>589.995</v>
      </c>
    </row>
    <row r="157" spans="3:5" x14ac:dyDescent="0.2">
      <c r="C157" t="s">
        <v>420</v>
      </c>
      <c r="D157">
        <v>37.258400000000002</v>
      </c>
      <c r="E157">
        <v>409.86799999999999</v>
      </c>
    </row>
    <row r="158" spans="3:5" x14ac:dyDescent="0.2">
      <c r="C158" t="s">
        <v>421</v>
      </c>
      <c r="D158">
        <v>38.084800000000001</v>
      </c>
      <c r="E158">
        <v>408.88600000000002</v>
      </c>
    </row>
    <row r="159" spans="3:5" x14ac:dyDescent="0.2">
      <c r="C159" s="71" t="s">
        <v>187</v>
      </c>
      <c r="D159" s="71">
        <v>-11.919600000000001</v>
      </c>
      <c r="E159" s="71">
        <v>-226.10599999999999</v>
      </c>
    </row>
    <row r="160" spans="3:5" x14ac:dyDescent="0.2">
      <c r="C160" t="s">
        <v>422</v>
      </c>
      <c r="D160">
        <v>-0.57062000000000002</v>
      </c>
      <c r="E160">
        <v>-4.85832</v>
      </c>
    </row>
    <row r="161" spans="3:5" x14ac:dyDescent="0.2">
      <c r="C161" s="71" t="s">
        <v>188</v>
      </c>
      <c r="D161" s="71">
        <v>-3.1058300000000001</v>
      </c>
      <c r="E161" s="71">
        <v>-20.5624</v>
      </c>
    </row>
    <row r="162" spans="3:5" x14ac:dyDescent="0.2">
      <c r="C162" t="s">
        <v>423</v>
      </c>
      <c r="D162">
        <v>-6.8856900000000003</v>
      </c>
      <c r="E162">
        <v>37.0139</v>
      </c>
    </row>
    <row r="163" spans="3:5" x14ac:dyDescent="0.2">
      <c r="C163" t="s">
        <v>424</v>
      </c>
      <c r="D163">
        <v>-42.040900000000001</v>
      </c>
      <c r="E163">
        <v>43.020200000000003</v>
      </c>
    </row>
    <row r="164" spans="3:5" x14ac:dyDescent="0.2">
      <c r="C164" t="s">
        <v>425</v>
      </c>
      <c r="D164">
        <v>-54.968299999999999</v>
      </c>
      <c r="E164">
        <v>53.230699999999999</v>
      </c>
    </row>
    <row r="165" spans="3:5" x14ac:dyDescent="0.2">
      <c r="C165" t="s">
        <v>426</v>
      </c>
      <c r="D165">
        <v>-6.6261299999999999</v>
      </c>
      <c r="E165">
        <v>146.40100000000001</v>
      </c>
    </row>
    <row r="166" spans="3:5" x14ac:dyDescent="0.2">
      <c r="C166" t="s">
        <v>427</v>
      </c>
      <c r="D166">
        <v>-19.935199999999998</v>
      </c>
      <c r="E166">
        <v>118.117</v>
      </c>
    </row>
    <row r="167" spans="3:5" x14ac:dyDescent="0.2">
      <c r="C167" t="s">
        <v>428</v>
      </c>
      <c r="D167">
        <v>-13.772600000000001</v>
      </c>
      <c r="E167">
        <v>97.132300000000001</v>
      </c>
    </row>
    <row r="168" spans="3:5" x14ac:dyDescent="0.2">
      <c r="C168" s="71" t="s">
        <v>189</v>
      </c>
      <c r="D168" s="71">
        <v>13.5977</v>
      </c>
      <c r="E168" s="71">
        <v>395.36599999999999</v>
      </c>
    </row>
    <row r="169" spans="3:5" x14ac:dyDescent="0.2">
      <c r="C169" s="71" t="s">
        <v>190</v>
      </c>
      <c r="D169" s="71">
        <v>14.565</v>
      </c>
      <c r="E169" s="71">
        <v>306.524</v>
      </c>
    </row>
    <row r="170" spans="3:5" x14ac:dyDescent="0.2">
      <c r="C170" s="71" t="s">
        <v>191</v>
      </c>
      <c r="D170" s="71">
        <v>14.5098</v>
      </c>
      <c r="E170" s="71">
        <v>286.738</v>
      </c>
    </row>
    <row r="171" spans="3:5" x14ac:dyDescent="0.2">
      <c r="C171" t="s">
        <v>429</v>
      </c>
      <c r="D171">
        <v>21.262899999999998</v>
      </c>
      <c r="E171">
        <v>414.17399999999998</v>
      </c>
    </row>
    <row r="172" spans="3:5" x14ac:dyDescent="0.2">
      <c r="C172" t="s">
        <v>430</v>
      </c>
      <c r="D172">
        <v>21.279299999999999</v>
      </c>
      <c r="E172">
        <v>317.101</v>
      </c>
    </row>
    <row r="173" spans="3:5" x14ac:dyDescent="0.2">
      <c r="C173" t="s">
        <v>431</v>
      </c>
      <c r="D173">
        <v>22.1601</v>
      </c>
      <c r="E173">
        <v>318.05799999999999</v>
      </c>
    </row>
    <row r="174" spans="3:5" x14ac:dyDescent="0.2">
      <c r="C174" t="s">
        <v>432</v>
      </c>
      <c r="D174">
        <v>30.551600000000001</v>
      </c>
      <c r="E174">
        <v>449.13200000000001</v>
      </c>
    </row>
    <row r="175" spans="3:5" x14ac:dyDescent="0.2">
      <c r="C175" t="s">
        <v>433</v>
      </c>
      <c r="D175">
        <v>30.584099999999999</v>
      </c>
      <c r="E175">
        <v>343.33100000000002</v>
      </c>
    </row>
    <row r="176" spans="3:5" x14ac:dyDescent="0.2">
      <c r="C176" t="s">
        <v>434</v>
      </c>
      <c r="D176">
        <v>31.3018</v>
      </c>
      <c r="E176">
        <v>344.274</v>
      </c>
    </row>
  </sheetData>
  <mergeCells count="1">
    <mergeCell ref="B1:E1"/>
  </mergeCells>
  <phoneticPr fontId="16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4D97-540B-44B3-8C96-382A97C06C73}">
  <dimension ref="A2:H34"/>
  <sheetViews>
    <sheetView workbookViewId="0">
      <selection activeCell="C29" sqref="C29"/>
    </sheetView>
  </sheetViews>
  <sheetFormatPr defaultRowHeight="14.25" x14ac:dyDescent="0.2"/>
  <cols>
    <col min="1" max="1" width="11.5" bestFit="1" customWidth="1"/>
    <col min="2" max="2" width="46" customWidth="1"/>
    <col min="3" max="3" width="24.5" customWidth="1"/>
    <col min="4" max="4" width="32.625" customWidth="1"/>
    <col min="5" max="5" width="24.875" customWidth="1"/>
  </cols>
  <sheetData>
    <row r="2" spans="1:8" x14ac:dyDescent="0.2">
      <c r="A2" s="12"/>
      <c r="B2" s="32" t="s">
        <v>15</v>
      </c>
      <c r="C2" s="33" t="s">
        <v>18</v>
      </c>
      <c r="D2" s="33" t="s">
        <v>19</v>
      </c>
      <c r="E2" s="33" t="s">
        <v>170</v>
      </c>
      <c r="F2" s="12"/>
      <c r="G2" s="12"/>
      <c r="H2" s="12"/>
    </row>
    <row r="3" spans="1:8" x14ac:dyDescent="0.2">
      <c r="A3" s="12" t="s">
        <v>16</v>
      </c>
      <c r="B3" s="12" t="s">
        <v>24</v>
      </c>
      <c r="C3" s="12" t="s">
        <v>24</v>
      </c>
      <c r="D3" s="12" t="s">
        <v>24</v>
      </c>
      <c r="E3" s="12" t="s">
        <v>24</v>
      </c>
      <c r="F3" s="12"/>
      <c r="G3" s="12"/>
      <c r="H3" s="12"/>
    </row>
    <row r="4" spans="1:8" x14ac:dyDescent="0.2">
      <c r="A4" s="12" t="s">
        <v>17</v>
      </c>
      <c r="B4" s="12" t="s">
        <v>20</v>
      </c>
      <c r="C4" s="12" t="s">
        <v>20</v>
      </c>
      <c r="D4" s="12" t="s">
        <v>21</v>
      </c>
      <c r="E4" s="12" t="s">
        <v>21</v>
      </c>
      <c r="F4" s="12"/>
      <c r="G4" s="12"/>
      <c r="H4" s="12"/>
    </row>
    <row r="5" spans="1:8" x14ac:dyDescent="0.2">
      <c r="A5" s="12" t="s">
        <v>22</v>
      </c>
      <c r="B5" s="12" t="s">
        <v>29</v>
      </c>
      <c r="C5" s="12" t="s">
        <v>29</v>
      </c>
      <c r="D5" s="12" t="s">
        <v>29</v>
      </c>
      <c r="E5" s="12" t="s">
        <v>27</v>
      </c>
      <c r="F5" s="12"/>
      <c r="G5" s="12"/>
      <c r="H5" s="12"/>
    </row>
    <row r="6" spans="1:8" x14ac:dyDescent="0.2">
      <c r="A6" s="12" t="s">
        <v>23</v>
      </c>
      <c r="B6" s="12" t="s">
        <v>30</v>
      </c>
      <c r="C6" s="12" t="s">
        <v>30</v>
      </c>
      <c r="D6" s="12" t="s">
        <v>30</v>
      </c>
      <c r="E6" s="12" t="s">
        <v>28</v>
      </c>
      <c r="F6" s="12"/>
      <c r="G6" s="12"/>
      <c r="H6" s="12"/>
    </row>
    <row r="7" spans="1:8" x14ac:dyDescent="0.2">
      <c r="A7" s="12" t="s">
        <v>25</v>
      </c>
      <c r="B7" s="12" t="s">
        <v>20</v>
      </c>
      <c r="C7" s="12" t="s">
        <v>171</v>
      </c>
      <c r="D7" s="12" t="s">
        <v>26</v>
      </c>
      <c r="E7" s="12" t="s">
        <v>26</v>
      </c>
      <c r="F7" s="12"/>
      <c r="G7" s="12"/>
      <c r="H7" s="12"/>
    </row>
    <row r="8" spans="1:8" x14ac:dyDescent="0.2">
      <c r="A8" s="12"/>
      <c r="B8" s="12"/>
      <c r="C8" s="12"/>
      <c r="D8" s="12"/>
      <c r="E8" s="12"/>
      <c r="F8" s="12"/>
      <c r="G8" s="12"/>
      <c r="H8" s="12"/>
    </row>
    <row r="9" spans="1:8" x14ac:dyDescent="0.2">
      <c r="A9" s="12"/>
      <c r="B9" s="12"/>
      <c r="C9" s="12"/>
      <c r="D9" s="12"/>
      <c r="E9" s="12"/>
      <c r="F9" s="12"/>
      <c r="G9" s="12"/>
      <c r="H9" s="12"/>
    </row>
    <row r="10" spans="1:8" x14ac:dyDescent="0.2">
      <c r="A10" s="12"/>
      <c r="B10" s="12"/>
      <c r="C10" s="12"/>
      <c r="D10" s="12"/>
      <c r="E10" s="12"/>
      <c r="F10" s="12"/>
      <c r="G10" s="12"/>
      <c r="H10" s="12"/>
    </row>
    <row r="11" spans="1:8" x14ac:dyDescent="0.2">
      <c r="A11" s="12"/>
      <c r="B11" s="34" t="s">
        <v>56</v>
      </c>
      <c r="C11" s="34" t="s">
        <v>51</v>
      </c>
      <c r="D11" s="34" t="s">
        <v>43</v>
      </c>
      <c r="E11" s="12"/>
      <c r="F11" s="12"/>
      <c r="G11" s="12"/>
      <c r="H11" s="12"/>
    </row>
    <row r="12" spans="1:8" x14ac:dyDescent="0.2">
      <c r="A12" s="12"/>
      <c r="B12" s="12"/>
      <c r="C12" s="12">
        <v>95</v>
      </c>
      <c r="D12" s="12" t="s">
        <v>32</v>
      </c>
      <c r="E12" s="12"/>
      <c r="F12" s="12"/>
      <c r="G12" s="12"/>
      <c r="H12" s="12"/>
    </row>
    <row r="13" spans="1:8" x14ac:dyDescent="0.2">
      <c r="A13" s="12"/>
      <c r="B13" s="12"/>
      <c r="C13" s="12">
        <v>113700</v>
      </c>
      <c r="D13" s="12" t="s">
        <v>33</v>
      </c>
      <c r="E13" s="12"/>
      <c r="F13" s="12"/>
      <c r="G13" s="12"/>
      <c r="H13" s="12"/>
    </row>
    <row r="14" spans="1:8" x14ac:dyDescent="0.2">
      <c r="A14" s="12"/>
      <c r="B14" s="12" t="s">
        <v>57</v>
      </c>
      <c r="C14" s="35">
        <f>C12*C13</f>
        <v>10801500</v>
      </c>
      <c r="D14" s="12" t="s">
        <v>34</v>
      </c>
      <c r="E14" s="12"/>
      <c r="F14" s="12"/>
      <c r="G14" s="12"/>
      <c r="H14" s="12"/>
    </row>
    <row r="15" spans="1:8" x14ac:dyDescent="0.2">
      <c r="A15" s="12"/>
      <c r="B15" s="12"/>
      <c r="C15" s="12"/>
      <c r="D15" s="12"/>
      <c r="E15" s="12"/>
      <c r="F15" s="12"/>
      <c r="G15" s="12"/>
      <c r="H15" s="12"/>
    </row>
    <row r="16" spans="1:8" x14ac:dyDescent="0.2">
      <c r="A16" s="12"/>
      <c r="B16" s="34" t="s">
        <v>42</v>
      </c>
      <c r="C16" s="34" t="s">
        <v>51</v>
      </c>
      <c r="D16" s="34" t="s">
        <v>43</v>
      </c>
      <c r="E16" s="12"/>
      <c r="F16" s="12"/>
      <c r="G16" s="12"/>
      <c r="H16" s="12"/>
    </row>
    <row r="17" spans="1:8" x14ac:dyDescent="0.2">
      <c r="A17" s="12"/>
      <c r="B17" s="12" t="s">
        <v>35</v>
      </c>
      <c r="C17" s="12">
        <v>0.152</v>
      </c>
      <c r="D17" s="12" t="s">
        <v>40</v>
      </c>
      <c r="E17" s="12"/>
      <c r="F17" s="12"/>
      <c r="G17" s="12"/>
      <c r="H17" s="12"/>
    </row>
    <row r="18" spans="1:8" x14ac:dyDescent="0.2">
      <c r="A18" s="12"/>
      <c r="B18" s="12" t="s">
        <v>36</v>
      </c>
      <c r="C18" s="12">
        <v>0.35599999999999998</v>
      </c>
      <c r="D18" s="12" t="s">
        <v>40</v>
      </c>
      <c r="E18" s="12"/>
      <c r="F18" s="12"/>
      <c r="G18" s="12"/>
      <c r="H18" s="12"/>
    </row>
    <row r="19" spans="1:8" x14ac:dyDescent="0.2">
      <c r="A19" s="12"/>
      <c r="B19" s="12" t="s">
        <v>39</v>
      </c>
      <c r="C19" s="12">
        <v>0.5</v>
      </c>
      <c r="D19" s="12" t="s">
        <v>40</v>
      </c>
      <c r="E19" s="12"/>
      <c r="F19" s="12"/>
      <c r="G19" s="12"/>
      <c r="H19" s="12"/>
    </row>
    <row r="20" spans="1:8" x14ac:dyDescent="0.2">
      <c r="A20" s="12"/>
      <c r="B20" s="12" t="s">
        <v>62</v>
      </c>
      <c r="C20" s="12">
        <v>0.42</v>
      </c>
      <c r="D20" s="12" t="s">
        <v>40</v>
      </c>
      <c r="E20" s="12"/>
      <c r="F20" s="12"/>
      <c r="G20" s="12"/>
      <c r="H20" s="12"/>
    </row>
    <row r="21" spans="1:8" x14ac:dyDescent="0.2">
      <c r="A21" s="12"/>
      <c r="B21" s="12" t="s">
        <v>37</v>
      </c>
      <c r="C21" s="12">
        <v>6.3799999999999996E-2</v>
      </c>
      <c r="D21" s="12" t="s">
        <v>41</v>
      </c>
      <c r="E21" s="12"/>
      <c r="F21" s="12"/>
      <c r="G21" s="12"/>
      <c r="H21" s="12"/>
    </row>
    <row r="22" spans="1:8" x14ac:dyDescent="0.2">
      <c r="A22" s="12"/>
      <c r="B22" s="12" t="s">
        <v>38</v>
      </c>
      <c r="C22" s="12">
        <v>5.25</v>
      </c>
      <c r="D22" s="12" t="s">
        <v>63</v>
      </c>
      <c r="E22" s="12"/>
      <c r="F22" s="12"/>
      <c r="G22" s="12"/>
      <c r="H22" s="12"/>
    </row>
    <row r="23" spans="1:8" x14ac:dyDescent="0.2">
      <c r="A23" s="12"/>
      <c r="B23" s="12"/>
      <c r="C23" s="12"/>
      <c r="D23" s="12"/>
      <c r="E23" s="12"/>
      <c r="F23" s="12"/>
      <c r="G23" s="12"/>
      <c r="H23" s="12"/>
    </row>
    <row r="24" spans="1:8" x14ac:dyDescent="0.2">
      <c r="A24" s="12"/>
      <c r="B24" s="12"/>
      <c r="C24" s="12"/>
      <c r="D24" s="12"/>
      <c r="E24" s="12"/>
      <c r="F24" s="12"/>
      <c r="G24" s="12"/>
      <c r="H24" s="12"/>
    </row>
    <row r="25" spans="1:8" x14ac:dyDescent="0.2">
      <c r="A25" s="12"/>
      <c r="B25" s="34" t="s">
        <v>48</v>
      </c>
      <c r="C25" s="34" t="s">
        <v>51</v>
      </c>
      <c r="D25" s="34" t="s">
        <v>43</v>
      </c>
      <c r="E25" s="34" t="s">
        <v>52</v>
      </c>
      <c r="F25" s="12"/>
      <c r="G25" s="12"/>
      <c r="H25" s="12"/>
    </row>
    <row r="26" spans="1:8" x14ac:dyDescent="0.2">
      <c r="A26" s="12"/>
      <c r="B26" s="12" t="s">
        <v>49</v>
      </c>
      <c r="C26" s="12">
        <v>7.29</v>
      </c>
      <c r="D26" s="12" t="s">
        <v>50</v>
      </c>
      <c r="E26" s="12" t="s">
        <v>53</v>
      </c>
      <c r="F26" s="12"/>
      <c r="G26" s="12"/>
      <c r="H26" s="12"/>
    </row>
    <row r="27" spans="1:8" x14ac:dyDescent="0.2">
      <c r="A27" s="12"/>
      <c r="B27" s="12" t="s">
        <v>54</v>
      </c>
      <c r="C27" s="12">
        <v>1</v>
      </c>
      <c r="D27" s="12" t="s">
        <v>50</v>
      </c>
      <c r="E27" s="12" t="s">
        <v>53</v>
      </c>
      <c r="F27" s="12"/>
      <c r="G27" s="12"/>
      <c r="H27" s="12"/>
    </row>
    <row r="28" spans="1:8" x14ac:dyDescent="0.2">
      <c r="A28" s="12"/>
      <c r="B28" s="12"/>
      <c r="C28" s="12"/>
      <c r="D28" s="12"/>
      <c r="E28" s="12"/>
      <c r="F28" s="12"/>
      <c r="G28" s="12"/>
      <c r="H28" s="12"/>
    </row>
    <row r="29" spans="1:8" x14ac:dyDescent="0.2">
      <c r="A29" s="12"/>
      <c r="B29" s="12" t="s">
        <v>58</v>
      </c>
      <c r="C29" s="12">
        <v>9.5000000000000001E-2</v>
      </c>
      <c r="D29" s="12" t="s">
        <v>59</v>
      </c>
      <c r="E29" s="12" t="s">
        <v>55</v>
      </c>
      <c r="F29" s="12"/>
      <c r="G29" s="12"/>
      <c r="H29" s="12"/>
    </row>
    <row r="30" spans="1:8" x14ac:dyDescent="0.2">
      <c r="A30" s="12"/>
      <c r="B30" s="12" t="s">
        <v>61</v>
      </c>
      <c r="C30" s="36">
        <f>C29/0.224</f>
        <v>0.42410714285714285</v>
      </c>
      <c r="D30" s="12" t="s">
        <v>59</v>
      </c>
      <c r="E30" s="12" t="s">
        <v>55</v>
      </c>
      <c r="F30" s="12"/>
      <c r="G30" s="12"/>
      <c r="H30" s="12"/>
    </row>
    <row r="31" spans="1:8" x14ac:dyDescent="0.2">
      <c r="A31" s="12"/>
      <c r="B31" s="12" t="s">
        <v>60</v>
      </c>
      <c r="C31" s="12">
        <v>3.07</v>
      </c>
      <c r="D31" s="12" t="s">
        <v>59</v>
      </c>
      <c r="E31" s="12" t="s">
        <v>55</v>
      </c>
      <c r="F31" s="12"/>
      <c r="G31" s="12"/>
      <c r="H31" s="12"/>
    </row>
    <row r="32" spans="1:8" x14ac:dyDescent="0.2">
      <c r="A32" s="12"/>
      <c r="B32" s="12"/>
      <c r="C32" s="12"/>
      <c r="D32" s="12"/>
      <c r="E32" s="12"/>
      <c r="F32" s="12"/>
      <c r="G32" s="12"/>
      <c r="H32" s="12"/>
    </row>
    <row r="33" spans="1:8" x14ac:dyDescent="0.2">
      <c r="A33" s="12"/>
      <c r="B33" s="12"/>
      <c r="C33" s="12"/>
      <c r="D33" s="12"/>
      <c r="E33" s="12"/>
      <c r="F33" s="12"/>
      <c r="G33" s="12"/>
      <c r="H33" s="12"/>
    </row>
    <row r="34" spans="1:8" x14ac:dyDescent="0.2">
      <c r="A34" s="12"/>
      <c r="B34" s="12" t="s">
        <v>64</v>
      </c>
      <c r="C34" s="12"/>
      <c r="D34" s="12"/>
      <c r="E34" s="12"/>
      <c r="F34" s="12"/>
      <c r="G34" s="12"/>
      <c r="H34" s="12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5EB7-68CF-418E-9AF6-4E6B581C0A25}">
  <dimension ref="A1:S104"/>
  <sheetViews>
    <sheetView topLeftCell="A100" workbookViewId="0">
      <selection activeCell="J31" sqref="J31"/>
    </sheetView>
  </sheetViews>
  <sheetFormatPr defaultRowHeight="14.25" x14ac:dyDescent="0.2"/>
  <cols>
    <col min="1" max="1" width="28.5" bestFit="1" customWidth="1"/>
    <col min="2" max="2" width="16" customWidth="1"/>
    <col min="3" max="3" width="18" customWidth="1"/>
    <col min="4" max="4" width="22" customWidth="1"/>
    <col min="5" max="5" width="17.5" customWidth="1"/>
    <col min="6" max="6" width="15.625" customWidth="1"/>
    <col min="7" max="7" width="14.875" customWidth="1"/>
    <col min="8" max="8" width="14.125" customWidth="1"/>
    <col min="9" max="9" width="20.125" bestFit="1" customWidth="1"/>
    <col min="10" max="10" width="15.625" bestFit="1" customWidth="1"/>
    <col min="11" max="11" width="19" bestFit="1" customWidth="1"/>
    <col min="12" max="12" width="30" bestFit="1" customWidth="1"/>
    <col min="13" max="13" width="15.625" bestFit="1" customWidth="1"/>
    <col min="14" max="14" width="19.5" customWidth="1"/>
    <col min="15" max="15" width="15.875" customWidth="1"/>
    <col min="16" max="16" width="11.5" customWidth="1"/>
  </cols>
  <sheetData>
    <row r="1" spans="1:10" x14ac:dyDescent="0.2">
      <c r="A1" s="37" t="s">
        <v>67</v>
      </c>
    </row>
    <row r="2" spans="1:10" x14ac:dyDescent="0.2">
      <c r="A2" s="37"/>
      <c r="B2" t="s">
        <v>68</v>
      </c>
      <c r="C2" t="s">
        <v>68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  <c r="I2" t="s">
        <v>34</v>
      </c>
    </row>
    <row r="3" spans="1:10" x14ac:dyDescent="0.2">
      <c r="A3" s="9" t="s">
        <v>69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I3" t="s">
        <v>77</v>
      </c>
    </row>
    <row r="4" spans="1:10" x14ac:dyDescent="0.2">
      <c r="A4" s="3" t="s">
        <v>78</v>
      </c>
      <c r="B4" s="6" t="s">
        <v>79</v>
      </c>
      <c r="C4" s="6" t="s">
        <v>80</v>
      </c>
      <c r="D4" s="38" t="s">
        <v>81</v>
      </c>
      <c r="E4" s="6" t="s">
        <v>82</v>
      </c>
      <c r="F4" s="6" t="s">
        <v>83</v>
      </c>
      <c r="G4" s="6" t="s">
        <v>84</v>
      </c>
      <c r="H4" s="6" t="s">
        <v>85</v>
      </c>
      <c r="I4" s="39">
        <v>11800000</v>
      </c>
      <c r="J4" s="40"/>
    </row>
    <row r="5" spans="1:10" x14ac:dyDescent="0.2">
      <c r="A5" s="3" t="s">
        <v>86</v>
      </c>
      <c r="B5" s="6" t="s">
        <v>87</v>
      </c>
      <c r="C5" s="6" t="s">
        <v>88</v>
      </c>
      <c r="D5" s="41" t="s">
        <v>89</v>
      </c>
      <c r="E5" s="6" t="s">
        <v>82</v>
      </c>
      <c r="F5" s="6" t="s">
        <v>90</v>
      </c>
      <c r="G5" s="6" t="s">
        <v>91</v>
      </c>
      <c r="H5" s="6" t="s">
        <v>85</v>
      </c>
      <c r="I5" s="6" t="s">
        <v>92</v>
      </c>
    </row>
    <row r="6" spans="1:10" x14ac:dyDescent="0.2">
      <c r="A6" s="3" t="s">
        <v>93</v>
      </c>
      <c r="B6" s="6" t="s">
        <v>94</v>
      </c>
      <c r="C6" s="6" t="s">
        <v>95</v>
      </c>
      <c r="D6" s="38" t="s">
        <v>96</v>
      </c>
      <c r="E6" s="6" t="s">
        <v>97</v>
      </c>
      <c r="F6" s="6" t="s">
        <v>98</v>
      </c>
      <c r="G6" s="6" t="s">
        <v>99</v>
      </c>
      <c r="H6" s="6" t="s">
        <v>100</v>
      </c>
      <c r="I6" s="6" t="s">
        <v>101</v>
      </c>
    </row>
    <row r="7" spans="1:10" x14ac:dyDescent="0.2">
      <c r="A7" s="3" t="s">
        <v>102</v>
      </c>
      <c r="B7" s="6" t="s">
        <v>103</v>
      </c>
      <c r="C7" s="6" t="s">
        <v>104</v>
      </c>
      <c r="D7" s="42">
        <v>4430000</v>
      </c>
      <c r="E7" s="6" t="s">
        <v>105</v>
      </c>
      <c r="F7" s="6" t="s">
        <v>106</v>
      </c>
      <c r="G7" s="6" t="s">
        <v>107</v>
      </c>
      <c r="H7" s="6" t="s">
        <v>100</v>
      </c>
      <c r="I7" s="6" t="s">
        <v>108</v>
      </c>
    </row>
    <row r="8" spans="1:10" x14ac:dyDescent="0.2">
      <c r="D8" s="5">
        <f>D4+E4+F4+G4+H4</f>
        <v>7549000</v>
      </c>
    </row>
    <row r="9" spans="1:10" x14ac:dyDescent="0.2">
      <c r="D9" s="4"/>
    </row>
    <row r="10" spans="1:10" x14ac:dyDescent="0.2">
      <c r="A10" s="3" t="s">
        <v>109</v>
      </c>
      <c r="B10">
        <v>0.08</v>
      </c>
      <c r="C10" s="5">
        <f>C4*B11</f>
        <v>11321121.802579021</v>
      </c>
    </row>
    <row r="11" spans="1:10" x14ac:dyDescent="0.2">
      <c r="A11" s="3" t="s">
        <v>110</v>
      </c>
      <c r="B11" s="20">
        <f>B10/(1-(1+B10)^-40)</f>
        <v>8.386016150058534E-2</v>
      </c>
      <c r="E11" s="43">
        <v>13281537</v>
      </c>
    </row>
    <row r="12" spans="1:10" x14ac:dyDescent="0.2">
      <c r="A12" s="3" t="s">
        <v>78</v>
      </c>
      <c r="B12" s="5">
        <f>B4*B$11</f>
        <v>19371697.306635212</v>
      </c>
      <c r="C12" s="3" t="s">
        <v>111</v>
      </c>
      <c r="D12" s="5">
        <f>C10+D8</f>
        <v>18870121.802579023</v>
      </c>
      <c r="E12" s="43">
        <f>5654920*12</f>
        <v>67859040</v>
      </c>
    </row>
    <row r="13" spans="1:10" x14ac:dyDescent="0.2">
      <c r="A13" s="3" t="s">
        <v>86</v>
      </c>
      <c r="B13" s="5">
        <f>B5*B$11</f>
        <v>22726103.766658626</v>
      </c>
    </row>
    <row r="14" spans="1:10" x14ac:dyDescent="0.2">
      <c r="A14" s="3" t="s">
        <v>93</v>
      </c>
      <c r="B14" s="5">
        <f>B6*B$11</f>
        <v>21803641.990152188</v>
      </c>
    </row>
    <row r="15" spans="1:10" x14ac:dyDescent="0.2">
      <c r="A15" s="3" t="s">
        <v>102</v>
      </c>
      <c r="B15" s="5">
        <f>B7*B$11</f>
        <v>21971362.31315336</v>
      </c>
    </row>
    <row r="16" spans="1:10" x14ac:dyDescent="0.2">
      <c r="B16" s="5"/>
    </row>
    <row r="17" spans="1:8" x14ac:dyDescent="0.2"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s="3" t="s">
        <v>117</v>
      </c>
    </row>
    <row r="18" spans="1:8" x14ac:dyDescent="0.2">
      <c r="A18" t="s">
        <v>118</v>
      </c>
      <c r="B18" s="8">
        <f>(D4+E4)/(10^6)</f>
        <v>5.59</v>
      </c>
      <c r="C18" s="8">
        <f t="shared" ref="C18:F20" si="0">F4/(10^6)</f>
        <v>1.01</v>
      </c>
      <c r="D18" s="8">
        <f t="shared" si="0"/>
        <v>0.67500000000000004</v>
      </c>
      <c r="E18" s="8">
        <f t="shared" si="0"/>
        <v>0.27400000000000002</v>
      </c>
      <c r="F18" s="8">
        <f t="shared" si="0"/>
        <v>11.8</v>
      </c>
      <c r="G18" s="8">
        <f>SUM(B18:F18)</f>
        <v>19.349</v>
      </c>
    </row>
    <row r="19" spans="1:8" x14ac:dyDescent="0.2">
      <c r="A19" t="s">
        <v>119</v>
      </c>
      <c r="B19" s="8">
        <f>(D5+E5)/(10^6)</f>
        <v>5.79</v>
      </c>
      <c r="C19" s="8">
        <f t="shared" si="0"/>
        <v>1.03</v>
      </c>
      <c r="D19" s="8">
        <f t="shared" si="0"/>
        <v>3.72</v>
      </c>
      <c r="E19" s="8">
        <f t="shared" si="0"/>
        <v>0.27400000000000002</v>
      </c>
      <c r="F19" s="8">
        <f t="shared" si="0"/>
        <v>11.9</v>
      </c>
      <c r="G19" s="8">
        <f>SUM(B19:F19)</f>
        <v>22.713999999999999</v>
      </c>
    </row>
    <row r="20" spans="1:8" x14ac:dyDescent="0.2">
      <c r="A20" t="s">
        <v>120</v>
      </c>
      <c r="B20" s="8">
        <f>(D6+E6)/(10^6)</f>
        <v>5.83</v>
      </c>
      <c r="C20" s="8">
        <f t="shared" si="0"/>
        <v>1.1499999999999999</v>
      </c>
      <c r="D20" s="8">
        <f t="shared" si="0"/>
        <v>0.64900000000000002</v>
      </c>
      <c r="E20" s="8">
        <f t="shared" si="0"/>
        <v>0.71399999999999997</v>
      </c>
      <c r="F20" s="8">
        <f t="shared" si="0"/>
        <v>13.4</v>
      </c>
      <c r="G20" s="8">
        <f>SUM(B20:F20)</f>
        <v>21.743000000000002</v>
      </c>
    </row>
    <row r="22" spans="1:8" x14ac:dyDescent="0.2">
      <c r="E22">
        <f>24119.3*3.6*365</f>
        <v>31692760.199999999</v>
      </c>
    </row>
    <row r="27" spans="1:8" x14ac:dyDescent="0.2">
      <c r="B27" s="3" t="s">
        <v>121</v>
      </c>
      <c r="C27" s="3" t="s">
        <v>122</v>
      </c>
      <c r="D27" s="3" t="s">
        <v>123</v>
      </c>
      <c r="F27" s="3" t="s">
        <v>124</v>
      </c>
      <c r="G27" s="3" t="s">
        <v>125</v>
      </c>
      <c r="H27" s="3" t="s">
        <v>126</v>
      </c>
    </row>
    <row r="28" spans="1:8" x14ac:dyDescent="0.2">
      <c r="B28" s="3" t="s">
        <v>37</v>
      </c>
      <c r="C28" s="3" t="s">
        <v>37</v>
      </c>
      <c r="D28" s="3" t="s">
        <v>127</v>
      </c>
      <c r="E28" s="3" t="s">
        <v>128</v>
      </c>
    </row>
    <row r="29" spans="1:8" x14ac:dyDescent="0.2">
      <c r="A29" t="s">
        <v>118</v>
      </c>
      <c r="B29" s="7">
        <f>H4-(D29+E29)*D$38/1000</f>
        <v>146701.57142857142</v>
      </c>
      <c r="C29" s="7">
        <f>B29*3.6/0.1</f>
        <v>5281256.5714285709</v>
      </c>
      <c r="D29" s="7">
        <f>666000*3*1.06</f>
        <v>2117880</v>
      </c>
      <c r="E29" s="7">
        <f>1260000*4*1.06</f>
        <v>5342400</v>
      </c>
      <c r="F29" s="30">
        <f>SUM(C29:E29)</f>
        <v>12741536.571428571</v>
      </c>
      <c r="G29" s="44">
        <f>F29/3.6</f>
        <v>3539315.7142857141</v>
      </c>
      <c r="H29" s="44">
        <f>G29/(30*3750*365)</f>
        <v>8.6193381169819519E-2</v>
      </c>
    </row>
    <row r="30" spans="1:8" x14ac:dyDescent="0.2">
      <c r="A30" t="s">
        <v>119</v>
      </c>
      <c r="B30" s="7">
        <f>H5-(D30+E30)*D$38/1000</f>
        <v>146701.57142857142</v>
      </c>
      <c r="C30" s="7">
        <f>B30*3.6/0.1</f>
        <v>5281256.5714285709</v>
      </c>
      <c r="D30" s="7">
        <f>666000*3*1.06</f>
        <v>2117880</v>
      </c>
      <c r="E30" s="7">
        <f t="shared" ref="E30:E32" si="1">1260000*4*1.06</f>
        <v>5342400</v>
      </c>
      <c r="F30" s="30">
        <f>SUM(C30:E30)</f>
        <v>12741536.571428571</v>
      </c>
    </row>
    <row r="31" spans="1:8" x14ac:dyDescent="0.2">
      <c r="A31" t="s">
        <v>120</v>
      </c>
      <c r="B31" s="7">
        <f>H6-(D31+E31)*D$38/1000</f>
        <v>586701.57142857148</v>
      </c>
      <c r="C31" s="7">
        <f>B31*3.6/0.1</f>
        <v>21121256.571428575</v>
      </c>
      <c r="D31" s="7">
        <f>666000*3*1.06</f>
        <v>2117880</v>
      </c>
      <c r="E31" s="7">
        <f t="shared" si="1"/>
        <v>5342400</v>
      </c>
      <c r="F31" s="30">
        <f>SUM(C31:E31)</f>
        <v>28581536.571428575</v>
      </c>
    </row>
    <row r="32" spans="1:8" x14ac:dyDescent="0.2">
      <c r="A32" s="3" t="s">
        <v>129</v>
      </c>
      <c r="B32" s="7">
        <f>H7-(D32+E32)*D$38/1000</f>
        <v>586701.57142857148</v>
      </c>
      <c r="C32" s="7">
        <f>B32*3.6/0.1</f>
        <v>21121256.571428575</v>
      </c>
      <c r="D32" s="7">
        <f>666000*3*1.06</f>
        <v>2117880</v>
      </c>
      <c r="E32" s="7">
        <f t="shared" si="1"/>
        <v>5342400</v>
      </c>
      <c r="F32" s="30">
        <f>SUM(C32:E32)</f>
        <v>28581536.571428575</v>
      </c>
    </row>
    <row r="34" spans="1:15" x14ac:dyDescent="0.2">
      <c r="N34" s="8"/>
    </row>
    <row r="35" spans="1:15" x14ac:dyDescent="0.2">
      <c r="N35" s="8"/>
    </row>
    <row r="36" spans="1:15" x14ac:dyDescent="0.2">
      <c r="C36" s="3" t="s">
        <v>130</v>
      </c>
      <c r="D36" s="45">
        <f>[1]AS!B1148*0.1</f>
        <v>10400</v>
      </c>
      <c r="E36" s="3" t="s">
        <v>68</v>
      </c>
      <c r="N36" s="8"/>
    </row>
    <row r="37" spans="1:15" x14ac:dyDescent="0.2">
      <c r="C37" s="3" t="s">
        <v>131</v>
      </c>
      <c r="D37">
        <f>([1]AS!B1178-D36)</f>
        <v>21500</v>
      </c>
      <c r="H37" s="46"/>
      <c r="N37" s="8"/>
    </row>
    <row r="38" spans="1:15" x14ac:dyDescent="0.2">
      <c r="C38" s="3" t="s">
        <v>132</v>
      </c>
      <c r="D38" s="47">
        <f>([1]AS!B1178-D36)/[1]AS!B1144*1000</f>
        <v>17.063492063492063</v>
      </c>
      <c r="E38" s="1" t="s">
        <v>133</v>
      </c>
      <c r="H38" s="46"/>
      <c r="N38" s="8"/>
    </row>
    <row r="39" spans="1:15" x14ac:dyDescent="0.2">
      <c r="H39" s="46"/>
      <c r="N39" s="8"/>
    </row>
    <row r="42" spans="1:15" x14ac:dyDescent="0.2">
      <c r="N42" s="8"/>
    </row>
    <row r="43" spans="1:15" x14ac:dyDescent="0.2">
      <c r="B43" t="s">
        <v>68</v>
      </c>
      <c r="C43" t="s">
        <v>68</v>
      </c>
      <c r="D43" t="s">
        <v>34</v>
      </c>
      <c r="E43" t="s">
        <v>34</v>
      </c>
      <c r="F43" t="s">
        <v>34</v>
      </c>
      <c r="G43" t="s">
        <v>34</v>
      </c>
      <c r="H43" t="s">
        <v>34</v>
      </c>
      <c r="I43" t="s">
        <v>34</v>
      </c>
      <c r="N43" s="8"/>
    </row>
    <row r="44" spans="1:15" x14ac:dyDescent="0.2">
      <c r="A44" s="9" t="s">
        <v>69</v>
      </c>
      <c r="B44" t="s">
        <v>70</v>
      </c>
      <c r="C44" t="s">
        <v>71</v>
      </c>
      <c r="D44" t="s">
        <v>72</v>
      </c>
      <c r="E44" t="s">
        <v>73</v>
      </c>
      <c r="F44" t="s">
        <v>74</v>
      </c>
      <c r="G44" t="s">
        <v>75</v>
      </c>
      <c r="H44" t="s">
        <v>76</v>
      </c>
      <c r="I44" t="s">
        <v>77</v>
      </c>
      <c r="N44" s="8"/>
    </row>
    <row r="45" spans="1:15" ht="15" thickBot="1" x14ac:dyDescent="0.25">
      <c r="A45" s="3" t="s">
        <v>78</v>
      </c>
      <c r="B45" s="48">
        <v>231000000</v>
      </c>
      <c r="C45" s="48" t="s">
        <v>80</v>
      </c>
      <c r="D45" s="48" t="s">
        <v>81</v>
      </c>
      <c r="E45" s="48" t="s">
        <v>82</v>
      </c>
      <c r="F45" s="48" t="s">
        <v>83</v>
      </c>
      <c r="G45" s="48" t="s">
        <v>84</v>
      </c>
      <c r="H45" s="48" t="s">
        <v>85</v>
      </c>
      <c r="I45" s="48" t="s">
        <v>134</v>
      </c>
      <c r="N45" s="8"/>
    </row>
    <row r="46" spans="1:15" ht="15" thickBot="1" x14ac:dyDescent="0.25">
      <c r="A46" s="3" t="s">
        <v>86</v>
      </c>
      <c r="B46" s="48">
        <v>271000000</v>
      </c>
      <c r="C46" s="48" t="s">
        <v>88</v>
      </c>
      <c r="D46" s="48" t="s">
        <v>89</v>
      </c>
      <c r="E46" s="48" t="s">
        <v>82</v>
      </c>
      <c r="F46" s="48" t="s">
        <v>90</v>
      </c>
      <c r="G46" s="48" t="s">
        <v>91</v>
      </c>
      <c r="H46" s="48" t="s">
        <v>85</v>
      </c>
      <c r="I46" s="49">
        <v>11900000</v>
      </c>
      <c r="M46" t="s">
        <v>355</v>
      </c>
      <c r="N46" s="132" t="s">
        <v>356</v>
      </c>
    </row>
    <row r="47" spans="1:15" x14ac:dyDescent="0.2">
      <c r="A47" s="3" t="s">
        <v>93</v>
      </c>
      <c r="B47" s="48">
        <v>260000000</v>
      </c>
      <c r="C47" s="48" t="s">
        <v>95</v>
      </c>
      <c r="D47" s="48" t="s">
        <v>96</v>
      </c>
      <c r="E47" s="48" t="s">
        <v>97</v>
      </c>
      <c r="F47" s="48" t="s">
        <v>98</v>
      </c>
      <c r="G47" s="48" t="s">
        <v>99</v>
      </c>
      <c r="H47" s="48" t="s">
        <v>100</v>
      </c>
      <c r="I47" s="48" t="s">
        <v>101</v>
      </c>
      <c r="L47" s="3" t="s">
        <v>147</v>
      </c>
      <c r="M47" s="75">
        <v>19071338</v>
      </c>
      <c r="N47">
        <v>17828400.461424813</v>
      </c>
    </row>
    <row r="48" spans="1:15" x14ac:dyDescent="0.2">
      <c r="A48" s="3" t="s">
        <v>102</v>
      </c>
      <c r="B48" s="48">
        <v>262000000</v>
      </c>
      <c r="C48" s="48" t="s">
        <v>104</v>
      </c>
      <c r="D48" s="48" t="s">
        <v>135</v>
      </c>
      <c r="E48" s="48" t="s">
        <v>105</v>
      </c>
      <c r="F48" s="48" t="s">
        <v>106</v>
      </c>
      <c r="G48" s="48" t="s">
        <v>107</v>
      </c>
      <c r="H48" s="48" t="s">
        <v>100</v>
      </c>
      <c r="I48" s="48" t="s">
        <v>108</v>
      </c>
      <c r="L48" t="s">
        <v>119</v>
      </c>
      <c r="M48" s="75">
        <v>20159684.954806499</v>
      </c>
      <c r="N48">
        <v>18948677.580233</v>
      </c>
      <c r="O48" s="8"/>
    </row>
    <row r="49" spans="1:19" x14ac:dyDescent="0.2">
      <c r="C49" s="50"/>
      <c r="I49" s="50"/>
      <c r="L49" s="3" t="s">
        <v>148</v>
      </c>
      <c r="M49" s="75">
        <v>20842504.125500798</v>
      </c>
      <c r="N49" s="8">
        <v>19476915.345369607</v>
      </c>
    </row>
    <row r="50" spans="1:19" x14ac:dyDescent="0.2">
      <c r="I50" s="50"/>
      <c r="L50" s="3" t="s">
        <v>149</v>
      </c>
      <c r="M50" s="75">
        <v>24096776.305681001</v>
      </c>
      <c r="N50" s="8">
        <v>23215425.919128492</v>
      </c>
    </row>
    <row r="51" spans="1:19" x14ac:dyDescent="0.2">
      <c r="L51" s="3" t="s">
        <v>150</v>
      </c>
      <c r="M51" s="75">
        <v>22055417.8895059</v>
      </c>
      <c r="N51" s="8">
        <v>20624403.225085676</v>
      </c>
    </row>
    <row r="52" spans="1:19" x14ac:dyDescent="0.2">
      <c r="N52" s="8"/>
    </row>
    <row r="53" spans="1:19" x14ac:dyDescent="0.2">
      <c r="N53" s="8"/>
      <c r="O53" s="8"/>
    </row>
    <row r="54" spans="1:19" x14ac:dyDescent="0.2">
      <c r="N54" t="s">
        <v>392</v>
      </c>
      <c r="O54" t="s">
        <v>390</v>
      </c>
      <c r="P54" t="s">
        <v>391</v>
      </c>
    </row>
    <row r="55" spans="1:19" x14ac:dyDescent="0.2">
      <c r="O55" s="13">
        <v>7927673.0393279996</v>
      </c>
      <c r="P55" s="68">
        <v>746183.80259337404</v>
      </c>
    </row>
    <row r="56" spans="1:19" x14ac:dyDescent="0.2">
      <c r="O56" s="13"/>
    </row>
    <row r="57" spans="1:19" s="51" customFormat="1" x14ac:dyDescent="0.2"/>
    <row r="58" spans="1:19" x14ac:dyDescent="0.2">
      <c r="E58">
        <f>0.0052*100000*0.3</f>
        <v>156</v>
      </c>
    </row>
    <row r="59" spans="1:19" x14ac:dyDescent="0.2">
      <c r="B59" t="s">
        <v>112</v>
      </c>
      <c r="C59" t="s">
        <v>113</v>
      </c>
      <c r="D59" t="s">
        <v>115</v>
      </c>
      <c r="E59" t="s">
        <v>114</v>
      </c>
      <c r="F59" s="3" t="s">
        <v>136</v>
      </c>
      <c r="G59" s="3" t="s">
        <v>137</v>
      </c>
      <c r="H59" s="3" t="s">
        <v>138</v>
      </c>
      <c r="I59" s="3" t="s">
        <v>179</v>
      </c>
      <c r="J59" s="52" t="s">
        <v>139</v>
      </c>
      <c r="K59" s="3" t="s">
        <v>140</v>
      </c>
      <c r="L59" s="3" t="s">
        <v>141</v>
      </c>
      <c r="M59" s="3" t="s">
        <v>142</v>
      </c>
      <c r="N59" s="3" t="s">
        <v>143</v>
      </c>
      <c r="O59" s="3" t="s">
        <v>144</v>
      </c>
      <c r="P59" s="3" t="s">
        <v>145</v>
      </c>
      <c r="Q59" s="3" t="s">
        <v>146</v>
      </c>
    </row>
    <row r="60" spans="1:19" x14ac:dyDescent="0.2">
      <c r="A60" s="3" t="s">
        <v>147</v>
      </c>
      <c r="B60" s="53">
        <f>B78/1000000</f>
        <v>5.59</v>
      </c>
      <c r="C60" s="53">
        <f t="shared" ref="C60:G60" si="2">C78/1000000</f>
        <v>1.01</v>
      </c>
      <c r="D60" s="53">
        <f t="shared" si="2"/>
        <v>0.85772542270857899</v>
      </c>
      <c r="E60" s="53">
        <f t="shared" si="2"/>
        <v>0.15294291784302327</v>
      </c>
      <c r="F60" s="53">
        <f t="shared" si="2"/>
        <v>4.0191553927153206E-2</v>
      </c>
      <c r="G60" s="53">
        <f t="shared" si="2"/>
        <v>10.126233747937299</v>
      </c>
      <c r="H60" s="53">
        <f>0</f>
        <v>0</v>
      </c>
      <c r="I60" s="74">
        <f>M47/1000000</f>
        <v>19.071338000000001</v>
      </c>
      <c r="J60">
        <v>0</v>
      </c>
      <c r="K60" s="3" t="s">
        <v>147</v>
      </c>
      <c r="L60" s="7">
        <v>599913.57999999996</v>
      </c>
      <c r="M60" s="113">
        <f>582397.8012075/1.11</f>
        <v>524682.70379054057</v>
      </c>
      <c r="N60" s="7">
        <v>207542.87780325499</v>
      </c>
      <c r="O60" s="3" t="s">
        <v>20</v>
      </c>
      <c r="P60" s="3" t="s">
        <v>20</v>
      </c>
      <c r="Q60" s="2">
        <f>I60/N60*10^6</f>
        <v>91.89107427757223</v>
      </c>
      <c r="S60" s="65">
        <f>M60/P55</f>
        <v>0.70315477495892731</v>
      </c>
    </row>
    <row r="61" spans="1:19" x14ac:dyDescent="0.2">
      <c r="A61" t="s">
        <v>119</v>
      </c>
      <c r="B61" s="53">
        <f t="shared" ref="B61:G64" si="3">B79/1000000</f>
        <v>5.79</v>
      </c>
      <c r="C61" s="53">
        <f t="shared" si="3"/>
        <v>1.03</v>
      </c>
      <c r="D61" s="53">
        <f t="shared" si="3"/>
        <v>0.86002398833470894</v>
      </c>
      <c r="E61" s="53">
        <f t="shared" si="3"/>
        <v>0.49307272667501401</v>
      </c>
      <c r="F61" s="53">
        <f t="shared" si="3"/>
        <v>9.25187139544833E-2</v>
      </c>
      <c r="G61" s="53">
        <f t="shared" si="3"/>
        <v>10.276252025684601</v>
      </c>
      <c r="H61" s="53">
        <v>0</v>
      </c>
      <c r="I61" s="74">
        <f t="shared" ref="I61:I64" si="4">M48/1000000</f>
        <v>20.159684954806501</v>
      </c>
      <c r="J61">
        <v>0</v>
      </c>
      <c r="K61" t="s">
        <v>119</v>
      </c>
      <c r="L61" s="7">
        <v>400114.33833013801</v>
      </c>
      <c r="M61" s="7">
        <v>10986.7229511566</v>
      </c>
      <c r="N61" s="7">
        <v>1007391.3015485</v>
      </c>
      <c r="O61" s="139">
        <f>(I61-I$60)/(L$60-L61)*10^6</f>
        <v>5.4472026305526677</v>
      </c>
      <c r="P61" s="139">
        <f>(I61-I$60)/(M$60-M61)*10^6</f>
        <v>2.1186596652520646</v>
      </c>
      <c r="Q61" s="2">
        <f>I61/N61*10^6</f>
        <v>20.011771914069808</v>
      </c>
      <c r="R61" s="65">
        <f>(L$60-L61)/O$55</f>
        <v>2.5202760088450647E-2</v>
      </c>
      <c r="S61" s="65">
        <f>(M$60-M61)/P$55</f>
        <v>0.68843089203226493</v>
      </c>
    </row>
    <row r="62" spans="1:19" x14ac:dyDescent="0.2">
      <c r="A62" s="3" t="s">
        <v>148</v>
      </c>
      <c r="B62" s="53">
        <f t="shared" si="3"/>
        <v>5.83</v>
      </c>
      <c r="C62" s="53">
        <f t="shared" si="3"/>
        <v>1.1499999999999999</v>
      </c>
      <c r="D62" s="53">
        <f t="shared" si="3"/>
        <v>0.69424503323617992</v>
      </c>
      <c r="E62" s="53">
        <f t="shared" si="3"/>
        <v>0.15287147824315558</v>
      </c>
      <c r="F62" s="53">
        <f t="shared" si="3"/>
        <v>8.1665111053382103E-2</v>
      </c>
      <c r="G62" s="53">
        <f t="shared" si="3"/>
        <v>11.551407386535899</v>
      </c>
      <c r="H62" s="53">
        <v>0</v>
      </c>
      <c r="I62" s="74">
        <f t="shared" si="4"/>
        <v>20.842504125500799</v>
      </c>
      <c r="J62">
        <v>0</v>
      </c>
      <c r="K62" s="3" t="s">
        <v>148</v>
      </c>
      <c r="L62" s="7">
        <v>21539.2156328479</v>
      </c>
      <c r="M62" s="7">
        <v>91479.990519802901</v>
      </c>
      <c r="N62" s="7">
        <v>929508.65612484398</v>
      </c>
      <c r="O62" s="139">
        <f>(I62-I$60)/(L$60-L62)*10^6</f>
        <v>3.0623178249588912</v>
      </c>
      <c r="P62" s="139">
        <f t="shared" ref="P62" si="5">(I62-I$60)/(M$60-M62)*10^6</f>
        <v>4.0885388554662097</v>
      </c>
      <c r="Q62" s="2">
        <f>I62/N62*10^6</f>
        <v>22.423141504022105</v>
      </c>
      <c r="R62" s="65">
        <f t="shared" ref="R62:S64" si="6">(L$60-L62)/O$55</f>
        <v>7.295638474214608E-2</v>
      </c>
      <c r="S62" s="65">
        <f>(M$60-M62)/P$55</f>
        <v>0.58055764781429797</v>
      </c>
    </row>
    <row r="63" spans="1:19" x14ac:dyDescent="0.2">
      <c r="A63" s="3" t="s">
        <v>149</v>
      </c>
      <c r="B63" s="53">
        <f t="shared" si="3"/>
        <v>5.83</v>
      </c>
      <c r="C63" s="53">
        <f t="shared" si="3"/>
        <v>1.1499999999999999</v>
      </c>
      <c r="D63" s="53">
        <f t="shared" si="3"/>
        <v>0.76734894700071499</v>
      </c>
      <c r="E63" s="53">
        <f t="shared" si="3"/>
        <v>2.1251793180673828</v>
      </c>
      <c r="F63" s="53">
        <f t="shared" si="3"/>
        <v>8.6171109855395098E-2</v>
      </c>
      <c r="G63" s="53">
        <f t="shared" si="3"/>
        <v>11.551407386535899</v>
      </c>
      <c r="H63" s="53">
        <v>0</v>
      </c>
      <c r="I63" s="74">
        <f t="shared" si="4"/>
        <v>24.096776305681001</v>
      </c>
      <c r="J63">
        <v>0</v>
      </c>
      <c r="K63" s="3" t="s">
        <v>149</v>
      </c>
      <c r="L63" s="7">
        <v>12917.7698497534</v>
      </c>
      <c r="M63" s="7">
        <v>50658.412774133401</v>
      </c>
      <c r="N63" s="7">
        <v>968555.89159688295</v>
      </c>
      <c r="O63" s="139">
        <f>(I63-I$60)/(L$60-L63)*10^6</f>
        <v>8.5612847975775086</v>
      </c>
      <c r="P63" s="139">
        <f>(I63-I$60)/(M$60-M63)*10^6</f>
        <v>10.601647217077018</v>
      </c>
      <c r="Q63" s="2">
        <f>I63/N63*10^6</f>
        <v>24.879076690093772</v>
      </c>
      <c r="R63" s="65">
        <f t="shared" si="6"/>
        <v>7.4043897526833949E-2</v>
      </c>
      <c r="S63" s="65">
        <f t="shared" si="6"/>
        <v>0.63526478244224549</v>
      </c>
    </row>
    <row r="64" spans="1:19" x14ac:dyDescent="0.2">
      <c r="A64" s="3" t="s">
        <v>150</v>
      </c>
      <c r="B64" s="53">
        <f t="shared" si="3"/>
        <v>5.88</v>
      </c>
      <c r="C64" s="53">
        <f t="shared" si="3"/>
        <v>1.21</v>
      </c>
      <c r="D64" s="53">
        <f t="shared" si="3"/>
        <v>0.64898424618591999</v>
      </c>
      <c r="E64" s="53">
        <f t="shared" si="3"/>
        <v>0.84605376072233995</v>
      </c>
      <c r="F64" s="53">
        <f t="shared" si="3"/>
        <v>5.3503067017588196E-2</v>
      </c>
      <c r="G64" s="53">
        <f t="shared" si="3"/>
        <v>11.6264165254095</v>
      </c>
      <c r="H64" s="8">
        <v>-0.57325700000000002</v>
      </c>
      <c r="I64" s="74">
        <f t="shared" si="4"/>
        <v>22.0554178895059</v>
      </c>
      <c r="J64">
        <v>0.57325700000000002</v>
      </c>
      <c r="K64" s="3" t="s">
        <v>150</v>
      </c>
      <c r="L64" s="7">
        <v>17852.6127449544</v>
      </c>
      <c r="M64" s="7">
        <v>16121.949245993001</v>
      </c>
      <c r="N64" s="7">
        <v>1002115.44941509</v>
      </c>
      <c r="O64" s="139">
        <f>(I64-I$60)/(L$60-L64)*10^6</f>
        <v>5.1267479823953659</v>
      </c>
      <c r="P64" s="139">
        <f>(I64-I$60)/(M$60-M64)*10^6</f>
        <v>5.8676959691440524</v>
      </c>
      <c r="Q64" s="2">
        <f>(I64-J64)/N64*10^6</f>
        <v>21.436812397258723</v>
      </c>
      <c r="R64" s="65">
        <f t="shared" si="6"/>
        <v>7.3421414375634333E-2</v>
      </c>
      <c r="S64" s="65">
        <f t="shared" si="6"/>
        <v>0.68154890628426446</v>
      </c>
    </row>
    <row r="65" spans="1:14" x14ac:dyDescent="0.2">
      <c r="I65" s="40"/>
    </row>
    <row r="66" spans="1:14" x14ac:dyDescent="0.2">
      <c r="A66" s="54" t="s">
        <v>151</v>
      </c>
      <c r="B66" s="55" t="s">
        <v>152</v>
      </c>
      <c r="C66" s="55" t="s">
        <v>115</v>
      </c>
      <c r="D66" s="55" t="s">
        <v>114</v>
      </c>
      <c r="E66" s="55" t="s">
        <v>153</v>
      </c>
      <c r="F66" s="55" t="s">
        <v>154</v>
      </c>
      <c r="J66" s="3" t="s">
        <v>147</v>
      </c>
      <c r="K66" t="s">
        <v>119</v>
      </c>
      <c r="L66" t="s">
        <v>120</v>
      </c>
      <c r="M66" s="3" t="s">
        <v>150</v>
      </c>
    </row>
    <row r="67" spans="1:14" x14ac:dyDescent="0.2">
      <c r="A67" s="3" t="s">
        <v>147</v>
      </c>
      <c r="B67" s="56">
        <f>B60+C60+G60</f>
        <v>16.7262337479373</v>
      </c>
      <c r="C67" s="27">
        <f>D60</f>
        <v>0.85772542270857899</v>
      </c>
      <c r="D67" s="27">
        <f>E60</f>
        <v>0.15294291784302327</v>
      </c>
      <c r="E67" s="27">
        <f>F60</f>
        <v>4.0191553927153206E-2</v>
      </c>
      <c r="F67" s="57" t="s">
        <v>20</v>
      </c>
      <c r="I67" t="s">
        <v>112</v>
      </c>
      <c r="J67" s="31">
        <v>5250000</v>
      </c>
      <c r="K67" s="31">
        <v>5470000</v>
      </c>
      <c r="L67" s="31">
        <v>5540000</v>
      </c>
      <c r="M67" s="31">
        <v>5640000</v>
      </c>
      <c r="N67" s="58" t="s">
        <v>155</v>
      </c>
    </row>
    <row r="68" spans="1:14" x14ac:dyDescent="0.2">
      <c r="A68" t="s">
        <v>119</v>
      </c>
      <c r="B68" s="56">
        <f t="shared" ref="B68:B71" si="7">B61+C61+G61</f>
        <v>17.096252025684599</v>
      </c>
      <c r="C68" s="27">
        <f t="shared" ref="C68:E71" si="8">D61</f>
        <v>0.86002398833470894</v>
      </c>
      <c r="D68" s="27">
        <f t="shared" si="8"/>
        <v>0.49307272667501401</v>
      </c>
      <c r="E68" s="27">
        <f t="shared" si="8"/>
        <v>9.25187139544833E-2</v>
      </c>
      <c r="F68" s="57" t="s">
        <v>20</v>
      </c>
      <c r="I68" t="s">
        <v>113</v>
      </c>
      <c r="J68" s="31">
        <v>1010000</v>
      </c>
      <c r="K68" s="31">
        <v>1030000</v>
      </c>
      <c r="L68" s="31">
        <v>1150000</v>
      </c>
      <c r="M68" s="31">
        <v>1210000</v>
      </c>
      <c r="N68" s="58" t="s">
        <v>156</v>
      </c>
    </row>
    <row r="69" spans="1:14" x14ac:dyDescent="0.2">
      <c r="A69" s="3" t="s">
        <v>148</v>
      </c>
      <c r="B69" s="56">
        <f t="shared" si="7"/>
        <v>18.5314073865359</v>
      </c>
      <c r="C69" s="27">
        <f t="shared" si="8"/>
        <v>0.69424503323617992</v>
      </c>
      <c r="D69" s="27">
        <f t="shared" si="8"/>
        <v>0.15287147824315558</v>
      </c>
      <c r="E69" s="27">
        <f t="shared" si="8"/>
        <v>8.1665111053382103E-2</v>
      </c>
      <c r="F69" s="57" t="s">
        <v>20</v>
      </c>
      <c r="I69" t="s">
        <v>115</v>
      </c>
      <c r="J69" s="31">
        <v>554776.11712336203</v>
      </c>
      <c r="K69" s="31">
        <v>561933.78267866105</v>
      </c>
      <c r="L69" s="31">
        <v>700689.34927123005</v>
      </c>
      <c r="M69" s="31">
        <v>781757.052593117</v>
      </c>
    </row>
    <row r="70" spans="1:14" x14ac:dyDescent="0.2">
      <c r="A70" s="3" t="s">
        <v>149</v>
      </c>
      <c r="B70" s="56">
        <f t="shared" si="7"/>
        <v>18.5314073865359</v>
      </c>
      <c r="C70" s="27">
        <f t="shared" si="8"/>
        <v>0.76734894700071499</v>
      </c>
      <c r="D70" s="27">
        <f t="shared" si="8"/>
        <v>2.1251793180673828</v>
      </c>
      <c r="E70" s="27">
        <f t="shared" si="8"/>
        <v>8.6171109855395098E-2</v>
      </c>
      <c r="F70" s="57" t="s">
        <v>20</v>
      </c>
      <c r="I70" t="s">
        <v>114</v>
      </c>
      <c r="J70" s="31">
        <v>143268.369645645</v>
      </c>
      <c r="K70" s="31">
        <v>705882.62586502696</v>
      </c>
      <c r="L70" s="31">
        <v>3628162.6875721598</v>
      </c>
      <c r="M70" s="31">
        <v>2687722.08641221</v>
      </c>
    </row>
    <row r="71" spans="1:14" x14ac:dyDescent="0.2">
      <c r="A71" s="59" t="s">
        <v>150</v>
      </c>
      <c r="B71" s="60">
        <f t="shared" si="7"/>
        <v>18.7164165254095</v>
      </c>
      <c r="C71" s="61">
        <f t="shared" si="8"/>
        <v>0.64898424618591999</v>
      </c>
      <c r="D71" s="61">
        <f t="shared" si="8"/>
        <v>0.84605376072233995</v>
      </c>
      <c r="E71" s="61">
        <f t="shared" si="8"/>
        <v>5.3503067017588196E-2</v>
      </c>
      <c r="F71" s="62">
        <f>H64</f>
        <v>-0.57325700000000002</v>
      </c>
      <c r="I71" s="3" t="s">
        <v>157</v>
      </c>
      <c r="J71" s="31">
        <v>31610.404485605399</v>
      </c>
      <c r="K71" s="31">
        <v>70405.425876955793</v>
      </c>
      <c r="L71" s="31">
        <v>76947.451688396104</v>
      </c>
      <c r="M71" s="31">
        <v>48406.888232829297</v>
      </c>
    </row>
    <row r="72" spans="1:14" x14ac:dyDescent="0.2">
      <c r="C72" s="63"/>
      <c r="D72" s="4"/>
      <c r="E72" s="4"/>
      <c r="F72" s="4"/>
      <c r="I72" t="s">
        <v>116</v>
      </c>
      <c r="J72" s="31">
        <v>10126233.747937299</v>
      </c>
      <c r="K72" s="31">
        <v>10276252.025684601</v>
      </c>
      <c r="L72" s="31">
        <v>11551407.3865359</v>
      </c>
      <c r="M72" s="31">
        <v>11626416.525409499</v>
      </c>
    </row>
    <row r="73" spans="1:14" x14ac:dyDescent="0.2">
      <c r="B73" s="3"/>
      <c r="C73" s="63"/>
      <c r="D73" s="4"/>
      <c r="E73" s="4"/>
      <c r="F73" s="4"/>
    </row>
    <row r="74" spans="1:14" x14ac:dyDescent="0.2">
      <c r="B74" s="31"/>
      <c r="C74" s="63"/>
      <c r="D74" s="4"/>
      <c r="E74" s="4"/>
      <c r="F74" s="4"/>
    </row>
    <row r="75" spans="1:14" x14ac:dyDescent="0.2">
      <c r="B75" s="31"/>
      <c r="C75" s="31"/>
    </row>
    <row r="76" spans="1:14" x14ac:dyDescent="0.2">
      <c r="B76" s="31"/>
      <c r="C76" s="31"/>
    </row>
    <row r="77" spans="1:14" x14ac:dyDescent="0.2">
      <c r="B77" s="14" t="s">
        <v>112</v>
      </c>
      <c r="C77" s="14" t="s">
        <v>113</v>
      </c>
      <c r="D77" s="14" t="s">
        <v>115</v>
      </c>
      <c r="E77" s="14" t="s">
        <v>114</v>
      </c>
      <c r="F77" s="64" t="s">
        <v>158</v>
      </c>
      <c r="G77" s="64" t="s">
        <v>137</v>
      </c>
      <c r="H77" s="3"/>
    </row>
    <row r="78" spans="1:14" x14ac:dyDescent="0.2">
      <c r="A78" s="3" t="s">
        <v>147</v>
      </c>
      <c r="B78" s="4">
        <f>B98</f>
        <v>5590000</v>
      </c>
      <c r="C78" s="4">
        <f t="shared" ref="C78:G78" si="9">C98</f>
        <v>1010000</v>
      </c>
      <c r="D78" s="4">
        <f t="shared" si="9"/>
        <v>857725.42270857899</v>
      </c>
      <c r="E78" s="4">
        <f t="shared" si="9"/>
        <v>152942.91784302329</v>
      </c>
      <c r="F78" s="4">
        <f t="shared" si="9"/>
        <v>40191.553927153203</v>
      </c>
      <c r="G78" s="4">
        <f t="shared" si="9"/>
        <v>10126233.747937299</v>
      </c>
    </row>
    <row r="79" spans="1:14" x14ac:dyDescent="0.2">
      <c r="A79" t="s">
        <v>119</v>
      </c>
      <c r="B79" s="4">
        <f t="shared" ref="B79:G82" si="10">B99</f>
        <v>5790000</v>
      </c>
      <c r="C79" s="4">
        <f t="shared" si="10"/>
        <v>1030000</v>
      </c>
      <c r="D79" s="4">
        <f t="shared" si="10"/>
        <v>860023.98833470896</v>
      </c>
      <c r="E79" s="4">
        <f t="shared" si="10"/>
        <v>493072.72667501401</v>
      </c>
      <c r="F79" s="4">
        <f t="shared" si="10"/>
        <v>92518.713954483304</v>
      </c>
      <c r="G79" s="4">
        <f t="shared" si="10"/>
        <v>10276252.025684601</v>
      </c>
    </row>
    <row r="80" spans="1:14" x14ac:dyDescent="0.2">
      <c r="A80" s="3" t="s">
        <v>148</v>
      </c>
      <c r="B80" s="4">
        <f t="shared" si="10"/>
        <v>5830000</v>
      </c>
      <c r="C80" s="4">
        <f t="shared" si="10"/>
        <v>1150000</v>
      </c>
      <c r="D80" s="4">
        <f t="shared" si="10"/>
        <v>694245.03323617997</v>
      </c>
      <c r="E80" s="4">
        <f t="shared" si="10"/>
        <v>152871.47824315558</v>
      </c>
      <c r="F80" s="4">
        <f t="shared" si="10"/>
        <v>81665.111053382105</v>
      </c>
      <c r="G80" s="4">
        <f t="shared" si="10"/>
        <v>11551407.3865359</v>
      </c>
    </row>
    <row r="81" spans="1:7" x14ac:dyDescent="0.2">
      <c r="A81" s="3" t="s">
        <v>149</v>
      </c>
      <c r="B81" s="4">
        <f t="shared" si="10"/>
        <v>5830000</v>
      </c>
      <c r="C81" s="4">
        <f t="shared" si="10"/>
        <v>1150000</v>
      </c>
      <c r="D81" s="4">
        <f t="shared" si="10"/>
        <v>767348.94700071495</v>
      </c>
      <c r="E81" s="4">
        <f t="shared" si="10"/>
        <v>2125179.318067383</v>
      </c>
      <c r="F81" s="4">
        <f t="shared" si="10"/>
        <v>86171.109855395101</v>
      </c>
      <c r="G81" s="4">
        <f t="shared" si="10"/>
        <v>11551407.3865359</v>
      </c>
    </row>
    <row r="82" spans="1:7" x14ac:dyDescent="0.2">
      <c r="A82" s="3" t="s">
        <v>150</v>
      </c>
      <c r="B82" s="4">
        <f t="shared" si="10"/>
        <v>5880000</v>
      </c>
      <c r="C82" s="4">
        <f t="shared" si="10"/>
        <v>1210000</v>
      </c>
      <c r="D82" s="4">
        <f t="shared" si="10"/>
        <v>648984.24618591997</v>
      </c>
      <c r="E82" s="4">
        <f t="shared" si="10"/>
        <v>846053.76072233997</v>
      </c>
      <c r="F82" s="4">
        <f t="shared" si="10"/>
        <v>53503.067017588197</v>
      </c>
      <c r="G82" s="4">
        <f t="shared" si="10"/>
        <v>11626416.525409499</v>
      </c>
    </row>
    <row r="87" spans="1:7" x14ac:dyDescent="0.2">
      <c r="A87" s="1" t="s">
        <v>159</v>
      </c>
      <c r="B87" t="s">
        <v>112</v>
      </c>
      <c r="C87" t="s">
        <v>113</v>
      </c>
      <c r="D87" t="s">
        <v>115</v>
      </c>
      <c r="E87" t="s">
        <v>114</v>
      </c>
      <c r="F87" t="s">
        <v>158</v>
      </c>
      <c r="G87" t="s">
        <v>137</v>
      </c>
    </row>
    <row r="88" spans="1:7" x14ac:dyDescent="0.2">
      <c r="A88" t="s">
        <v>147</v>
      </c>
      <c r="B88" s="31">
        <v>5590000</v>
      </c>
      <c r="C88">
        <v>1010000</v>
      </c>
      <c r="D88">
        <v>554776.11712336203</v>
      </c>
      <c r="E88">
        <v>143268.369645645</v>
      </c>
      <c r="F88">
        <v>31610.404485605399</v>
      </c>
      <c r="G88">
        <v>10126233.747937299</v>
      </c>
    </row>
    <row r="89" spans="1:7" x14ac:dyDescent="0.2">
      <c r="A89" t="s">
        <v>119</v>
      </c>
      <c r="B89">
        <v>5790000</v>
      </c>
      <c r="C89">
        <v>1030000</v>
      </c>
      <c r="D89">
        <v>561933.78267866105</v>
      </c>
      <c r="E89">
        <v>705882.62586502696</v>
      </c>
      <c r="F89">
        <v>70405.425876955793</v>
      </c>
      <c r="G89">
        <v>10276252.025684601</v>
      </c>
    </row>
    <row r="90" spans="1:7" x14ac:dyDescent="0.2">
      <c r="A90" t="s">
        <v>148</v>
      </c>
      <c r="B90">
        <v>5830000</v>
      </c>
      <c r="C90">
        <v>1150000</v>
      </c>
      <c r="D90" s="31">
        <v>700689.34927123005</v>
      </c>
      <c r="E90" s="31">
        <v>3628162.6875721598</v>
      </c>
      <c r="F90">
        <v>76947.451688396104</v>
      </c>
      <c r="G90">
        <v>11551407.3865359</v>
      </c>
    </row>
    <row r="91" spans="1:7" x14ac:dyDescent="0.2">
      <c r="A91" t="s">
        <v>149</v>
      </c>
      <c r="B91">
        <v>5830000</v>
      </c>
      <c r="C91">
        <v>1210000</v>
      </c>
      <c r="D91" s="31">
        <v>781757.052593117</v>
      </c>
      <c r="E91" s="31">
        <v>2687722.08641221</v>
      </c>
      <c r="F91">
        <v>48406.888232829297</v>
      </c>
      <c r="G91">
        <v>11626416.525409499</v>
      </c>
    </row>
    <row r="92" spans="1:7" x14ac:dyDescent="0.2">
      <c r="A92" t="s">
        <v>150</v>
      </c>
      <c r="D92" s="31"/>
      <c r="E92" s="31"/>
    </row>
    <row r="93" spans="1:7" x14ac:dyDescent="0.2">
      <c r="D93" s="31"/>
      <c r="E93" s="31"/>
    </row>
    <row r="94" spans="1:7" x14ac:dyDescent="0.2">
      <c r="D94" s="31"/>
      <c r="E94" s="31"/>
    </row>
    <row r="95" spans="1:7" x14ac:dyDescent="0.2">
      <c r="B95" s="31"/>
      <c r="D95" s="31"/>
      <c r="E95" s="31"/>
    </row>
    <row r="96" spans="1:7" x14ac:dyDescent="0.2">
      <c r="D96" s="31"/>
      <c r="E96" s="31"/>
    </row>
    <row r="97" spans="1:7" x14ac:dyDescent="0.2">
      <c r="B97" s="3" t="s">
        <v>160</v>
      </c>
      <c r="C97" s="3" t="s">
        <v>161</v>
      </c>
      <c r="D97" s="52" t="s">
        <v>162</v>
      </c>
      <c r="E97" s="3" t="s">
        <v>163</v>
      </c>
      <c r="F97" s="3" t="s">
        <v>164</v>
      </c>
      <c r="G97" s="3" t="s">
        <v>165</v>
      </c>
    </row>
    <row r="98" spans="1:7" x14ac:dyDescent="0.2">
      <c r="A98" s="3" t="s">
        <v>147</v>
      </c>
      <c r="B98" s="4">
        <v>5590000</v>
      </c>
      <c r="C98" s="4">
        <v>1010000</v>
      </c>
      <c r="D98" s="4">
        <v>857725.42270857899</v>
      </c>
      <c r="E98" s="4">
        <v>152942.91784302329</v>
      </c>
      <c r="F98" s="4">
        <v>40191.553927153203</v>
      </c>
      <c r="G98" s="4">
        <v>10126233.747937299</v>
      </c>
    </row>
    <row r="99" spans="1:7" x14ac:dyDescent="0.2">
      <c r="A99" t="s">
        <v>119</v>
      </c>
      <c r="B99" s="4">
        <v>5790000</v>
      </c>
      <c r="C99" s="4">
        <v>1030000</v>
      </c>
      <c r="D99" s="4">
        <v>860023.98833470896</v>
      </c>
      <c r="E99" s="4">
        <v>493072.72667501401</v>
      </c>
      <c r="F99" s="4">
        <v>92518.713954483304</v>
      </c>
      <c r="G99" s="4">
        <v>10276252.025684601</v>
      </c>
    </row>
    <row r="100" spans="1:7" x14ac:dyDescent="0.2">
      <c r="A100" s="3" t="s">
        <v>148</v>
      </c>
      <c r="B100" s="4">
        <v>5830000</v>
      </c>
      <c r="C100" s="4">
        <v>1150000</v>
      </c>
      <c r="D100" s="4">
        <v>694245.03323617997</v>
      </c>
      <c r="E100" s="4">
        <v>152871.47824315558</v>
      </c>
      <c r="F100" s="4">
        <v>81665.111053382105</v>
      </c>
      <c r="G100" s="4">
        <v>11551407.3865359</v>
      </c>
    </row>
    <row r="101" spans="1:7" x14ac:dyDescent="0.2">
      <c r="A101" s="3" t="s">
        <v>149</v>
      </c>
      <c r="B101" s="4">
        <v>5830000</v>
      </c>
      <c r="C101" s="4">
        <v>1150000</v>
      </c>
      <c r="D101" s="4">
        <v>767348.94700071495</v>
      </c>
      <c r="E101" s="4">
        <v>2125179.318067383</v>
      </c>
      <c r="F101" s="4">
        <v>86171.109855395101</v>
      </c>
      <c r="G101" s="4">
        <v>11551407.3865359</v>
      </c>
    </row>
    <row r="102" spans="1:7" x14ac:dyDescent="0.2">
      <c r="A102" s="3" t="s">
        <v>150</v>
      </c>
      <c r="B102" s="4">
        <v>5880000</v>
      </c>
      <c r="C102" s="4">
        <v>1210000</v>
      </c>
      <c r="D102" s="4">
        <v>648984.24618591997</v>
      </c>
      <c r="E102" s="4">
        <v>846053.76072233997</v>
      </c>
      <c r="F102" s="4">
        <v>53503.067017588197</v>
      </c>
      <c r="G102" s="4">
        <v>11626416.525409499</v>
      </c>
    </row>
    <row r="103" spans="1:7" x14ac:dyDescent="0.2">
      <c r="D103" s="2"/>
      <c r="E103" s="2"/>
      <c r="F103" s="2"/>
    </row>
    <row r="104" spans="1:7" x14ac:dyDescent="0.2">
      <c r="D104" s="2"/>
      <c r="E104" s="2"/>
      <c r="F104" s="2"/>
    </row>
  </sheetData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7F4E-3701-4FE0-BC6D-A7E987BE76C5}">
  <dimension ref="C2:M19"/>
  <sheetViews>
    <sheetView zoomScale="90" zoomScaleNormal="90" workbookViewId="0">
      <selection activeCell="E36" sqref="E36"/>
    </sheetView>
  </sheetViews>
  <sheetFormatPr defaultRowHeight="14.25" x14ac:dyDescent="0.2"/>
  <cols>
    <col min="4" max="4" width="45.5" bestFit="1" customWidth="1"/>
    <col min="5" max="5" width="20.625" bestFit="1" customWidth="1"/>
    <col min="6" max="6" width="16.625" bestFit="1" customWidth="1"/>
    <col min="7" max="7" width="15.375" bestFit="1" customWidth="1"/>
    <col min="8" max="8" width="35.5" bestFit="1" customWidth="1"/>
    <col min="9" max="9" width="27" bestFit="1" customWidth="1"/>
    <col min="10" max="10" width="15.875" customWidth="1"/>
    <col min="11" max="11" width="26.125" bestFit="1" customWidth="1"/>
    <col min="12" max="12" width="14.375" bestFit="1" customWidth="1"/>
    <col min="13" max="13" width="12.125" bestFit="1" customWidth="1"/>
  </cols>
  <sheetData>
    <row r="2" spans="3:13" x14ac:dyDescent="0.2">
      <c r="D2" s="71" t="s">
        <v>223</v>
      </c>
    </row>
    <row r="3" spans="3:13" x14ac:dyDescent="0.2">
      <c r="C3" t="s">
        <v>213</v>
      </c>
      <c r="D3" t="s">
        <v>204</v>
      </c>
      <c r="E3" t="s">
        <v>209</v>
      </c>
      <c r="F3" t="s">
        <v>6</v>
      </c>
      <c r="G3" t="s">
        <v>208</v>
      </c>
      <c r="H3" t="s">
        <v>206</v>
      </c>
      <c r="I3" s="16" t="s">
        <v>210</v>
      </c>
      <c r="J3" s="10" t="s">
        <v>211</v>
      </c>
    </row>
    <row r="4" spans="3:13" x14ac:dyDescent="0.2">
      <c r="C4" s="16" t="s">
        <v>0</v>
      </c>
      <c r="D4" s="16" t="s">
        <v>45</v>
      </c>
      <c r="E4" s="10">
        <v>383907000</v>
      </c>
      <c r="F4" s="10">
        <v>557650000</v>
      </c>
      <c r="G4" s="16">
        <v>104245800</v>
      </c>
      <c r="H4" s="10">
        <v>0</v>
      </c>
      <c r="I4" s="5">
        <v>0</v>
      </c>
      <c r="J4" s="85">
        <v>0</v>
      </c>
    </row>
    <row r="5" spans="3:13" x14ac:dyDescent="0.2">
      <c r="C5" s="83"/>
      <c r="D5" s="15" t="s">
        <v>46</v>
      </c>
      <c r="E5" s="75">
        <v>852491000</v>
      </c>
      <c r="F5" s="75">
        <v>1327815000</v>
      </c>
      <c r="G5" s="5">
        <v>285194400</v>
      </c>
      <c r="H5">
        <v>0</v>
      </c>
      <c r="I5" s="5">
        <v>0</v>
      </c>
      <c r="J5" s="85">
        <v>0</v>
      </c>
    </row>
    <row r="6" spans="3:13" x14ac:dyDescent="0.2">
      <c r="C6" s="83"/>
      <c r="D6" s="15" t="s">
        <v>47</v>
      </c>
      <c r="E6" s="75">
        <v>190644000</v>
      </c>
      <c r="F6" s="75">
        <v>203421000</v>
      </c>
      <c r="G6" s="5">
        <v>7666200</v>
      </c>
      <c r="H6">
        <v>0</v>
      </c>
      <c r="I6" s="5">
        <v>0</v>
      </c>
      <c r="J6" s="85">
        <v>0</v>
      </c>
    </row>
    <row r="7" spans="3:13" x14ac:dyDescent="0.2">
      <c r="C7" s="83" t="s">
        <v>207</v>
      </c>
      <c r="D7" s="15" t="s">
        <v>45</v>
      </c>
      <c r="E7" s="75">
        <v>388768000</v>
      </c>
      <c r="F7" s="75">
        <v>558030000</v>
      </c>
      <c r="G7" s="5">
        <v>101557200</v>
      </c>
      <c r="H7">
        <v>3265312</v>
      </c>
      <c r="I7" s="40">
        <f>(E7-E4)/H7</f>
        <v>1.4886785703785734</v>
      </c>
      <c r="J7" s="85">
        <f>(G4-G7)/H7</f>
        <v>0.82338226791191771</v>
      </c>
    </row>
    <row r="8" spans="3:13" x14ac:dyDescent="0.2">
      <c r="C8" s="84"/>
      <c r="D8" s="25" t="s">
        <v>46</v>
      </c>
      <c r="E8" s="75">
        <v>862274000</v>
      </c>
      <c r="F8" s="75">
        <v>1328732000</v>
      </c>
      <c r="G8" s="5">
        <v>279874800</v>
      </c>
      <c r="H8" s="13">
        <v>7774427</v>
      </c>
      <c r="I8" s="40">
        <f>(E8-E5)/H8</f>
        <v>1.2583564036294894</v>
      </c>
      <c r="J8" s="85">
        <f t="shared" ref="J8:J9" si="0">(G5-G8)/H8</f>
        <v>0.68424335324005225</v>
      </c>
    </row>
    <row r="9" spans="3:13" x14ac:dyDescent="0.2">
      <c r="C9" s="84"/>
      <c r="D9" s="25" t="s">
        <v>47</v>
      </c>
      <c r="E9" s="75">
        <v>193326000</v>
      </c>
      <c r="F9" s="75">
        <v>205209000</v>
      </c>
      <c r="G9" s="5">
        <v>7129800</v>
      </c>
      <c r="H9" s="13">
        <v>1631520</v>
      </c>
      <c r="I9" s="40">
        <f>(E9-E6)/H9</f>
        <v>1.6438658428949691</v>
      </c>
      <c r="J9" s="85">
        <f t="shared" si="0"/>
        <v>0.3287731685789938</v>
      </c>
    </row>
    <row r="10" spans="3:13" x14ac:dyDescent="0.2">
      <c r="C10" s="84"/>
      <c r="D10" s="25"/>
      <c r="E10" s="75"/>
      <c r="F10" s="75"/>
      <c r="G10" s="5"/>
      <c r="H10" s="13"/>
      <c r="I10" s="40"/>
      <c r="J10" s="8"/>
    </row>
    <row r="11" spans="3:13" s="45" customFormat="1" x14ac:dyDescent="0.2"/>
    <row r="13" spans="3:13" x14ac:dyDescent="0.2">
      <c r="D13" s="71" t="s">
        <v>224</v>
      </c>
    </row>
    <row r="14" spans="3:13" x14ac:dyDescent="0.2">
      <c r="C14" s="10" t="s">
        <v>212</v>
      </c>
      <c r="D14" s="10" t="s">
        <v>214</v>
      </c>
      <c r="E14" s="10" t="s">
        <v>215</v>
      </c>
      <c r="F14" s="10" t="s">
        <v>216</v>
      </c>
      <c r="G14" s="10" t="s">
        <v>217</v>
      </c>
      <c r="H14" s="10" t="s">
        <v>218</v>
      </c>
      <c r="I14" s="10" t="s">
        <v>44</v>
      </c>
      <c r="J14" s="10" t="s">
        <v>219</v>
      </c>
      <c r="K14" s="10" t="s">
        <v>221</v>
      </c>
      <c r="L14" s="10" t="s">
        <v>220</v>
      </c>
      <c r="M14" s="10" t="s">
        <v>222</v>
      </c>
    </row>
    <row r="15" spans="3:13" x14ac:dyDescent="0.2">
      <c r="C15" t="s">
        <v>147</v>
      </c>
      <c r="D15" s="75">
        <v>5590000</v>
      </c>
      <c r="E15" s="75">
        <v>1010000</v>
      </c>
      <c r="F15" s="75">
        <v>857725.42270857899</v>
      </c>
      <c r="G15" s="75">
        <v>152942.91784302329</v>
      </c>
      <c r="H15" s="75">
        <v>40191.553927153203</v>
      </c>
      <c r="I15" s="75">
        <v>10126233.747937299</v>
      </c>
      <c r="J15" s="75">
        <v>0</v>
      </c>
      <c r="K15" s="86">
        <v>0</v>
      </c>
      <c r="L15" s="75">
        <f>SUM(D15:I15)</f>
        <v>17777093.642416056</v>
      </c>
      <c r="M15" s="40"/>
    </row>
    <row r="16" spans="3:13" x14ac:dyDescent="0.2">
      <c r="C16" t="s">
        <v>119</v>
      </c>
      <c r="D16" s="75">
        <v>5790000</v>
      </c>
      <c r="E16" s="75">
        <v>1030000</v>
      </c>
      <c r="F16" s="75">
        <v>860023.98833470896</v>
      </c>
      <c r="G16" s="75">
        <v>493072.72667501401</v>
      </c>
      <c r="H16" s="75">
        <v>92518.713954483304</v>
      </c>
      <c r="I16" s="75">
        <v>10276252.025684601</v>
      </c>
      <c r="J16" s="75">
        <v>0</v>
      </c>
      <c r="K16" s="86">
        <v>0</v>
      </c>
      <c r="L16" s="75">
        <f>SUM(D16:I16)</f>
        <v>18541867.454648808</v>
      </c>
    </row>
    <row r="17" spans="3:13" x14ac:dyDescent="0.2">
      <c r="C17" t="s">
        <v>148</v>
      </c>
      <c r="D17" s="75">
        <v>5830000</v>
      </c>
      <c r="E17" s="75">
        <v>1150000</v>
      </c>
      <c r="F17" s="75">
        <v>694245.03323617997</v>
      </c>
      <c r="G17" s="75">
        <v>152871.47824315558</v>
      </c>
      <c r="H17" s="75">
        <v>81665.111053382105</v>
      </c>
      <c r="I17" s="75">
        <v>11551407.3865359</v>
      </c>
      <c r="J17" s="75">
        <v>0</v>
      </c>
      <c r="K17" s="86">
        <v>0</v>
      </c>
      <c r="L17" s="75">
        <f>SUM(D17:I17)</f>
        <v>19460189.009068616</v>
      </c>
    </row>
    <row r="18" spans="3:13" x14ac:dyDescent="0.2">
      <c r="C18" t="s">
        <v>149</v>
      </c>
      <c r="D18" s="75">
        <v>5830000</v>
      </c>
      <c r="E18" s="75">
        <v>1150000</v>
      </c>
      <c r="F18" s="75">
        <v>767348.94700071495</v>
      </c>
      <c r="G18" s="75">
        <v>2125179.318067383</v>
      </c>
      <c r="H18" s="75">
        <v>86171.109855395101</v>
      </c>
      <c r="I18" s="75">
        <v>11551407.3865359</v>
      </c>
      <c r="J18" s="75">
        <v>0</v>
      </c>
      <c r="K18" s="86">
        <v>0</v>
      </c>
      <c r="L18" s="75">
        <f>SUM(D18:I18)</f>
        <v>21510106.761459395</v>
      </c>
    </row>
    <row r="19" spans="3:13" x14ac:dyDescent="0.2">
      <c r="C19" t="s">
        <v>150</v>
      </c>
      <c r="D19" s="75">
        <v>5880000</v>
      </c>
      <c r="E19" s="75">
        <v>1210000</v>
      </c>
      <c r="F19" s="75">
        <v>648984.24618591997</v>
      </c>
      <c r="G19" s="75">
        <v>846053.76072233997</v>
      </c>
      <c r="H19" s="75">
        <v>53503.067017588197</v>
      </c>
      <c r="I19" s="75">
        <v>11626416.525409499</v>
      </c>
      <c r="J19" s="75">
        <v>573257</v>
      </c>
      <c r="K19" s="13">
        <f>J19/0.5</f>
        <v>1146514</v>
      </c>
      <c r="L19" s="75">
        <f>SUM(D19:I19)</f>
        <v>20264957.59933535</v>
      </c>
      <c r="M19" s="87">
        <f>(L19-L15)/K19</f>
        <v>2.1699377041355743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78BA-C447-49C6-A928-B3D6EDA22E29}">
  <sheetPr filterMode="1"/>
  <dimension ref="A1:R52"/>
  <sheetViews>
    <sheetView topLeftCell="A17" workbookViewId="0">
      <selection activeCell="K7" sqref="K7"/>
    </sheetView>
  </sheetViews>
  <sheetFormatPr defaultRowHeight="14.25" x14ac:dyDescent="0.2"/>
  <cols>
    <col min="1" max="1" width="11.875" style="14" bestFit="1" customWidth="1"/>
    <col min="2" max="2" width="8.125" style="14" bestFit="1" customWidth="1"/>
    <col min="3" max="4" width="22.375" style="14" bestFit="1" customWidth="1"/>
    <col min="5" max="5" width="22" style="14" customWidth="1"/>
    <col min="6" max="6" width="22.375" style="14" bestFit="1" customWidth="1"/>
    <col min="7" max="8" width="11.875" style="14" bestFit="1" customWidth="1"/>
    <col min="9" max="9" width="8.125" style="14" bestFit="1" customWidth="1"/>
    <col min="10" max="11" width="24.5" bestFit="1" customWidth="1"/>
    <col min="12" max="12" width="7.125" bestFit="1" customWidth="1"/>
  </cols>
  <sheetData>
    <row r="1" spans="1:18" x14ac:dyDescent="0.2">
      <c r="A1" s="16" t="s">
        <v>195</v>
      </c>
      <c r="B1" s="16" t="s">
        <v>194</v>
      </c>
      <c r="C1" s="16" t="s">
        <v>193</v>
      </c>
      <c r="D1" s="16" t="s">
        <v>192</v>
      </c>
      <c r="E1" s="16" t="s">
        <v>196</v>
      </c>
      <c r="F1" s="16" t="s">
        <v>201</v>
      </c>
      <c r="G1" s="16"/>
      <c r="H1" s="16" t="s">
        <v>195</v>
      </c>
      <c r="I1" s="16" t="s">
        <v>194</v>
      </c>
      <c r="J1" s="76" t="s">
        <v>238</v>
      </c>
      <c r="K1" s="76" t="s">
        <v>239</v>
      </c>
    </row>
    <row r="2" spans="1:18" x14ac:dyDescent="0.2">
      <c r="A2" s="14">
        <v>1</v>
      </c>
      <c r="B2" s="14" t="s">
        <v>187</v>
      </c>
      <c r="C2" s="69">
        <v>1.01341E-4</v>
      </c>
      <c r="D2" s="69">
        <v>0.99585299999999999</v>
      </c>
      <c r="E2" s="69">
        <v>6.8663099999999997E-5</v>
      </c>
      <c r="F2" s="69">
        <v>1.1905107666276E-3</v>
      </c>
      <c r="G2" s="69"/>
      <c r="H2" s="14">
        <v>1</v>
      </c>
      <c r="I2" s="14" t="s">
        <v>187</v>
      </c>
      <c r="J2" s="65">
        <v>0.33697700000000003</v>
      </c>
      <c r="K2" s="65">
        <v>1.0621999999999999E-2</v>
      </c>
      <c r="L2" s="65">
        <f>SUM(J2:J6)</f>
        <v>1.0000000999999998</v>
      </c>
      <c r="M2" s="65">
        <f>SUM(K2:K6)</f>
        <v>0.99999915000000006</v>
      </c>
      <c r="N2" t="s">
        <v>240</v>
      </c>
      <c r="O2" t="s">
        <v>188</v>
      </c>
      <c r="P2" t="s">
        <v>241</v>
      </c>
      <c r="Q2" t="s">
        <v>190</v>
      </c>
      <c r="R2" t="s">
        <v>242</v>
      </c>
    </row>
    <row r="3" spans="1:18" hidden="1" x14ac:dyDescent="0.2">
      <c r="A3" s="14">
        <v>1</v>
      </c>
      <c r="B3" s="14" t="s">
        <v>188</v>
      </c>
      <c r="C3" s="69">
        <v>4.33103E-4</v>
      </c>
      <c r="D3" s="69">
        <v>2.2574000000000001E-3</v>
      </c>
      <c r="E3" s="69">
        <v>9.7752400000000001E-4</v>
      </c>
      <c r="F3" s="69">
        <v>1.1921231356333E-3</v>
      </c>
      <c r="G3" s="69"/>
      <c r="H3" s="14">
        <v>1</v>
      </c>
      <c r="I3" s="14" t="s">
        <v>188</v>
      </c>
      <c r="J3" s="65">
        <v>7.79001E-2</v>
      </c>
      <c r="K3" s="65">
        <v>7.5241500000000003E-3</v>
      </c>
      <c r="L3" s="65"/>
    </row>
    <row r="4" spans="1:18" hidden="1" x14ac:dyDescent="0.2">
      <c r="A4" s="14">
        <v>1</v>
      </c>
      <c r="B4" s="14" t="s">
        <v>189</v>
      </c>
      <c r="C4" s="69">
        <v>3.97482E-4</v>
      </c>
      <c r="D4" s="69">
        <v>1.1412799999999999E-3</v>
      </c>
      <c r="E4" s="69">
        <v>9.1536100000000006E-5</v>
      </c>
      <c r="F4" s="69">
        <v>2.2230414231717002E-3</v>
      </c>
      <c r="G4" s="69"/>
      <c r="H4" s="14">
        <v>1</v>
      </c>
      <c r="I4" s="14" t="s">
        <v>189</v>
      </c>
      <c r="J4" s="65">
        <v>0.16796700000000001</v>
      </c>
      <c r="K4" s="65">
        <v>0.32933600000000002</v>
      </c>
      <c r="L4" s="65"/>
    </row>
    <row r="5" spans="1:18" hidden="1" x14ac:dyDescent="0.2">
      <c r="A5" s="14">
        <v>1</v>
      </c>
      <c r="B5" s="14" t="s">
        <v>190</v>
      </c>
      <c r="C5" s="69">
        <v>4.6094400000000002E-4</v>
      </c>
      <c r="D5" s="69">
        <v>5.2641899999999998E-4</v>
      </c>
      <c r="E5" s="69">
        <v>0.99669700000000006</v>
      </c>
      <c r="F5" s="69">
        <v>3.6300281061069201E-3</v>
      </c>
      <c r="G5" s="69"/>
      <c r="H5" s="14">
        <v>1</v>
      </c>
      <c r="I5" s="14" t="s">
        <v>190</v>
      </c>
      <c r="J5" s="65">
        <v>0.37451499999999999</v>
      </c>
      <c r="K5" s="65">
        <v>0.53238700000000005</v>
      </c>
      <c r="L5" s="65"/>
    </row>
    <row r="6" spans="1:18" hidden="1" x14ac:dyDescent="0.2">
      <c r="A6" s="14">
        <v>1</v>
      </c>
      <c r="B6" s="14" t="s">
        <v>191</v>
      </c>
      <c r="C6" s="69">
        <v>0.99860700000000002</v>
      </c>
      <c r="D6" s="69">
        <v>2.2209399999999999E-4</v>
      </c>
      <c r="E6" s="69">
        <v>2.16497E-3</v>
      </c>
      <c r="F6" s="69">
        <v>0.99176429656845999</v>
      </c>
      <c r="G6" s="69"/>
      <c r="H6" s="14">
        <v>1</v>
      </c>
      <c r="I6" s="14" t="s">
        <v>191</v>
      </c>
      <c r="J6" s="65">
        <v>4.2640999999999998E-2</v>
      </c>
      <c r="K6" s="65">
        <v>0.12013</v>
      </c>
      <c r="L6" s="65"/>
    </row>
    <row r="7" spans="1:18" x14ac:dyDescent="0.2">
      <c r="A7" s="14">
        <v>2</v>
      </c>
      <c r="B7" s="14" t="s">
        <v>187</v>
      </c>
      <c r="C7" s="69">
        <v>1.8277399999999999E-2</v>
      </c>
      <c r="D7" s="69">
        <v>0.99623099999999998</v>
      </c>
      <c r="E7" s="69">
        <v>7.5008999999999996E-3</v>
      </c>
      <c r="F7" s="69">
        <v>3.24828291795369E-4</v>
      </c>
      <c r="G7" s="69"/>
      <c r="H7" s="14">
        <v>2</v>
      </c>
      <c r="I7" s="14" t="s">
        <v>187</v>
      </c>
      <c r="J7" s="65">
        <v>0.46442899999999998</v>
      </c>
      <c r="K7" s="65">
        <v>0.53034099999999995</v>
      </c>
      <c r="L7" s="65"/>
    </row>
    <row r="8" spans="1:18" hidden="1" x14ac:dyDescent="0.2">
      <c r="A8" s="14">
        <v>2</v>
      </c>
      <c r="B8" s="14" t="s">
        <v>188</v>
      </c>
      <c r="C8" s="69">
        <v>6.2836799999999998E-3</v>
      </c>
      <c r="D8" s="69">
        <v>4.00108E-5</v>
      </c>
      <c r="E8" s="69">
        <v>6.39669E-3</v>
      </c>
      <c r="F8" s="69">
        <v>4.3247035929158602E-4</v>
      </c>
      <c r="G8" s="69"/>
      <c r="H8" s="14">
        <v>2</v>
      </c>
      <c r="I8" s="14" t="s">
        <v>188</v>
      </c>
      <c r="J8" s="65">
        <v>0.19556299999999999</v>
      </c>
      <c r="K8" s="65">
        <v>0.39906700000000001</v>
      </c>
      <c r="L8" s="65"/>
    </row>
    <row r="9" spans="1:18" hidden="1" x14ac:dyDescent="0.2">
      <c r="A9" s="14">
        <v>2</v>
      </c>
      <c r="B9" s="14" t="s">
        <v>189</v>
      </c>
      <c r="C9" s="69">
        <v>1.6950999999999999E-3</v>
      </c>
      <c r="D9" s="69">
        <v>3.5471400000000001E-4</v>
      </c>
      <c r="E9" s="69">
        <v>2.9960199999999999E-2</v>
      </c>
      <c r="F9" s="69">
        <v>3.3170782635357399E-3</v>
      </c>
      <c r="G9" s="69"/>
      <c r="H9" s="14">
        <v>2</v>
      </c>
      <c r="I9" s="14" t="s">
        <v>189</v>
      </c>
      <c r="J9" s="65">
        <v>0.23172599999999999</v>
      </c>
      <c r="K9" s="65">
        <v>2.50032E-2</v>
      </c>
      <c r="L9" s="65"/>
    </row>
    <row r="10" spans="1:18" hidden="1" x14ac:dyDescent="0.2">
      <c r="A10" s="14">
        <v>2</v>
      </c>
      <c r="B10" s="14" t="s">
        <v>190</v>
      </c>
      <c r="C10" s="69">
        <v>0.965696</v>
      </c>
      <c r="D10" s="69">
        <v>1.1178399999999999E-3</v>
      </c>
      <c r="E10" s="69">
        <v>0.91584200000000004</v>
      </c>
      <c r="F10" s="69">
        <v>0.94811227938901399</v>
      </c>
      <c r="G10" s="69"/>
      <c r="H10" s="14">
        <v>2</v>
      </c>
      <c r="I10" s="14" t="s">
        <v>190</v>
      </c>
      <c r="J10" s="65">
        <v>8.9027999999999996E-2</v>
      </c>
      <c r="K10" s="65">
        <v>2.95699E-2</v>
      </c>
      <c r="L10" s="65"/>
    </row>
    <row r="11" spans="1:18" hidden="1" x14ac:dyDescent="0.2">
      <c r="A11" s="14">
        <v>2</v>
      </c>
      <c r="B11" s="14" t="s">
        <v>191</v>
      </c>
      <c r="C11" s="69">
        <v>8.0482399999999999E-3</v>
      </c>
      <c r="D11" s="69">
        <v>2.2561E-3</v>
      </c>
      <c r="E11" s="69">
        <v>4.0300099999999998E-2</v>
      </c>
      <c r="F11" s="69">
        <v>4.7813343696362601E-2</v>
      </c>
      <c r="G11" s="69"/>
      <c r="H11" s="14">
        <v>2</v>
      </c>
      <c r="I11" s="14" t="s">
        <v>191</v>
      </c>
      <c r="J11" s="65">
        <v>1.9253900000000001E-2</v>
      </c>
      <c r="K11" s="65">
        <v>1.6019200000000001E-2</v>
      </c>
      <c r="L11" s="65"/>
    </row>
    <row r="12" spans="1:18" x14ac:dyDescent="0.2">
      <c r="A12" s="14">
        <v>3</v>
      </c>
      <c r="B12" s="14" t="s">
        <v>187</v>
      </c>
      <c r="C12" s="69">
        <v>5.0117800000000004E-3</v>
      </c>
      <c r="D12" s="69">
        <v>1.0355900000000001E-3</v>
      </c>
      <c r="E12" s="69">
        <v>2.5505999999999999E-4</v>
      </c>
      <c r="F12" s="69">
        <v>9.7988244862231102E-4</v>
      </c>
      <c r="G12" s="69"/>
      <c r="H12" s="14">
        <v>3</v>
      </c>
      <c r="I12" s="14" t="s">
        <v>187</v>
      </c>
      <c r="J12" s="65">
        <v>0.17685500000000001</v>
      </c>
      <c r="K12" s="65">
        <v>2.7347099999999999E-2</v>
      </c>
      <c r="L12" s="65"/>
    </row>
    <row r="13" spans="1:18" hidden="1" x14ac:dyDescent="0.2">
      <c r="A13" s="14">
        <v>3</v>
      </c>
      <c r="B13" s="14" t="s">
        <v>188</v>
      </c>
      <c r="C13" s="69">
        <v>2.9248000000000002E-4</v>
      </c>
      <c r="D13" s="69">
        <v>1.55685E-3</v>
      </c>
      <c r="E13" s="69">
        <v>1.0974299999999999E-3</v>
      </c>
      <c r="F13" s="69">
        <v>2.72244004606137E-3</v>
      </c>
      <c r="G13" s="69"/>
      <c r="H13" s="14">
        <v>3</v>
      </c>
      <c r="I13" s="14" t="s">
        <v>188</v>
      </c>
      <c r="J13" s="65">
        <v>0.53689299999999995</v>
      </c>
      <c r="K13" s="65">
        <v>7.6921100000000006E-2</v>
      </c>
      <c r="L13" s="65"/>
    </row>
    <row r="14" spans="1:18" hidden="1" x14ac:dyDescent="0.2">
      <c r="A14" s="14">
        <v>3</v>
      </c>
      <c r="B14" s="14" t="s">
        <v>189</v>
      </c>
      <c r="C14" s="69">
        <v>5.5777500000000002E-3</v>
      </c>
      <c r="D14" s="69">
        <v>5.7923899999999995E-4</v>
      </c>
      <c r="E14" s="69">
        <v>6.09437E-3</v>
      </c>
      <c r="F14" s="69">
        <v>1.75965428381207E-3</v>
      </c>
      <c r="G14" s="69"/>
      <c r="H14" s="14">
        <v>3</v>
      </c>
      <c r="I14" s="14" t="s">
        <v>189</v>
      </c>
      <c r="J14" s="65">
        <v>9.52649E-2</v>
      </c>
      <c r="K14" s="65">
        <v>7.0131600000000002E-2</v>
      </c>
      <c r="L14" s="65"/>
    </row>
    <row r="15" spans="1:18" hidden="1" x14ac:dyDescent="0.2">
      <c r="A15" s="14">
        <v>3</v>
      </c>
      <c r="B15" s="14" t="s">
        <v>190</v>
      </c>
      <c r="C15" s="69">
        <v>0.98892000000000002</v>
      </c>
      <c r="D15" s="69">
        <v>8.64952E-4</v>
      </c>
      <c r="E15" s="69">
        <v>0.99133300000000002</v>
      </c>
      <c r="F15" s="69">
        <v>0.984342999019299</v>
      </c>
      <c r="G15" s="69"/>
      <c r="H15" s="14">
        <v>3</v>
      </c>
      <c r="I15" s="14" t="s">
        <v>190</v>
      </c>
      <c r="J15" s="65">
        <v>5.8511100000000003E-2</v>
      </c>
      <c r="K15" s="65">
        <v>0.54249199999999997</v>
      </c>
      <c r="L15" s="65"/>
    </row>
    <row r="16" spans="1:18" hidden="1" x14ac:dyDescent="0.2">
      <c r="A16" s="14">
        <v>3</v>
      </c>
      <c r="B16" s="14" t="s">
        <v>191</v>
      </c>
      <c r="C16" s="69">
        <v>1.9753699999999999E-4</v>
      </c>
      <c r="D16" s="69">
        <v>0.99596300000000004</v>
      </c>
      <c r="E16" s="69">
        <v>1.2202700000000001E-3</v>
      </c>
      <c r="F16" s="69">
        <v>1.01950242022044E-2</v>
      </c>
      <c r="G16" s="69"/>
      <c r="H16" s="14">
        <v>3</v>
      </c>
      <c r="I16" s="14" t="s">
        <v>191</v>
      </c>
      <c r="J16" s="65">
        <v>0.13247500000000001</v>
      </c>
      <c r="K16" s="65">
        <v>0.28310800000000003</v>
      </c>
      <c r="L16" s="65"/>
    </row>
    <row r="17" spans="1:12" x14ac:dyDescent="0.2">
      <c r="A17" s="14">
        <v>4</v>
      </c>
      <c r="B17" s="14" t="s">
        <v>187</v>
      </c>
      <c r="C17" s="69">
        <v>0.990286</v>
      </c>
      <c r="D17" s="69">
        <v>5.4981799999999999E-4</v>
      </c>
      <c r="E17" s="69">
        <v>6.4211800000000001E-4</v>
      </c>
      <c r="F17" s="69">
        <v>1.68456882263877E-3</v>
      </c>
      <c r="G17" s="69"/>
      <c r="H17" s="14">
        <v>4</v>
      </c>
      <c r="I17" s="14" t="s">
        <v>187</v>
      </c>
      <c r="J17" s="65">
        <v>0.177707</v>
      </c>
      <c r="K17" s="65">
        <v>3.7712799999999998E-2</v>
      </c>
      <c r="L17" s="65"/>
    </row>
    <row r="18" spans="1:12" hidden="1" x14ac:dyDescent="0.2">
      <c r="A18" s="14">
        <v>4</v>
      </c>
      <c r="B18" s="14" t="s">
        <v>188</v>
      </c>
      <c r="C18" s="69">
        <v>2.4981299999999999E-4</v>
      </c>
      <c r="D18" s="69">
        <v>3.0783600000000003E-4</v>
      </c>
      <c r="E18" s="69">
        <v>2.8400399999999998E-3</v>
      </c>
      <c r="F18" s="69">
        <v>4.0995004758444698E-4</v>
      </c>
      <c r="G18" s="69"/>
      <c r="H18" s="14">
        <v>4</v>
      </c>
      <c r="I18" s="14" t="s">
        <v>188</v>
      </c>
      <c r="J18" s="65">
        <v>0.202012</v>
      </c>
      <c r="K18" s="65">
        <v>1.00141E-2</v>
      </c>
      <c r="L18" s="65"/>
    </row>
    <row r="19" spans="1:12" hidden="1" x14ac:dyDescent="0.2">
      <c r="A19" s="14">
        <v>4</v>
      </c>
      <c r="B19" s="14" t="s">
        <v>189</v>
      </c>
      <c r="C19" s="69">
        <v>8.9273100000000008E-3</v>
      </c>
      <c r="D19" s="69">
        <v>5.65856E-4</v>
      </c>
      <c r="E19" s="69">
        <v>4.0076199999999999E-3</v>
      </c>
      <c r="F19" s="69">
        <v>1.1843432837612199E-2</v>
      </c>
      <c r="G19" s="69"/>
      <c r="H19" s="14">
        <v>4</v>
      </c>
      <c r="I19" s="14" t="s">
        <v>189</v>
      </c>
      <c r="J19" s="65">
        <v>0.20950099999999999</v>
      </c>
      <c r="K19" s="65">
        <v>0.30560399999999999</v>
      </c>
      <c r="L19" s="65"/>
    </row>
    <row r="20" spans="1:12" hidden="1" x14ac:dyDescent="0.2">
      <c r="A20" s="14">
        <v>4</v>
      </c>
      <c r="B20" s="14" t="s">
        <v>190</v>
      </c>
      <c r="C20" s="69">
        <v>3.16941E-4</v>
      </c>
      <c r="D20" s="69">
        <v>9.5381999999999997E-4</v>
      </c>
      <c r="E20" s="69">
        <v>9.0289099999999996E-4</v>
      </c>
      <c r="F20" s="69">
        <v>0.97690279272027603</v>
      </c>
      <c r="G20" s="69"/>
      <c r="H20" s="14">
        <v>4</v>
      </c>
      <c r="I20" s="14" t="s">
        <v>190</v>
      </c>
      <c r="J20" s="65">
        <v>0.40443699999999999</v>
      </c>
      <c r="K20" s="65">
        <v>0.39471099999999998</v>
      </c>
      <c r="L20" s="65"/>
    </row>
    <row r="21" spans="1:12" hidden="1" x14ac:dyDescent="0.2">
      <c r="A21" s="14">
        <v>4</v>
      </c>
      <c r="B21" s="14" t="s">
        <v>191</v>
      </c>
      <c r="C21" s="69">
        <v>2.2042200000000001E-4</v>
      </c>
      <c r="D21" s="69">
        <v>0.99762300000000004</v>
      </c>
      <c r="E21" s="69">
        <v>0.99160700000000002</v>
      </c>
      <c r="F21" s="69">
        <v>9.1592555718878997E-3</v>
      </c>
      <c r="G21" s="69"/>
      <c r="H21" s="14">
        <v>4</v>
      </c>
      <c r="I21" s="14" t="s">
        <v>191</v>
      </c>
      <c r="J21" s="65">
        <v>6.3436100000000004E-3</v>
      </c>
      <c r="K21" s="65">
        <v>0.25195899999999999</v>
      </c>
      <c r="L21" s="65"/>
    </row>
    <row r="22" spans="1:12" x14ac:dyDescent="0.2">
      <c r="A22" s="14">
        <v>5</v>
      </c>
      <c r="B22" s="14" t="s">
        <v>187</v>
      </c>
      <c r="C22" s="69">
        <v>0.999363</v>
      </c>
      <c r="D22" s="69">
        <v>2.4057300000000001E-5</v>
      </c>
      <c r="E22" s="69">
        <v>5.5799500000000004E-4</v>
      </c>
      <c r="F22" s="69">
        <v>9.4950468281010305E-4</v>
      </c>
      <c r="G22" s="69"/>
      <c r="H22" s="14">
        <v>5</v>
      </c>
      <c r="I22" s="14" t="s">
        <v>187</v>
      </c>
      <c r="J22" s="65">
        <v>0.54778400000000005</v>
      </c>
      <c r="K22" s="65">
        <v>0.13181699999999999</v>
      </c>
      <c r="L22" s="65"/>
    </row>
    <row r="23" spans="1:12" hidden="1" x14ac:dyDescent="0.2">
      <c r="A23" s="14">
        <v>5</v>
      </c>
      <c r="B23" s="14" t="s">
        <v>188</v>
      </c>
      <c r="C23" s="69">
        <v>1.7373399999999999E-4</v>
      </c>
      <c r="D23" s="69">
        <v>2.3270400000000002E-6</v>
      </c>
      <c r="E23" s="69">
        <v>1.7843899999999999E-4</v>
      </c>
      <c r="F23" s="69">
        <v>1.8050540996830301E-4</v>
      </c>
      <c r="G23" s="69"/>
      <c r="H23" s="14">
        <v>5</v>
      </c>
      <c r="I23" s="14" t="s">
        <v>188</v>
      </c>
      <c r="J23" s="65">
        <v>6.5288600000000002E-2</v>
      </c>
      <c r="K23" s="65">
        <v>0.105044</v>
      </c>
      <c r="L23" s="65"/>
    </row>
    <row r="24" spans="1:12" hidden="1" x14ac:dyDescent="0.2">
      <c r="A24" s="14">
        <v>5</v>
      </c>
      <c r="B24" s="14" t="s">
        <v>189</v>
      </c>
      <c r="C24" s="69">
        <v>2.34436E-5</v>
      </c>
      <c r="D24" s="69">
        <v>1.9854599999999999E-4</v>
      </c>
      <c r="E24" s="69">
        <v>8.9829000000000005E-4</v>
      </c>
      <c r="F24" s="69">
        <v>6.0349130659390002E-3</v>
      </c>
      <c r="G24" s="69"/>
      <c r="H24" s="14">
        <v>5</v>
      </c>
      <c r="I24" s="14" t="s">
        <v>189</v>
      </c>
      <c r="J24" s="65">
        <v>0.27094600000000002</v>
      </c>
      <c r="K24" s="65">
        <v>0.50931099999999996</v>
      </c>
      <c r="L24" s="65"/>
    </row>
    <row r="25" spans="1:12" hidden="1" x14ac:dyDescent="0.2">
      <c r="A25" s="14">
        <v>5</v>
      </c>
      <c r="B25" s="14" t="s">
        <v>190</v>
      </c>
      <c r="C25" s="69">
        <v>1.09034E-4</v>
      </c>
      <c r="D25" s="69">
        <v>1.055E-4</v>
      </c>
      <c r="E25" s="69">
        <v>0.99801300000000004</v>
      </c>
      <c r="F25" s="69">
        <v>0.99189629770272103</v>
      </c>
      <c r="G25" s="69"/>
      <c r="H25" s="14">
        <v>5</v>
      </c>
      <c r="I25" s="14" t="s">
        <v>190</v>
      </c>
      <c r="J25" s="65">
        <v>1.4092500000000001E-2</v>
      </c>
      <c r="K25" s="65">
        <v>0.221469</v>
      </c>
      <c r="L25" s="65"/>
    </row>
    <row r="26" spans="1:12" hidden="1" x14ac:dyDescent="0.2">
      <c r="A26" s="14">
        <v>5</v>
      </c>
      <c r="B26" s="14" t="s">
        <v>191</v>
      </c>
      <c r="C26" s="69">
        <v>3.3122700000000002E-4</v>
      </c>
      <c r="D26" s="69">
        <v>0.99966999999999995</v>
      </c>
      <c r="E26" s="69">
        <v>3.5221299999999998E-4</v>
      </c>
      <c r="F26" s="69">
        <v>9.3877913856082898E-4</v>
      </c>
      <c r="G26" s="69"/>
      <c r="H26" s="14">
        <v>5</v>
      </c>
      <c r="I26" s="14" t="s">
        <v>191</v>
      </c>
      <c r="J26" s="65">
        <v>0.10188899999999999</v>
      </c>
      <c r="K26" s="65">
        <v>3.2359600000000002E-2</v>
      </c>
      <c r="L26" s="65"/>
    </row>
    <row r="27" spans="1:12" x14ac:dyDescent="0.2">
      <c r="A27" s="14">
        <v>6</v>
      </c>
      <c r="B27" s="14" t="s">
        <v>187</v>
      </c>
      <c r="C27" s="69">
        <v>3.4316800000000003E-5</v>
      </c>
      <c r="D27" s="69">
        <v>5.3343499999999996E-4</v>
      </c>
      <c r="E27" s="69">
        <v>1.55983E-4</v>
      </c>
      <c r="F27" s="69">
        <v>5.0943300903920396E-4</v>
      </c>
      <c r="G27" s="69"/>
      <c r="H27" s="14">
        <v>6</v>
      </c>
      <c r="I27" s="14" t="s">
        <v>187</v>
      </c>
      <c r="J27" s="65">
        <v>0.56683300000000003</v>
      </c>
      <c r="K27" s="65">
        <v>7.0037000000000002E-2</v>
      </c>
      <c r="L27" s="65"/>
    </row>
    <row r="28" spans="1:12" hidden="1" x14ac:dyDescent="0.2">
      <c r="A28" s="14">
        <v>6</v>
      </c>
      <c r="B28" s="14" t="s">
        <v>188</v>
      </c>
      <c r="C28" s="69">
        <v>0.99916400000000005</v>
      </c>
      <c r="D28" s="69">
        <v>2.22313E-4</v>
      </c>
      <c r="E28" s="69">
        <v>7.7180200000000003E-4</v>
      </c>
      <c r="F28" s="69">
        <v>1.14492126816699E-4</v>
      </c>
      <c r="G28" s="69"/>
      <c r="H28" s="14">
        <v>6</v>
      </c>
      <c r="I28" s="14" t="s">
        <v>188</v>
      </c>
      <c r="J28" s="65">
        <v>0.31421399999999999</v>
      </c>
      <c r="K28" s="65">
        <v>0.19565399999999999</v>
      </c>
      <c r="L28" s="65"/>
    </row>
    <row r="29" spans="1:12" hidden="1" x14ac:dyDescent="0.2">
      <c r="A29" s="14">
        <v>6</v>
      </c>
      <c r="B29" s="14" t="s">
        <v>189</v>
      </c>
      <c r="C29" s="69">
        <v>2.7001899999999998E-4</v>
      </c>
      <c r="D29" s="69">
        <v>2.7476399999999999E-4</v>
      </c>
      <c r="E29" s="69">
        <v>2.4114399999999999E-4</v>
      </c>
      <c r="F29" s="69">
        <v>6.1280295595769296E-4</v>
      </c>
      <c r="G29" s="69"/>
      <c r="H29" s="14">
        <v>6</v>
      </c>
      <c r="I29" s="14" t="s">
        <v>189</v>
      </c>
      <c r="J29" s="65">
        <v>1.95736E-2</v>
      </c>
      <c r="K29" s="65">
        <v>6.2717200000000001E-2</v>
      </c>
      <c r="L29" s="65"/>
    </row>
    <row r="30" spans="1:12" hidden="1" x14ac:dyDescent="0.2">
      <c r="A30" s="14">
        <v>6</v>
      </c>
      <c r="B30" s="14" t="s">
        <v>190</v>
      </c>
      <c r="C30" s="69">
        <v>3.9219E-4</v>
      </c>
      <c r="D30" s="69">
        <v>2.9558900000000002E-4</v>
      </c>
      <c r="E30" s="69">
        <v>0.99825900000000001</v>
      </c>
      <c r="F30" s="69">
        <v>0.99818126887111303</v>
      </c>
      <c r="G30" s="69"/>
      <c r="H30" s="14">
        <v>6</v>
      </c>
      <c r="I30" s="14" t="s">
        <v>190</v>
      </c>
      <c r="J30" s="65">
        <v>1.27262E-2</v>
      </c>
      <c r="K30" s="65">
        <v>0.32145200000000002</v>
      </c>
      <c r="L30" s="65"/>
    </row>
    <row r="31" spans="1:12" hidden="1" x14ac:dyDescent="0.2">
      <c r="A31" s="14">
        <v>6</v>
      </c>
      <c r="B31" s="14" t="s">
        <v>191</v>
      </c>
      <c r="C31" s="69">
        <v>1.3951499999999999E-4</v>
      </c>
      <c r="D31" s="69">
        <v>0.99867399999999995</v>
      </c>
      <c r="E31" s="69">
        <v>5.71778E-4</v>
      </c>
      <c r="F31" s="69">
        <v>5.8200303707239603E-4</v>
      </c>
      <c r="G31" s="69"/>
      <c r="H31" s="14">
        <v>6</v>
      </c>
      <c r="I31" s="14" t="s">
        <v>191</v>
      </c>
      <c r="J31" s="65">
        <v>8.6653900000000006E-2</v>
      </c>
      <c r="K31" s="65">
        <v>0.35013899999999998</v>
      </c>
      <c r="L31" s="65"/>
    </row>
    <row r="32" spans="1:12" x14ac:dyDescent="0.2">
      <c r="A32" s="14">
        <v>7</v>
      </c>
      <c r="B32" s="14" t="s">
        <v>187</v>
      </c>
      <c r="C32" s="69">
        <v>5.4856999999999996E-4</v>
      </c>
      <c r="D32" s="69">
        <v>2.4571100000000002E-4</v>
      </c>
      <c r="E32" s="69">
        <v>2.0037700000000002E-3</v>
      </c>
      <c r="F32" s="69">
        <v>4.16768881931817E-4</v>
      </c>
      <c r="G32" s="69"/>
      <c r="H32" s="14">
        <v>7</v>
      </c>
      <c r="I32" s="14" t="s">
        <v>187</v>
      </c>
      <c r="J32" s="65">
        <v>6.7493800000000001E-3</v>
      </c>
      <c r="K32" s="65">
        <v>7.65272E-3</v>
      </c>
      <c r="L32" s="65"/>
    </row>
    <row r="33" spans="1:12" hidden="1" x14ac:dyDescent="0.2">
      <c r="A33" s="14">
        <v>7</v>
      </c>
      <c r="B33" s="14" t="s">
        <v>188</v>
      </c>
      <c r="C33" s="69">
        <v>9.2121200000000003E-4</v>
      </c>
      <c r="D33" s="69">
        <v>0.99518600000000002</v>
      </c>
      <c r="E33" s="69">
        <v>1.06521E-3</v>
      </c>
      <c r="F33" s="69">
        <v>8.0213756429363197E-4</v>
      </c>
      <c r="G33" s="69"/>
      <c r="H33" s="14">
        <v>7</v>
      </c>
      <c r="I33" s="14" t="s">
        <v>188</v>
      </c>
      <c r="J33" s="65">
        <v>0.158169</v>
      </c>
      <c r="K33" s="65">
        <v>4.7727200000000003E-3</v>
      </c>
      <c r="L33" s="65"/>
    </row>
    <row r="34" spans="1:12" hidden="1" x14ac:dyDescent="0.2">
      <c r="A34" s="14">
        <v>7</v>
      </c>
      <c r="B34" s="14" t="s">
        <v>189</v>
      </c>
      <c r="C34" s="69">
        <v>0.99799199999999999</v>
      </c>
      <c r="D34" s="69">
        <v>1.82497E-3</v>
      </c>
      <c r="E34" s="69">
        <v>9.1907100000000004E-4</v>
      </c>
      <c r="F34" s="69">
        <v>2.3499796620086799E-3</v>
      </c>
      <c r="G34" s="69"/>
      <c r="H34" s="14">
        <v>7</v>
      </c>
      <c r="I34" s="14" t="s">
        <v>189</v>
      </c>
      <c r="J34" s="65">
        <v>0.30196000000000001</v>
      </c>
      <c r="K34" s="65">
        <v>0.195161</v>
      </c>
      <c r="L34" s="65"/>
    </row>
    <row r="35" spans="1:12" hidden="1" x14ac:dyDescent="0.2">
      <c r="A35" s="14">
        <v>7</v>
      </c>
      <c r="B35" s="14" t="s">
        <v>190</v>
      </c>
      <c r="C35" s="69">
        <v>4.1888E-4</v>
      </c>
      <c r="D35" s="69">
        <v>1.8780400000000001E-3</v>
      </c>
      <c r="E35" s="69">
        <v>1.80791E-3</v>
      </c>
      <c r="F35" s="69">
        <v>0.98337239090663597</v>
      </c>
      <c r="G35" s="69"/>
      <c r="H35" s="14">
        <v>7</v>
      </c>
      <c r="I35" s="14" t="s">
        <v>190</v>
      </c>
      <c r="J35" s="65">
        <v>0.449374</v>
      </c>
      <c r="K35" s="65">
        <v>0.54790700000000003</v>
      </c>
      <c r="L35" s="65"/>
    </row>
    <row r="36" spans="1:12" hidden="1" x14ac:dyDescent="0.2">
      <c r="A36" s="14">
        <v>7</v>
      </c>
      <c r="B36" s="14" t="s">
        <v>191</v>
      </c>
      <c r="C36" s="69">
        <v>1.1966799999999999E-4</v>
      </c>
      <c r="D36" s="69">
        <v>8.6486799999999997E-4</v>
      </c>
      <c r="E36" s="69">
        <v>0.99420399999999998</v>
      </c>
      <c r="F36" s="69">
        <v>1.3058722985128999E-2</v>
      </c>
      <c r="G36" s="69"/>
      <c r="H36" s="14">
        <v>7</v>
      </c>
      <c r="I36" s="14" t="s">
        <v>191</v>
      </c>
      <c r="J36" s="65">
        <v>8.3748199999999995E-2</v>
      </c>
      <c r="K36" s="65">
        <v>0.244506</v>
      </c>
      <c r="L36" s="65"/>
    </row>
    <row r="37" spans="1:12" x14ac:dyDescent="0.2">
      <c r="A37" s="14">
        <v>8</v>
      </c>
      <c r="B37" s="14" t="s">
        <v>187</v>
      </c>
      <c r="C37" s="69">
        <v>0.99119000000000002</v>
      </c>
      <c r="D37" s="69">
        <v>3.7248099999999997E-4</v>
      </c>
      <c r="E37" s="69">
        <v>5.1266599999999995E-4</v>
      </c>
      <c r="F37" s="69">
        <v>3.8831587749152901E-4</v>
      </c>
      <c r="G37" s="69"/>
      <c r="H37" s="14">
        <v>8</v>
      </c>
      <c r="I37" s="14" t="s">
        <v>187</v>
      </c>
      <c r="J37" s="65">
        <v>0.399283</v>
      </c>
      <c r="K37" s="65">
        <v>0.18115899999999999</v>
      </c>
      <c r="L37" s="65"/>
    </row>
    <row r="38" spans="1:12" hidden="1" x14ac:dyDescent="0.2">
      <c r="A38" s="14">
        <v>8</v>
      </c>
      <c r="B38" s="14" t="s">
        <v>188</v>
      </c>
      <c r="C38" s="69">
        <v>2.1837699999999998E-3</v>
      </c>
      <c r="D38" s="69">
        <v>0.99890199999999996</v>
      </c>
      <c r="E38" s="69">
        <v>5.8476200000000004E-3</v>
      </c>
      <c r="F38" s="69">
        <v>1.6962137792030599E-3</v>
      </c>
      <c r="G38" s="69"/>
      <c r="H38" s="14">
        <v>8</v>
      </c>
      <c r="I38" s="14" t="s">
        <v>188</v>
      </c>
      <c r="J38" s="65">
        <v>0.50514300000000001</v>
      </c>
      <c r="K38" s="65">
        <v>0.41316999999999998</v>
      </c>
      <c r="L38" s="65"/>
    </row>
    <row r="39" spans="1:12" hidden="1" x14ac:dyDescent="0.2">
      <c r="A39" s="14">
        <v>8</v>
      </c>
      <c r="B39" s="14" t="s">
        <v>189</v>
      </c>
      <c r="C39" s="69">
        <v>5.2787199999999998E-3</v>
      </c>
      <c r="D39" s="69">
        <v>2.4889999999999998E-4</v>
      </c>
      <c r="E39" s="69">
        <v>2.30247E-3</v>
      </c>
      <c r="F39" s="69">
        <v>1.1284790306255401E-2</v>
      </c>
      <c r="G39" s="69"/>
      <c r="H39" s="14">
        <v>8</v>
      </c>
      <c r="I39" s="14" t="s">
        <v>189</v>
      </c>
      <c r="J39" s="65">
        <v>8.2299399999999995E-2</v>
      </c>
      <c r="K39" s="65">
        <v>7.05176E-2</v>
      </c>
      <c r="L39" s="65"/>
    </row>
    <row r="40" spans="1:12" hidden="1" x14ac:dyDescent="0.2">
      <c r="A40" s="14">
        <v>8</v>
      </c>
      <c r="B40" s="14" t="s">
        <v>190</v>
      </c>
      <c r="C40" s="69">
        <v>1.0123700000000001E-3</v>
      </c>
      <c r="D40" s="69">
        <v>1.6898299999999999E-4</v>
      </c>
      <c r="E40" s="69">
        <v>0.98940499999999998</v>
      </c>
      <c r="F40" s="69">
        <v>0.98235038300116095</v>
      </c>
      <c r="G40" s="69"/>
      <c r="H40" s="14">
        <v>8</v>
      </c>
      <c r="I40" s="14" t="s">
        <v>190</v>
      </c>
      <c r="J40" s="65">
        <v>9.8738799999999998E-3</v>
      </c>
      <c r="K40" s="65">
        <v>0.21038299999999999</v>
      </c>
      <c r="L40" s="65"/>
    </row>
    <row r="41" spans="1:12" hidden="1" x14ac:dyDescent="0.2">
      <c r="A41" s="14">
        <v>8</v>
      </c>
      <c r="B41" s="14" t="s">
        <v>191</v>
      </c>
      <c r="C41" s="69">
        <v>3.3563499999999998E-4</v>
      </c>
      <c r="D41" s="69">
        <v>3.0764200000000001E-4</v>
      </c>
      <c r="E41" s="69">
        <v>1.93198E-3</v>
      </c>
      <c r="F41" s="69">
        <v>4.2802970358882799E-3</v>
      </c>
      <c r="G41" s="69"/>
      <c r="H41" s="14">
        <v>8</v>
      </c>
      <c r="I41" s="14" t="s">
        <v>191</v>
      </c>
      <c r="J41" s="65">
        <v>3.4003800000000002E-3</v>
      </c>
      <c r="K41" s="65">
        <v>0.12477000000000001</v>
      </c>
      <c r="L41" s="65"/>
    </row>
    <row r="42" spans="1:12" x14ac:dyDescent="0.2">
      <c r="A42" s="14">
        <v>9</v>
      </c>
      <c r="B42" s="14" t="s">
        <v>187</v>
      </c>
      <c r="C42" s="69">
        <v>3.1669699999999999E-3</v>
      </c>
      <c r="D42" s="69">
        <v>2.8972199999999998E-3</v>
      </c>
      <c r="E42" s="69">
        <v>1.0224199999999999E-2</v>
      </c>
      <c r="F42" s="69">
        <v>1.71407930492622E-3</v>
      </c>
      <c r="G42" s="69"/>
      <c r="H42" s="14">
        <v>9</v>
      </c>
      <c r="I42" s="14" t="s">
        <v>187</v>
      </c>
      <c r="J42" s="65">
        <v>0.66372699999999996</v>
      </c>
      <c r="K42" s="65">
        <v>0.64255300000000004</v>
      </c>
      <c r="L42" s="65"/>
    </row>
    <row r="43" spans="1:12" hidden="1" x14ac:dyDescent="0.2">
      <c r="A43" s="14">
        <v>9</v>
      </c>
      <c r="B43" s="14" t="s">
        <v>188</v>
      </c>
      <c r="C43" s="69">
        <v>1.8375099999999998E-2</v>
      </c>
      <c r="D43" s="69">
        <v>7.1400299999999995E-4</v>
      </c>
      <c r="E43" s="69">
        <v>1.47224E-2</v>
      </c>
      <c r="F43" s="69">
        <v>1.5798580402929701E-3</v>
      </c>
      <c r="G43" s="69"/>
      <c r="H43" s="14">
        <v>9</v>
      </c>
      <c r="I43" s="14" t="s">
        <v>188</v>
      </c>
      <c r="J43" s="65">
        <v>0.235314</v>
      </c>
      <c r="K43" s="65">
        <v>0.330121</v>
      </c>
      <c r="L43" s="65"/>
    </row>
    <row r="44" spans="1:12" hidden="1" x14ac:dyDescent="0.2">
      <c r="A44" s="14">
        <v>9</v>
      </c>
      <c r="B44" s="14" t="s">
        <v>189</v>
      </c>
      <c r="C44" s="69">
        <v>1.77485E-2</v>
      </c>
      <c r="D44" s="69">
        <v>0.99082400000000004</v>
      </c>
      <c r="E44" s="69">
        <v>2.4194400000000001E-2</v>
      </c>
      <c r="F44" s="69">
        <v>3.1705270827534701E-3</v>
      </c>
      <c r="G44" s="69"/>
      <c r="H44" s="14">
        <v>9</v>
      </c>
      <c r="I44" s="14" t="s">
        <v>189</v>
      </c>
      <c r="J44" s="65">
        <v>5.0826299999999998E-2</v>
      </c>
      <c r="K44" s="65">
        <v>3.7660800000000002E-3</v>
      </c>
      <c r="L44" s="65"/>
    </row>
    <row r="45" spans="1:12" hidden="1" x14ac:dyDescent="0.2">
      <c r="A45" s="14">
        <v>9</v>
      </c>
      <c r="B45" s="14" t="s">
        <v>190</v>
      </c>
      <c r="C45" s="69">
        <v>1.3518199999999999E-2</v>
      </c>
      <c r="D45" s="69">
        <v>6.4566899999999997E-4</v>
      </c>
      <c r="E45" s="69">
        <v>0.92437499999999995</v>
      </c>
      <c r="F45" s="69">
        <v>0.97068438960260695</v>
      </c>
      <c r="G45" s="69"/>
      <c r="H45" s="14">
        <v>9</v>
      </c>
      <c r="I45" s="14" t="s">
        <v>190</v>
      </c>
      <c r="J45" s="65">
        <v>1.8778E-2</v>
      </c>
      <c r="K45" s="65">
        <v>6.7720699999999998E-4</v>
      </c>
      <c r="L45" s="65"/>
    </row>
    <row r="46" spans="1:12" hidden="1" x14ac:dyDescent="0.2">
      <c r="A46" s="14">
        <v>9</v>
      </c>
      <c r="B46" s="14" t="s">
        <v>191</v>
      </c>
      <c r="C46" s="69">
        <v>0.94719100000000001</v>
      </c>
      <c r="D46" s="69">
        <v>4.9188799999999996E-3</v>
      </c>
      <c r="E46" s="69">
        <v>2.6484199999999999E-2</v>
      </c>
      <c r="F46" s="69">
        <v>2.28511459694201E-2</v>
      </c>
      <c r="G46" s="69"/>
      <c r="H46" s="14">
        <v>9</v>
      </c>
      <c r="I46" s="14" t="s">
        <v>191</v>
      </c>
      <c r="J46" s="65">
        <v>3.13552E-2</v>
      </c>
      <c r="K46" s="65">
        <v>2.2882099999999999E-2</v>
      </c>
      <c r="L46" s="65"/>
    </row>
    <row r="47" spans="1:12" x14ac:dyDescent="0.2">
      <c r="A47" s="14">
        <v>10</v>
      </c>
      <c r="B47" s="14" t="s">
        <v>187</v>
      </c>
      <c r="C47" s="69">
        <v>2.19148E-3</v>
      </c>
      <c r="D47" s="69">
        <v>7.2684900000000006E-5</v>
      </c>
      <c r="E47" s="69">
        <v>4.9510900000000001E-6</v>
      </c>
      <c r="F47" s="69">
        <v>1.0435220474822101E-3</v>
      </c>
      <c r="G47" s="69"/>
      <c r="H47" s="14">
        <v>10</v>
      </c>
      <c r="I47" s="14" t="s">
        <v>187</v>
      </c>
      <c r="J47" s="65">
        <v>0.108943</v>
      </c>
      <c r="K47" s="65">
        <v>8.3845299999999994E-3</v>
      </c>
      <c r="L47" s="65"/>
    </row>
    <row r="48" spans="1:12" hidden="1" x14ac:dyDescent="0.2">
      <c r="A48" s="14">
        <v>10</v>
      </c>
      <c r="B48" s="14" t="s">
        <v>188</v>
      </c>
      <c r="C48" s="69">
        <v>1.6275000000000001E-2</v>
      </c>
      <c r="D48" s="69">
        <v>3.9621200000000004E-3</v>
      </c>
      <c r="E48" s="69">
        <v>1.7089399999999999E-3</v>
      </c>
      <c r="F48" s="69">
        <v>9.7512691861045505E-4</v>
      </c>
      <c r="G48" s="69"/>
      <c r="H48" s="14">
        <v>10</v>
      </c>
      <c r="I48" s="14" t="s">
        <v>188</v>
      </c>
      <c r="J48" s="65">
        <v>6.3812400000000005E-2</v>
      </c>
      <c r="K48" s="65">
        <v>3.0111199999999999E-3</v>
      </c>
      <c r="L48" s="65"/>
    </row>
    <row r="49" spans="1:12" hidden="1" x14ac:dyDescent="0.2">
      <c r="A49" s="14">
        <v>10</v>
      </c>
      <c r="B49" s="14" t="s">
        <v>189</v>
      </c>
      <c r="C49" s="69">
        <v>9.6122900000000008E-3</v>
      </c>
      <c r="D49" s="69">
        <v>1.8542400000000001E-3</v>
      </c>
      <c r="E49" s="69">
        <v>1.29232E-3</v>
      </c>
      <c r="F49" s="69">
        <v>3.6029217532385699E-3</v>
      </c>
      <c r="G49" s="69"/>
      <c r="H49" s="14">
        <v>10</v>
      </c>
      <c r="I49" s="14" t="s">
        <v>189</v>
      </c>
      <c r="J49" s="65">
        <v>0.434419</v>
      </c>
      <c r="K49" s="65">
        <v>0.37173099999999998</v>
      </c>
      <c r="L49" s="65"/>
    </row>
    <row r="50" spans="1:12" hidden="1" x14ac:dyDescent="0.2">
      <c r="A50" s="14">
        <v>10</v>
      </c>
      <c r="B50" s="14" t="s">
        <v>190</v>
      </c>
      <c r="C50" s="69">
        <v>0.968503</v>
      </c>
      <c r="D50" s="69">
        <v>1.44115E-3</v>
      </c>
      <c r="E50" s="69">
        <v>0.993394</v>
      </c>
      <c r="F50" s="69">
        <v>0.99357178976474902</v>
      </c>
      <c r="G50" s="69"/>
      <c r="H50" s="14">
        <v>10</v>
      </c>
      <c r="I50" s="14" t="s">
        <v>190</v>
      </c>
      <c r="J50" s="65">
        <v>6.4428099999999994E-5</v>
      </c>
      <c r="K50" s="65">
        <v>0.20044699999999999</v>
      </c>
      <c r="L50" s="65"/>
    </row>
    <row r="51" spans="1:12" hidden="1" x14ac:dyDescent="0.2">
      <c r="A51" s="14">
        <v>10</v>
      </c>
      <c r="B51" s="14" t="s">
        <v>191</v>
      </c>
      <c r="C51" s="69">
        <v>3.4184900000000002E-3</v>
      </c>
      <c r="D51" s="69">
        <v>0.99267000000000005</v>
      </c>
      <c r="E51" s="69">
        <v>3.5995200000000002E-3</v>
      </c>
      <c r="F51" s="69">
        <v>8.0663951591932598E-4</v>
      </c>
      <c r="G51" s="69"/>
      <c r="H51" s="14">
        <v>10</v>
      </c>
      <c r="I51" s="14" t="s">
        <v>191</v>
      </c>
      <c r="J51" s="65">
        <v>0.392762</v>
      </c>
      <c r="K51" s="65">
        <v>0.41642699999999999</v>
      </c>
      <c r="L51" s="65"/>
    </row>
    <row r="52" spans="1:12" x14ac:dyDescent="0.2">
      <c r="L52" s="65"/>
    </row>
  </sheetData>
  <autoFilter ref="A1:K51" xr:uid="{1E5C9316-0A61-427B-86E1-09A6B5BCDA21}">
    <filterColumn colId="8">
      <filters>
        <filter val="BMP37"/>
      </filters>
    </filterColumn>
  </autoFilter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6F6E-E5DB-4E89-8FDF-F4093067F0B8}">
  <dimension ref="A2:Q35"/>
  <sheetViews>
    <sheetView topLeftCell="A28" workbookViewId="0">
      <selection activeCell="I26" sqref="I26"/>
    </sheetView>
  </sheetViews>
  <sheetFormatPr defaultRowHeight="14.25" x14ac:dyDescent="0.2"/>
  <cols>
    <col min="1" max="1" width="17.5" customWidth="1"/>
    <col min="2" max="2" width="18.625" bestFit="1" customWidth="1"/>
    <col min="3" max="3" width="19" bestFit="1" customWidth="1"/>
    <col min="4" max="4" width="16.125" bestFit="1" customWidth="1"/>
    <col min="5" max="5" width="10" customWidth="1"/>
    <col min="6" max="6" width="27.125" bestFit="1" customWidth="1"/>
    <col min="9" max="9" width="19.5" customWidth="1"/>
    <col min="10" max="10" width="15.125" bestFit="1" customWidth="1"/>
    <col min="11" max="11" width="14.875" bestFit="1" customWidth="1"/>
    <col min="13" max="13" width="14.625" bestFit="1" customWidth="1"/>
    <col min="16" max="16" width="25" customWidth="1"/>
    <col min="18" max="18" width="12" bestFit="1" customWidth="1"/>
    <col min="19" max="19" width="17" customWidth="1"/>
  </cols>
  <sheetData>
    <row r="2" spans="1:17" x14ac:dyDescent="0.2">
      <c r="B2" t="s">
        <v>467</v>
      </c>
    </row>
    <row r="3" spans="1:17" x14ac:dyDescent="0.2">
      <c r="A3" t="s">
        <v>205</v>
      </c>
      <c r="B3" s="16" t="s">
        <v>460</v>
      </c>
      <c r="C3" s="16" t="s">
        <v>464</v>
      </c>
      <c r="D3" s="16" t="s">
        <v>461</v>
      </c>
      <c r="E3" s="16" t="s">
        <v>465</v>
      </c>
      <c r="F3" s="16" t="s">
        <v>466</v>
      </c>
      <c r="I3" s="118"/>
      <c r="J3" s="16" t="s">
        <v>439</v>
      </c>
      <c r="K3" s="16" t="s">
        <v>440</v>
      </c>
      <c r="L3" s="118"/>
      <c r="M3" s="118"/>
      <c r="N3" s="10" t="s">
        <v>40</v>
      </c>
      <c r="O3" s="10" t="s">
        <v>52</v>
      </c>
    </row>
    <row r="4" spans="1:17" x14ac:dyDescent="0.2">
      <c r="A4" s="16" t="s">
        <v>0</v>
      </c>
      <c r="B4" s="21">
        <v>472032554.80142802</v>
      </c>
      <c r="C4" s="21">
        <v>221097099.736646</v>
      </c>
      <c r="D4" s="21">
        <f>B4-C4</f>
        <v>250935455.06478202</v>
      </c>
      <c r="I4" s="14" t="s">
        <v>311</v>
      </c>
      <c r="J4" s="131">
        <v>7927673.0393279996</v>
      </c>
      <c r="K4" s="24">
        <v>2264896.69413298</v>
      </c>
      <c r="L4" s="14"/>
      <c r="M4" s="143" t="s">
        <v>437</v>
      </c>
      <c r="N4">
        <v>0.152</v>
      </c>
      <c r="O4" s="145" t="s">
        <v>456</v>
      </c>
    </row>
    <row r="5" spans="1:17" x14ac:dyDescent="0.2">
      <c r="A5" s="16" t="s">
        <v>462</v>
      </c>
      <c r="B5" s="21">
        <v>365370872.73314101</v>
      </c>
      <c r="C5" s="21">
        <v>425551846.42940301</v>
      </c>
      <c r="D5" s="148">
        <f>B5-C5</f>
        <v>-60180973.696262002</v>
      </c>
      <c r="E5" s="146">
        <f>(D4-D5)/(J4-K4)</f>
        <v>54.940617427886345</v>
      </c>
      <c r="F5" s="147">
        <f>(D4-D5)/(J5-K5)</f>
        <v>1689.2803887599875</v>
      </c>
      <c r="I5" s="14" t="s">
        <v>245</v>
      </c>
      <c r="J5" s="131">
        <v>774078</v>
      </c>
      <c r="K5" s="24">
        <v>589907.01759167504</v>
      </c>
      <c r="L5" s="14"/>
      <c r="M5" s="143" t="s">
        <v>438</v>
      </c>
      <c r="N5">
        <v>0.35599999999999998</v>
      </c>
      <c r="O5" s="145" t="s">
        <v>457</v>
      </c>
    </row>
    <row r="6" spans="1:17" x14ac:dyDescent="0.2">
      <c r="A6" s="16" t="s">
        <v>463</v>
      </c>
      <c r="B6" s="21">
        <v>132862135.539324</v>
      </c>
      <c r="C6" s="21">
        <v>139485272.15799001</v>
      </c>
      <c r="D6" s="148">
        <f>B6-C6</f>
        <v>-6623136.6186660081</v>
      </c>
      <c r="E6" s="146">
        <f>(D4-D6)/(J4-K4)</f>
        <v>45.48274132387229</v>
      </c>
      <c r="F6" s="147">
        <f>(D4-D6)/(J5-K5)</f>
        <v>1398.4754184153485</v>
      </c>
      <c r="M6" s="143" t="s">
        <v>441</v>
      </c>
      <c r="N6">
        <v>110</v>
      </c>
      <c r="O6" t="s">
        <v>458</v>
      </c>
      <c r="Q6" s="116"/>
    </row>
    <row r="7" spans="1:17" x14ac:dyDescent="0.2">
      <c r="B7" s="10"/>
      <c r="C7" s="10"/>
      <c r="D7" s="10"/>
      <c r="M7" s="143" t="s">
        <v>442</v>
      </c>
      <c r="N7">
        <v>40</v>
      </c>
      <c r="O7" t="s">
        <v>459</v>
      </c>
      <c r="Q7" s="116"/>
    </row>
    <row r="8" spans="1:17" x14ac:dyDescent="0.2">
      <c r="Q8" s="116"/>
    </row>
    <row r="9" spans="1:17" x14ac:dyDescent="0.2">
      <c r="I9" s="16"/>
      <c r="J9" s="128" t="s">
        <v>443</v>
      </c>
      <c r="K9" s="128" t="s">
        <v>444</v>
      </c>
      <c r="L9" s="128" t="s">
        <v>453</v>
      </c>
      <c r="Q9" s="116"/>
    </row>
    <row r="10" spans="1:17" x14ac:dyDescent="0.2">
      <c r="I10" s="15" t="s">
        <v>454</v>
      </c>
      <c r="J10" s="116">
        <v>1477.9966346612769</v>
      </c>
      <c r="K10" s="116">
        <v>1239.5747626192097</v>
      </c>
      <c r="L10" s="116">
        <v>1172.8835439194311</v>
      </c>
      <c r="Q10" s="116"/>
    </row>
    <row r="11" spans="1:17" x14ac:dyDescent="0.2">
      <c r="I11" s="144" t="s">
        <v>455</v>
      </c>
      <c r="J11" s="116">
        <v>674.33704316127682</v>
      </c>
      <c r="K11" s="116">
        <v>435.91517111920973</v>
      </c>
      <c r="L11" s="116">
        <v>369.22395241943104</v>
      </c>
      <c r="Q11" s="116"/>
    </row>
    <row r="12" spans="1:17" x14ac:dyDescent="0.2">
      <c r="Q12" s="116"/>
    </row>
    <row r="13" spans="1:17" x14ac:dyDescent="0.2">
      <c r="Q13" s="116"/>
    </row>
    <row r="19" spans="1:6" x14ac:dyDescent="0.2">
      <c r="A19" t="s">
        <v>0</v>
      </c>
      <c r="B19" t="s">
        <v>475</v>
      </c>
      <c r="C19" t="s">
        <v>476</v>
      </c>
      <c r="E19" t="s">
        <v>474</v>
      </c>
      <c r="F19" t="s">
        <v>477</v>
      </c>
    </row>
    <row r="20" spans="1:6" x14ac:dyDescent="0.2">
      <c r="A20" t="s">
        <v>443</v>
      </c>
      <c r="B20" s="43">
        <v>1815130000</v>
      </c>
      <c r="C20" s="43">
        <v>455814000</v>
      </c>
      <c r="E20" t="s">
        <v>443</v>
      </c>
      <c r="F20" s="43">
        <v>3172340000</v>
      </c>
    </row>
    <row r="21" spans="1:6" x14ac:dyDescent="0.2">
      <c r="A21" t="s">
        <v>444</v>
      </c>
      <c r="B21" s="43">
        <v>1976780000</v>
      </c>
      <c r="C21" s="43">
        <v>485427000</v>
      </c>
      <c r="E21" t="s">
        <v>444</v>
      </c>
      <c r="F21" s="43">
        <v>3498090000</v>
      </c>
    </row>
    <row r="22" spans="1:6" x14ac:dyDescent="0.2">
      <c r="A22" t="s">
        <v>445</v>
      </c>
      <c r="B22" s="43">
        <v>1653740000</v>
      </c>
      <c r="C22" s="43">
        <v>548669000</v>
      </c>
      <c r="E22" t="s">
        <v>445</v>
      </c>
      <c r="F22" s="43">
        <v>3112100000</v>
      </c>
    </row>
    <row r="23" spans="1:6" x14ac:dyDescent="0.2">
      <c r="A23" t="s">
        <v>446</v>
      </c>
      <c r="B23" s="43">
        <v>1644840000</v>
      </c>
      <c r="C23" s="43">
        <v>474559000</v>
      </c>
      <c r="E23" t="s">
        <v>446</v>
      </c>
      <c r="F23" s="43">
        <v>2886960000</v>
      </c>
    </row>
    <row r="24" spans="1:6" x14ac:dyDescent="0.2">
      <c r="A24" t="s">
        <v>447</v>
      </c>
      <c r="B24" s="43">
        <v>1647920000</v>
      </c>
      <c r="C24" s="43">
        <v>548126000</v>
      </c>
      <c r="E24" t="s">
        <v>447</v>
      </c>
      <c r="F24" s="43">
        <v>3193660000</v>
      </c>
    </row>
    <row r="25" spans="1:6" x14ac:dyDescent="0.2">
      <c r="A25" t="s">
        <v>448</v>
      </c>
      <c r="B25" s="43">
        <v>1767700000</v>
      </c>
      <c r="C25" s="43">
        <v>498959000</v>
      </c>
      <c r="E25" t="s">
        <v>448</v>
      </c>
      <c r="F25" s="43">
        <v>3194900000</v>
      </c>
    </row>
    <row r="26" spans="1:6" x14ac:dyDescent="0.2">
      <c r="A26" t="s">
        <v>449</v>
      </c>
      <c r="B26" s="43">
        <v>1906520000</v>
      </c>
      <c r="C26" s="43">
        <v>518649000</v>
      </c>
      <c r="E26" t="s">
        <v>449</v>
      </c>
      <c r="F26" s="43">
        <v>4663440000</v>
      </c>
    </row>
    <row r="27" spans="1:6" x14ac:dyDescent="0.2">
      <c r="A27" t="s">
        <v>450</v>
      </c>
      <c r="B27" s="43">
        <v>1653950000</v>
      </c>
      <c r="C27" s="43">
        <v>533382000</v>
      </c>
      <c r="E27" t="s">
        <v>450</v>
      </c>
      <c r="F27" s="43">
        <v>2035700000</v>
      </c>
    </row>
    <row r="28" spans="1:6" x14ac:dyDescent="0.2">
      <c r="A28" t="s">
        <v>451</v>
      </c>
      <c r="B28" s="43">
        <v>1516180000</v>
      </c>
      <c r="C28" s="43">
        <v>485120000</v>
      </c>
      <c r="E28" t="s">
        <v>451</v>
      </c>
      <c r="F28" s="43">
        <v>2434920000</v>
      </c>
    </row>
    <row r="29" spans="1:6" x14ac:dyDescent="0.2">
      <c r="A29" t="s">
        <v>452</v>
      </c>
      <c r="B29" s="43">
        <v>1158840000</v>
      </c>
      <c r="C29" s="43">
        <v>354712000</v>
      </c>
      <c r="E29" t="s">
        <v>452</v>
      </c>
      <c r="F29" s="43">
        <v>1980180000</v>
      </c>
    </row>
    <row r="30" spans="1:6" x14ac:dyDescent="0.2">
      <c r="A30" t="s">
        <v>468</v>
      </c>
      <c r="B30" s="43">
        <v>1767950000</v>
      </c>
      <c r="C30" s="43">
        <v>565880000</v>
      </c>
      <c r="E30" t="s">
        <v>468</v>
      </c>
      <c r="F30" s="43">
        <v>3234220000</v>
      </c>
    </row>
    <row r="31" spans="1:6" x14ac:dyDescent="0.2">
      <c r="A31" t="s">
        <v>469</v>
      </c>
      <c r="B31" s="43">
        <v>1845870000</v>
      </c>
      <c r="C31" s="43">
        <v>480354000</v>
      </c>
      <c r="E31" t="s">
        <v>469</v>
      </c>
      <c r="F31" s="43">
        <v>3322710000</v>
      </c>
    </row>
    <row r="32" spans="1:6" x14ac:dyDescent="0.2">
      <c r="A32" t="s">
        <v>470</v>
      </c>
      <c r="B32" s="43">
        <v>1799200000</v>
      </c>
      <c r="C32" s="43">
        <v>561292000</v>
      </c>
      <c r="E32" t="s">
        <v>470</v>
      </c>
      <c r="F32" s="43">
        <v>3257330000</v>
      </c>
    </row>
    <row r="33" spans="1:6" x14ac:dyDescent="0.2">
      <c r="A33" t="s">
        <v>471</v>
      </c>
      <c r="B33" s="43">
        <v>1700120000</v>
      </c>
      <c r="C33" s="43">
        <v>523940000</v>
      </c>
      <c r="E33" t="s">
        <v>471</v>
      </c>
      <c r="F33" s="43">
        <v>3066600000</v>
      </c>
    </row>
    <row r="34" spans="1:6" x14ac:dyDescent="0.2">
      <c r="A34" t="s">
        <v>472</v>
      </c>
      <c r="B34" s="43">
        <v>1759280000</v>
      </c>
      <c r="C34" s="43">
        <v>592064000</v>
      </c>
      <c r="E34" t="s">
        <v>472</v>
      </c>
      <c r="F34" s="43">
        <v>3262850000</v>
      </c>
    </row>
    <row r="35" spans="1:6" x14ac:dyDescent="0.2">
      <c r="A35" t="s">
        <v>473</v>
      </c>
      <c r="B35" s="43">
        <v>1723630000</v>
      </c>
      <c r="C35" s="43">
        <v>538381000</v>
      </c>
      <c r="E35" t="s">
        <v>473</v>
      </c>
      <c r="F35" s="43">
        <v>2953360000</v>
      </c>
    </row>
  </sheetData>
  <phoneticPr fontId="16" type="noConversion"/>
  <hyperlinks>
    <hyperlink ref="O4" r:id="rId1" xr:uid="{3F6672F9-B93D-4F0D-9FDE-FE26C75604EC}"/>
    <hyperlink ref="O5" r:id="rId2" xr:uid="{D401A9F7-2316-4107-B343-F0A4EE574F3D}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4831-5F85-4C42-8E06-9931D1ED1419}">
  <dimension ref="A1:U71"/>
  <sheetViews>
    <sheetView topLeftCell="A25" zoomScale="90" zoomScaleNormal="90" workbookViewId="0">
      <selection activeCell="A44" sqref="A43:A44"/>
    </sheetView>
  </sheetViews>
  <sheetFormatPr defaultRowHeight="14.25" x14ac:dyDescent="0.2"/>
  <cols>
    <col min="1" max="1" width="25.375" bestFit="1" customWidth="1"/>
    <col min="2" max="3" width="15" bestFit="1" customWidth="1"/>
    <col min="4" max="4" width="16.625" customWidth="1"/>
    <col min="5" max="6" width="25.375" bestFit="1" customWidth="1"/>
    <col min="7" max="7" width="16.5" bestFit="1" customWidth="1"/>
    <col min="8" max="8" width="15" bestFit="1" customWidth="1"/>
    <col min="9" max="9" width="17" bestFit="1" customWidth="1"/>
    <col min="10" max="10" width="14.375" bestFit="1" customWidth="1"/>
    <col min="11" max="11" width="12.125" bestFit="1" customWidth="1"/>
    <col min="12" max="13" width="12" bestFit="1" customWidth="1"/>
    <col min="14" max="14" width="12.375" bestFit="1" customWidth="1"/>
    <col min="15" max="15" width="14.125" bestFit="1" customWidth="1"/>
    <col min="16" max="16" width="13.5" customWidth="1"/>
    <col min="17" max="17" width="13.125" bestFit="1" customWidth="1"/>
    <col min="18" max="18" width="13.625" bestFit="1" customWidth="1"/>
    <col min="19" max="19" width="12" bestFit="1" customWidth="1"/>
    <col min="20" max="20" width="11" bestFit="1" customWidth="1"/>
    <col min="21" max="21" width="14.125" bestFit="1" customWidth="1"/>
  </cols>
  <sheetData>
    <row r="1" spans="1:20" x14ac:dyDescent="0.2">
      <c r="A1" t="s">
        <v>243</v>
      </c>
      <c r="B1" s="94" t="s">
        <v>244</v>
      </c>
      <c r="C1" s="94" t="s">
        <v>245</v>
      </c>
      <c r="D1" s="94" t="s">
        <v>246</v>
      </c>
      <c r="E1" s="94" t="s">
        <v>247</v>
      </c>
      <c r="F1" s="94" t="s">
        <v>248</v>
      </c>
      <c r="G1" s="17" t="s">
        <v>249</v>
      </c>
      <c r="H1" s="17" t="s">
        <v>250</v>
      </c>
      <c r="I1" s="17" t="s">
        <v>251</v>
      </c>
      <c r="J1" s="95" t="s">
        <v>252</v>
      </c>
      <c r="K1" s="95" t="s">
        <v>253</v>
      </c>
      <c r="L1" s="95" t="s">
        <v>185</v>
      </c>
      <c r="M1" s="95" t="s">
        <v>254</v>
      </c>
      <c r="N1" s="95" t="s">
        <v>7</v>
      </c>
      <c r="O1" s="95" t="s">
        <v>255</v>
      </c>
      <c r="P1" s="95" t="s">
        <v>256</v>
      </c>
      <c r="Q1" s="95" t="s">
        <v>257</v>
      </c>
      <c r="R1" s="96" t="s">
        <v>258</v>
      </c>
      <c r="S1" s="96" t="s">
        <v>259</v>
      </c>
      <c r="T1" s="96" t="s">
        <v>260</v>
      </c>
    </row>
    <row r="2" spans="1:20" x14ac:dyDescent="0.2">
      <c r="A2" t="s">
        <v>0</v>
      </c>
      <c r="B2">
        <v>0.59088640131171799</v>
      </c>
      <c r="C2">
        <v>0.71688267930298888</v>
      </c>
      <c r="D2">
        <v>0.83631983128975007</v>
      </c>
      <c r="E2">
        <v>0.74908668820853352</v>
      </c>
      <c r="F2">
        <v>0.56515009293131013</v>
      </c>
      <c r="G2">
        <v>0.76706581511902994</v>
      </c>
      <c r="H2">
        <v>0.25135073000000013</v>
      </c>
      <c r="I2">
        <v>0.72201226798668661</v>
      </c>
      <c r="J2">
        <v>0.68122495482376511</v>
      </c>
      <c r="K2">
        <v>0.42704199999999992</v>
      </c>
      <c r="L2">
        <v>0.56334597241588047</v>
      </c>
      <c r="M2">
        <v>6.7028683332229944E-2</v>
      </c>
      <c r="N2">
        <v>0.17777199999999993</v>
      </c>
      <c r="O2">
        <v>0.45650374292858031</v>
      </c>
      <c r="P2">
        <v>0</v>
      </c>
      <c r="Q2">
        <v>0.41219265553295487</v>
      </c>
      <c r="R2">
        <v>0.68423480568202988</v>
      </c>
      <c r="S2">
        <v>0.82715404014576965</v>
      </c>
      <c r="T2">
        <v>0</v>
      </c>
    </row>
    <row r="3" spans="1:20" x14ac:dyDescent="0.2">
      <c r="A3" t="s">
        <v>261</v>
      </c>
      <c r="B3">
        <v>0.2307359842674461</v>
      </c>
      <c r="C3">
        <v>0.15455495389207777</v>
      </c>
      <c r="D3">
        <v>0.32673704819185817</v>
      </c>
      <c r="E3">
        <v>0.68284607712432666</v>
      </c>
      <c r="F3">
        <v>0.5362171251741199</v>
      </c>
      <c r="G3">
        <v>0.57492986913545807</v>
      </c>
      <c r="H3">
        <v>0.25135073000000013</v>
      </c>
      <c r="I3">
        <v>0.36441746893862331</v>
      </c>
      <c r="J3">
        <v>0.54659416084995482</v>
      </c>
      <c r="K3">
        <v>0.42704199999999992</v>
      </c>
      <c r="L3">
        <v>0.89536340950599969</v>
      </c>
      <c r="M3">
        <v>0.12893433372022997</v>
      </c>
      <c r="N3">
        <v>0.17777199999999993</v>
      </c>
      <c r="O3">
        <v>0.38580465194281999</v>
      </c>
      <c r="P3">
        <v>0.778391354774147</v>
      </c>
      <c r="Q3">
        <v>0.37664404745150021</v>
      </c>
      <c r="R3">
        <v>0.69955154895875016</v>
      </c>
      <c r="S3">
        <v>0.56316375709412969</v>
      </c>
      <c r="T3">
        <v>0</v>
      </c>
    </row>
    <row r="4" spans="1:20" x14ac:dyDescent="0.2">
      <c r="A4" t="s">
        <v>262</v>
      </c>
      <c r="B4">
        <v>8.5986990212796086E-2</v>
      </c>
      <c r="C4">
        <v>6.273594870537888E-2</v>
      </c>
      <c r="D4">
        <v>6.0538601340361993E-2</v>
      </c>
      <c r="E4">
        <v>0.60710114816317329</v>
      </c>
      <c r="F4">
        <v>0.50333247971159001</v>
      </c>
      <c r="G4">
        <v>0.46851611443686397</v>
      </c>
      <c r="H4">
        <v>0.25135073000000013</v>
      </c>
      <c r="I4">
        <v>0.29050041342622329</v>
      </c>
      <c r="J4">
        <v>0.47108790428674496</v>
      </c>
      <c r="K4">
        <v>0.42704199999999992</v>
      </c>
      <c r="L4">
        <v>1.0495200866209593</v>
      </c>
      <c r="M4">
        <v>0.24672648475688988</v>
      </c>
      <c r="N4">
        <v>0.17777199999999993</v>
      </c>
      <c r="O4">
        <v>0.36040276293939999</v>
      </c>
      <c r="P4">
        <v>0.86369890436775498</v>
      </c>
      <c r="Q4">
        <v>0.30553399423982969</v>
      </c>
      <c r="R4">
        <v>0.69474873014100014</v>
      </c>
      <c r="S4">
        <v>0.51231655372213025</v>
      </c>
      <c r="T4">
        <v>0.62774967995796505</v>
      </c>
    </row>
    <row r="5" spans="1:20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20" x14ac:dyDescent="0.2">
      <c r="A7" t="s">
        <v>263</v>
      </c>
      <c r="B7" s="97">
        <f>2*10^6</f>
        <v>2000000</v>
      </c>
      <c r="C7" s="97">
        <f>2*10^5</f>
        <v>200000</v>
      </c>
      <c r="D7" s="97"/>
      <c r="E7" s="97">
        <f>2*10^4</f>
        <v>20000</v>
      </c>
      <c r="F7" s="97">
        <f>1*10^9</f>
        <v>1000000000</v>
      </c>
      <c r="G7" s="97">
        <v>2</v>
      </c>
      <c r="H7" s="97">
        <v>1000</v>
      </c>
      <c r="I7" s="97">
        <v>10</v>
      </c>
      <c r="J7" s="97">
        <f>10^5</f>
        <v>100000</v>
      </c>
      <c r="K7" s="97">
        <f>2*10^8</f>
        <v>200000000</v>
      </c>
      <c r="L7" s="97">
        <f>10^7</f>
        <v>10000000</v>
      </c>
      <c r="M7" s="97">
        <f>10^8</f>
        <v>100000000</v>
      </c>
      <c r="N7" s="97">
        <f>10^9</f>
        <v>1000000000</v>
      </c>
      <c r="O7" s="97">
        <f>10^8</f>
        <v>100000000</v>
      </c>
      <c r="P7" s="97"/>
      <c r="Q7" s="97">
        <f>10^9</f>
        <v>1000000000</v>
      </c>
      <c r="R7" s="97">
        <f>10^9</f>
        <v>1000000000</v>
      </c>
      <c r="S7" s="97">
        <f>2*10^8</f>
        <v>200000000</v>
      </c>
      <c r="T7" s="97">
        <f>10^5</f>
        <v>100000</v>
      </c>
    </row>
    <row r="8" spans="1:20" x14ac:dyDescent="0.2">
      <c r="B8" s="94" t="s">
        <v>244</v>
      </c>
      <c r="C8" s="94" t="s">
        <v>245</v>
      </c>
      <c r="D8" s="94" t="s">
        <v>246</v>
      </c>
      <c r="E8" s="94" t="s">
        <v>247</v>
      </c>
      <c r="F8" s="94" t="s">
        <v>248</v>
      </c>
      <c r="G8" s="17" t="s">
        <v>249</v>
      </c>
      <c r="H8" s="17" t="s">
        <v>250</v>
      </c>
      <c r="I8" s="17" t="s">
        <v>251</v>
      </c>
      <c r="J8" s="95" t="s">
        <v>252</v>
      </c>
      <c r="K8" s="95" t="s">
        <v>253</v>
      </c>
      <c r="L8" s="95" t="s">
        <v>185</v>
      </c>
      <c r="M8" s="95" t="s">
        <v>254</v>
      </c>
      <c r="N8" s="95" t="s">
        <v>7</v>
      </c>
      <c r="O8" s="95" t="s">
        <v>255</v>
      </c>
      <c r="P8" s="95" t="s">
        <v>256</v>
      </c>
      <c r="Q8" s="95" t="s">
        <v>257</v>
      </c>
      <c r="R8" s="96" t="s">
        <v>258</v>
      </c>
      <c r="S8" s="96" t="s">
        <v>259</v>
      </c>
      <c r="T8" s="96" t="s">
        <v>260</v>
      </c>
    </row>
    <row r="9" spans="1:20" x14ac:dyDescent="0.2">
      <c r="A9" t="s">
        <v>0</v>
      </c>
      <c r="B9" s="11">
        <v>7954432.0065585896</v>
      </c>
      <c r="C9" s="11">
        <v>745194.41137269</v>
      </c>
      <c r="D9" s="11"/>
      <c r="E9" s="11">
        <v>31236.300323128002</v>
      </c>
      <c r="F9" s="11">
        <v>1065150092.9313101</v>
      </c>
      <c r="G9">
        <v>3.8353290755951499</v>
      </c>
      <c r="H9">
        <v>3502.7014600000002</v>
      </c>
      <c r="I9">
        <v>51.660368039600598</v>
      </c>
      <c r="J9" s="11">
        <v>536244.99096475297</v>
      </c>
      <c r="K9" s="11">
        <v>1427042000</v>
      </c>
      <c r="L9" s="11">
        <v>17816729.862079401</v>
      </c>
      <c r="M9" s="11">
        <v>206702868.33322299</v>
      </c>
      <c r="N9" s="11">
        <v>2088886000</v>
      </c>
      <c r="O9" s="11">
        <v>445650374.292858</v>
      </c>
      <c r="P9" s="11">
        <v>0</v>
      </c>
      <c r="Q9">
        <v>882438531.10659099</v>
      </c>
      <c r="R9">
        <v>1684234805.68203</v>
      </c>
      <c r="S9">
        <v>532715404.01457697</v>
      </c>
      <c r="T9">
        <v>0</v>
      </c>
    </row>
    <row r="10" spans="1:20" x14ac:dyDescent="0.2">
      <c r="A10" t="s">
        <v>261</v>
      </c>
      <c r="B10">
        <v>6153679.9213372301</v>
      </c>
      <c r="C10">
        <v>239099.45850286999</v>
      </c>
      <c r="E10">
        <v>30242.691156864901</v>
      </c>
      <c r="F10">
        <v>1036217125.1741199</v>
      </c>
      <c r="G10">
        <v>2.8746493456772901</v>
      </c>
      <c r="H10">
        <v>3502.7014600000002</v>
      </c>
      <c r="I10" s="10">
        <v>40.932524068158699</v>
      </c>
      <c r="J10">
        <v>509318.83216999099</v>
      </c>
      <c r="K10">
        <v>1427042000</v>
      </c>
      <c r="L10">
        <v>19476817.047529999</v>
      </c>
      <c r="M10">
        <v>212893433.37202299</v>
      </c>
      <c r="N10">
        <v>2088886000</v>
      </c>
      <c r="O10">
        <v>438580465.194282</v>
      </c>
      <c r="P10">
        <v>7783913.5477414699</v>
      </c>
      <c r="Q10">
        <v>875328809.49030006</v>
      </c>
      <c r="R10">
        <v>1699551548.95875</v>
      </c>
      <c r="S10">
        <v>506316375.70941299</v>
      </c>
      <c r="T10">
        <v>0</v>
      </c>
    </row>
    <row r="11" spans="1:20" x14ac:dyDescent="0.2">
      <c r="A11" t="s">
        <v>262</v>
      </c>
      <c r="B11">
        <v>5429934.9510639803</v>
      </c>
      <c r="C11">
        <v>156462.35383484099</v>
      </c>
      <c r="E11">
        <v>29106.517222447601</v>
      </c>
      <c r="F11">
        <v>1003332479.7115901</v>
      </c>
      <c r="G11">
        <v>2.3425805721843198</v>
      </c>
      <c r="H11">
        <v>3502.7014600000002</v>
      </c>
      <c r="I11">
        <v>38.715012402786698</v>
      </c>
      <c r="J11">
        <v>494217.58085734898</v>
      </c>
      <c r="K11">
        <v>1427042000</v>
      </c>
      <c r="L11">
        <v>20247600.433104798</v>
      </c>
      <c r="M11">
        <v>224672648.47568899</v>
      </c>
      <c r="N11">
        <v>2088886000</v>
      </c>
      <c r="O11">
        <v>436040276.29394001</v>
      </c>
      <c r="P11">
        <v>8636989.0436775498</v>
      </c>
      <c r="Q11">
        <v>861106798.84796596</v>
      </c>
      <c r="R11">
        <v>1694748730.141</v>
      </c>
      <c r="S11">
        <v>501231655.37221301</v>
      </c>
      <c r="T11" s="98">
        <v>1255499.3599159301</v>
      </c>
    </row>
    <row r="12" spans="1:20" x14ac:dyDescent="0.2">
      <c r="G12" s="80"/>
      <c r="J12" s="93"/>
    </row>
    <row r="13" spans="1:20" x14ac:dyDescent="0.2">
      <c r="A13" s="99" t="s">
        <v>264</v>
      </c>
      <c r="B13" s="100">
        <f>MIN(B9:B12)</f>
        <v>5429934.9510639803</v>
      </c>
      <c r="C13" s="100">
        <f t="shared" ref="C13:M13" si="0">MIN(C9:C12)</f>
        <v>156462.35383484099</v>
      </c>
      <c r="D13" s="100"/>
      <c r="E13" s="100">
        <f t="shared" si="0"/>
        <v>29106.517222447601</v>
      </c>
      <c r="F13" s="100">
        <f t="shared" si="0"/>
        <v>1003332479.7115901</v>
      </c>
      <c r="G13" s="100">
        <f t="shared" si="0"/>
        <v>2.3425805721843198</v>
      </c>
      <c r="H13" s="100">
        <f t="shared" si="0"/>
        <v>3502.7014600000002</v>
      </c>
      <c r="I13" s="100">
        <f t="shared" si="0"/>
        <v>38.715012402786698</v>
      </c>
      <c r="J13" s="100">
        <f>MIN(J9:J12)</f>
        <v>494217.58085734898</v>
      </c>
      <c r="K13" s="100">
        <f t="shared" si="0"/>
        <v>1427042000</v>
      </c>
      <c r="L13" s="100">
        <f t="shared" si="0"/>
        <v>17816729.862079401</v>
      </c>
      <c r="M13" s="100">
        <f t="shared" si="0"/>
        <v>206702868.33322299</v>
      </c>
      <c r="N13" s="100">
        <f>MIN(N9:N12)</f>
        <v>2088886000</v>
      </c>
      <c r="O13" s="100">
        <f t="shared" ref="O13:S13" si="1">MIN(O9:O12)</f>
        <v>436040276.29394001</v>
      </c>
      <c r="P13" s="100"/>
      <c r="Q13" s="100">
        <f t="shared" si="1"/>
        <v>861106798.84796596</v>
      </c>
      <c r="R13" s="100">
        <f t="shared" si="1"/>
        <v>1684234805.68203</v>
      </c>
      <c r="S13" s="100">
        <f t="shared" si="1"/>
        <v>501231655.37221301</v>
      </c>
      <c r="T13" s="100">
        <f>MIN(T9:T12)</f>
        <v>0</v>
      </c>
    </row>
    <row r="14" spans="1:20" x14ac:dyDescent="0.2">
      <c r="A14" s="99" t="s">
        <v>265</v>
      </c>
      <c r="B14" s="100">
        <f>MAX(B9:B12)</f>
        <v>7954432.0065585896</v>
      </c>
      <c r="C14" s="100">
        <f t="shared" ref="C14:S14" si="2">MAX(C9:C12)</f>
        <v>745194.41137269</v>
      </c>
      <c r="D14" s="100"/>
      <c r="E14" s="100">
        <f t="shared" si="2"/>
        <v>31236.300323128002</v>
      </c>
      <c r="F14" s="100">
        <f t="shared" si="2"/>
        <v>1065150092.9313101</v>
      </c>
      <c r="G14" s="100">
        <f t="shared" si="2"/>
        <v>3.8353290755951499</v>
      </c>
      <c r="H14" s="100">
        <f t="shared" si="2"/>
        <v>3502.7014600000002</v>
      </c>
      <c r="I14" s="100">
        <f t="shared" si="2"/>
        <v>51.660368039600598</v>
      </c>
      <c r="J14" s="100">
        <f>MAX(J9:J12)</f>
        <v>536244.99096475297</v>
      </c>
      <c r="K14" s="100">
        <f t="shared" si="2"/>
        <v>1427042000</v>
      </c>
      <c r="L14" s="100">
        <f t="shared" si="2"/>
        <v>20247600.433104798</v>
      </c>
      <c r="M14" s="100">
        <f t="shared" si="2"/>
        <v>224672648.47568899</v>
      </c>
      <c r="N14" s="100">
        <f t="shared" si="2"/>
        <v>2088886000</v>
      </c>
      <c r="O14" s="100">
        <f t="shared" si="2"/>
        <v>445650374.292858</v>
      </c>
      <c r="P14" s="100"/>
      <c r="Q14" s="100">
        <f t="shared" si="2"/>
        <v>882438531.10659099</v>
      </c>
      <c r="R14" s="100">
        <f t="shared" si="2"/>
        <v>1699551548.95875</v>
      </c>
      <c r="S14" s="100">
        <f t="shared" si="2"/>
        <v>532715404.01457697</v>
      </c>
      <c r="T14" s="100">
        <f>MAX(T9:T12)</f>
        <v>1255499.3599159301</v>
      </c>
    </row>
    <row r="15" spans="1:20" x14ac:dyDescent="0.2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</row>
    <row r="16" spans="1:20" x14ac:dyDescent="0.2">
      <c r="A16" t="s">
        <v>0</v>
      </c>
      <c r="B16" s="2">
        <f>(MAX(B$9:B$12)-B9)/(MAX(B$9:B$12)-MIN(B$9:B$12))*($C$20-$B$20)+$B$20</f>
        <v>2</v>
      </c>
      <c r="C16" s="2">
        <f t="shared" ref="B16:E18" si="3">(MAX(C$9:C$12)-C9)/(MAX(C$9:C$12)-MIN(C$9:C$12))*($C$20-$B$20)+$B$20</f>
        <v>2</v>
      </c>
      <c r="D16" s="2"/>
      <c r="E16" s="2">
        <f t="shared" si="3"/>
        <v>2</v>
      </c>
      <c r="F16" s="2">
        <f>(F9-MIN(F$9:F$12))/(MAX(F$9:F$12)-MIN(F$9:F$12))*($C$20-$B$20)+$B$20</f>
        <v>4</v>
      </c>
      <c r="G16" s="2">
        <f t="shared" ref="G16:M18" si="4">(MAX(G$9:G$12)-G9)/(MAX(G$9:G$12)-MIN(G$9:G$12))*($C$20-$B$20)+$B$20</f>
        <v>2</v>
      </c>
      <c r="H16" s="2" t="e">
        <f>(MAX(H$9:H$12)-H9)/(MAX(H$9:H$12)-MIN(H$9:H$12))*($C$20-$B$20)+$B$20</f>
        <v>#DIV/0!</v>
      </c>
      <c r="I16" s="2">
        <f t="shared" si="4"/>
        <v>2</v>
      </c>
      <c r="J16" s="2">
        <f t="shared" si="4"/>
        <v>2</v>
      </c>
      <c r="K16" s="2" t="e">
        <f t="shared" si="4"/>
        <v>#DIV/0!</v>
      </c>
      <c r="L16" s="2">
        <f t="shared" si="4"/>
        <v>4</v>
      </c>
      <c r="M16" s="2">
        <f t="shared" si="4"/>
        <v>4</v>
      </c>
      <c r="N16" s="2" t="e">
        <f t="shared" ref="N16:S18" si="5">(N9-MIN(N$9:N$12))/(MAX(N$9:N$12)-MIN(N$9:N$12))*($C$20-$B$20)+$B$20</f>
        <v>#DIV/0!</v>
      </c>
      <c r="O16" s="2">
        <f>(O9-MIN(O$9:O$12))/(MAX(O$9:O$12)-MIN(O$9:O$12))*($C$20-$B$20)+$B$20</f>
        <v>4</v>
      </c>
      <c r="P16" s="2">
        <f>(P9-MIN(P$9:P$12))/(MAX(P$9:P$12)-MIN(P$9:P$12))*($C$20-$B$20)+$B$20</f>
        <v>2</v>
      </c>
      <c r="Q16" s="2">
        <f t="shared" si="5"/>
        <v>4</v>
      </c>
      <c r="R16" s="2">
        <f t="shared" si="5"/>
        <v>2</v>
      </c>
      <c r="S16" s="2">
        <f t="shared" si="5"/>
        <v>4</v>
      </c>
      <c r="T16" s="2">
        <f>(T9-MIN(T$9:T$12))/(MAX(T$9:T$12)-MIN(T$9:T$12))*($C$20-$B$20)+$B$20</f>
        <v>2</v>
      </c>
    </row>
    <row r="17" spans="1:21" x14ac:dyDescent="0.2">
      <c r="A17" t="s">
        <v>261</v>
      </c>
      <c r="B17" s="2">
        <f>(MAX(B$9:B$12)-B10)/(MAX(B$9:B$12)-MIN(B$9:B$12))*($C$20-$B$20)+$B$20</f>
        <v>3.4266224484611643</v>
      </c>
      <c r="C17" s="2">
        <f t="shared" si="3"/>
        <v>3.7192709192238391</v>
      </c>
      <c r="D17" s="2"/>
      <c r="E17" s="2">
        <f t="shared" si="3"/>
        <v>2.9330613675596098</v>
      </c>
      <c r="F17" s="2">
        <f t="shared" ref="F17:F18" si="6">(F10-MIN(F$9:F$12))/(MAX(F$9:F$12)-MIN(F$9:F$12))*($C$20-$B$20)+$B$20</f>
        <v>3.0639247861494461</v>
      </c>
      <c r="G17" s="2">
        <f t="shared" si="4"/>
        <v>3.2871287128712856</v>
      </c>
      <c r="H17" s="2" t="e">
        <f t="shared" si="4"/>
        <v>#DIV/0!</v>
      </c>
      <c r="I17" s="2">
        <f t="shared" si="4"/>
        <v>3.6574042880574313</v>
      </c>
      <c r="J17" s="2">
        <f t="shared" si="4"/>
        <v>3.2813617934557611</v>
      </c>
      <c r="K17" s="2" t="e">
        <f t="shared" si="4"/>
        <v>#DIV/0!</v>
      </c>
      <c r="L17" s="2">
        <f t="shared" si="4"/>
        <v>2.6341624229295473</v>
      </c>
      <c r="M17" s="2">
        <f t="shared" si="4"/>
        <v>3.3110026956678764</v>
      </c>
      <c r="N17" s="2" t="e">
        <f t="shared" si="5"/>
        <v>#DIV/0!</v>
      </c>
      <c r="O17" s="2">
        <f t="shared" si="5"/>
        <v>2.5286499473008472</v>
      </c>
      <c r="P17" s="2">
        <f t="shared" si="5"/>
        <v>3.8024599796012133</v>
      </c>
      <c r="Q17" s="2">
        <f t="shared" si="5"/>
        <v>3.3334135709099515</v>
      </c>
      <c r="R17" s="2">
        <f t="shared" si="5"/>
        <v>4</v>
      </c>
      <c r="S17" s="2">
        <f t="shared" si="5"/>
        <v>2.3230060305054065</v>
      </c>
      <c r="T17" s="2">
        <f>(T10-MIN(T$9:T$12))/(MAX(T$9:T$12)-MIN(T$9:T$12))*($C$20-$B$20)+$B$20</f>
        <v>2</v>
      </c>
    </row>
    <row r="18" spans="1:21" x14ac:dyDescent="0.2">
      <c r="A18" t="s">
        <v>262</v>
      </c>
      <c r="B18" s="2">
        <f t="shared" si="3"/>
        <v>4</v>
      </c>
      <c r="C18" s="2">
        <f t="shared" si="3"/>
        <v>4</v>
      </c>
      <c r="D18" s="2"/>
      <c r="E18" s="2">
        <f t="shared" si="3"/>
        <v>4</v>
      </c>
      <c r="F18" s="2">
        <f t="shared" si="6"/>
        <v>2</v>
      </c>
      <c r="G18" s="2">
        <f t="shared" si="4"/>
        <v>4</v>
      </c>
      <c r="H18" s="2" t="e">
        <f t="shared" si="4"/>
        <v>#DIV/0!</v>
      </c>
      <c r="I18" s="2">
        <f t="shared" si="4"/>
        <v>4</v>
      </c>
      <c r="J18" s="2">
        <f t="shared" si="4"/>
        <v>4</v>
      </c>
      <c r="K18" s="2" t="e">
        <f t="shared" si="4"/>
        <v>#DIV/0!</v>
      </c>
      <c r="L18" s="2">
        <f t="shared" si="4"/>
        <v>2</v>
      </c>
      <c r="M18" s="2">
        <f t="shared" si="4"/>
        <v>2</v>
      </c>
      <c r="N18" s="2" t="e">
        <f t="shared" si="5"/>
        <v>#DIV/0!</v>
      </c>
      <c r="O18" s="2">
        <f t="shared" si="5"/>
        <v>2</v>
      </c>
      <c r="P18" s="2">
        <f t="shared" si="5"/>
        <v>4</v>
      </c>
      <c r="Q18" s="2">
        <f t="shared" si="5"/>
        <v>2</v>
      </c>
      <c r="R18" s="2">
        <f t="shared" si="5"/>
        <v>3.3728668384682283</v>
      </c>
      <c r="S18" s="2">
        <f t="shared" si="5"/>
        <v>2</v>
      </c>
      <c r="T18" s="2">
        <f>(T11-MIN(T$9:T$12))/(MAX(T$9:T$12)-MIN(T$9:T$12))*($C$20-$B$20)+$B$20</f>
        <v>4</v>
      </c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t="s">
        <v>266</v>
      </c>
      <c r="B20">
        <v>2</v>
      </c>
      <c r="C20">
        <v>4</v>
      </c>
    </row>
    <row r="21" spans="1:21" x14ac:dyDescent="0.2">
      <c r="D21" s="79"/>
      <c r="E21" s="79"/>
      <c r="F21" s="79"/>
      <c r="G21" s="79"/>
    </row>
    <row r="25" spans="1:21" x14ac:dyDescent="0.2">
      <c r="C25" s="10"/>
    </row>
    <row r="26" spans="1:21" x14ac:dyDescent="0.2">
      <c r="B26" s="11"/>
      <c r="G26">
        <f>G30/I30</f>
        <v>4.7690948289134969</v>
      </c>
      <c r="H26">
        <f>G30/H30</f>
        <v>3.1208092534614305</v>
      </c>
      <c r="N26">
        <f>N30/P30</f>
        <v>11.444506980412779</v>
      </c>
      <c r="O26">
        <f>N30/O30</f>
        <v>4.645480360227582</v>
      </c>
    </row>
    <row r="27" spans="1:21" x14ac:dyDescent="0.2">
      <c r="B27" s="11"/>
      <c r="L27" s="159" t="s">
        <v>267</v>
      </c>
      <c r="M27" s="159"/>
      <c r="N27" s="159"/>
      <c r="O27" s="159"/>
      <c r="P27" s="159"/>
    </row>
    <row r="28" spans="1:21" x14ac:dyDescent="0.2">
      <c r="A28" s="16" t="s">
        <v>268</v>
      </c>
      <c r="B28" s="101" t="s">
        <v>0</v>
      </c>
      <c r="C28" s="16" t="s">
        <v>261</v>
      </c>
      <c r="D28" s="16" t="s">
        <v>262</v>
      </c>
      <c r="E28" s="16" t="s">
        <v>43</v>
      </c>
      <c r="G28" s="101" t="s">
        <v>0</v>
      </c>
      <c r="H28" s="16" t="s">
        <v>261</v>
      </c>
      <c r="I28" s="16" t="s">
        <v>262</v>
      </c>
      <c r="J28" s="10" t="s">
        <v>269</v>
      </c>
      <c r="K28" s="10" t="s">
        <v>43</v>
      </c>
      <c r="L28" s="10" t="s">
        <v>264</v>
      </c>
      <c r="M28" s="10" t="s">
        <v>265</v>
      </c>
      <c r="N28" s="101" t="s">
        <v>0</v>
      </c>
      <c r="O28" s="16" t="s">
        <v>261</v>
      </c>
      <c r="P28" s="16" t="s">
        <v>262</v>
      </c>
    </row>
    <row r="29" spans="1:21" x14ac:dyDescent="0.2">
      <c r="A29" s="94" t="s">
        <v>244</v>
      </c>
      <c r="B29" s="102">
        <v>7927673.0393279996</v>
      </c>
      <c r="C29" s="103">
        <v>6153679.9213372301</v>
      </c>
      <c r="D29" s="103">
        <v>5429934.9510639803</v>
      </c>
      <c r="E29" s="14" t="s">
        <v>175</v>
      </c>
      <c r="F29" s="35">
        <v>7420000</v>
      </c>
      <c r="G29" s="29">
        <f>B29/1000</f>
        <v>7927.6730393279995</v>
      </c>
      <c r="H29" s="29">
        <f t="shared" ref="H29:I30" si="7">C29/1000</f>
        <v>6153.6799213372306</v>
      </c>
      <c r="I29" s="29">
        <f t="shared" si="7"/>
        <v>5429.9349510639804</v>
      </c>
      <c r="J29" t="s">
        <v>270</v>
      </c>
      <c r="K29" t="s">
        <v>271</v>
      </c>
      <c r="L29">
        <v>5000</v>
      </c>
      <c r="M29">
        <v>10000</v>
      </c>
      <c r="N29" s="44">
        <f>(G29-$L29)/($M29-$L29)</f>
        <v>0.58553460786559985</v>
      </c>
      <c r="O29" s="44">
        <f t="shared" ref="O29:P45" si="8">(H29-$L29)/($M29-$L29)</f>
        <v>0.2307359842674461</v>
      </c>
      <c r="P29" s="44">
        <f t="shared" si="8"/>
        <v>8.5986990212796086E-2</v>
      </c>
    </row>
    <row r="30" spans="1:21" x14ac:dyDescent="0.2">
      <c r="A30" s="94" t="s">
        <v>245</v>
      </c>
      <c r="B30" s="102">
        <v>746183.80259337404</v>
      </c>
      <c r="C30" s="103">
        <v>239099.45850286999</v>
      </c>
      <c r="D30" s="103">
        <v>156462.35383484099</v>
      </c>
      <c r="E30" s="14" t="s">
        <v>175</v>
      </c>
      <c r="F30" s="104">
        <v>324000</v>
      </c>
      <c r="G30" s="29">
        <f t="shared" ref="G30" si="9">B30/1000</f>
        <v>746.18380259337403</v>
      </c>
      <c r="H30" s="29">
        <f t="shared" si="7"/>
        <v>239.09945850286999</v>
      </c>
      <c r="I30" s="29">
        <f>D30/1000</f>
        <v>156.462353834841</v>
      </c>
      <c r="J30" t="s">
        <v>272</v>
      </c>
      <c r="K30" t="s">
        <v>271</v>
      </c>
      <c r="L30">
        <v>100</v>
      </c>
      <c r="M30">
        <v>1000</v>
      </c>
      <c r="N30" s="44">
        <f>(G30-$L30)/($M30-$L30)</f>
        <v>0.71798200288152669</v>
      </c>
      <c r="O30" s="44">
        <f>(H30-$L30)/($M30-$L30)</f>
        <v>0.15455495389207777</v>
      </c>
      <c r="P30" s="44">
        <f>(I30-$L30)/($M30-$L30)</f>
        <v>6.273594870537888E-2</v>
      </c>
    </row>
    <row r="31" spans="1:21" x14ac:dyDescent="0.2">
      <c r="A31" s="94" t="s">
        <v>246</v>
      </c>
      <c r="B31" s="102">
        <v>91815.9915644875</v>
      </c>
      <c r="C31" s="103">
        <v>66336.852409592902</v>
      </c>
      <c r="D31" s="103">
        <v>53026.930067018096</v>
      </c>
      <c r="E31" s="14" t="s">
        <v>273</v>
      </c>
      <c r="G31" s="29">
        <f>B31/1000</f>
        <v>91.815991564487504</v>
      </c>
      <c r="H31" s="29">
        <f>C31/1000</f>
        <v>66.336852409592908</v>
      </c>
      <c r="I31" s="29">
        <f>D31/1000</f>
        <v>53.0269300670181</v>
      </c>
      <c r="J31" t="s">
        <v>274</v>
      </c>
      <c r="K31" t="s">
        <v>275</v>
      </c>
      <c r="L31">
        <v>50</v>
      </c>
      <c r="M31">
        <v>100</v>
      </c>
      <c r="N31" s="44">
        <f>(G31-$L31)/($M31-$L31)</f>
        <v>0.83631983128975007</v>
      </c>
      <c r="O31" s="44">
        <f t="shared" si="8"/>
        <v>0.32673704819185817</v>
      </c>
      <c r="P31" s="44">
        <f t="shared" si="8"/>
        <v>6.0538601340361993E-2</v>
      </c>
    </row>
    <row r="32" spans="1:21" x14ac:dyDescent="0.2">
      <c r="A32" s="94" t="s">
        <v>247</v>
      </c>
      <c r="B32" s="102">
        <v>31404.7759890823</v>
      </c>
      <c r="C32" s="103">
        <v>30242.691156864901</v>
      </c>
      <c r="D32" s="103">
        <v>29106.517222447601</v>
      </c>
      <c r="E32" s="14" t="s">
        <v>273</v>
      </c>
      <c r="G32" s="29">
        <f>B32/1000</f>
        <v>31.4047759890823</v>
      </c>
      <c r="H32" s="29">
        <f t="shared" ref="H32:I32" si="10">C32/1000</f>
        <v>30.2426911568649</v>
      </c>
      <c r="I32" s="29">
        <f t="shared" si="10"/>
        <v>29.1065172224476</v>
      </c>
      <c r="J32" t="s">
        <v>276</v>
      </c>
      <c r="K32" t="s">
        <v>275</v>
      </c>
      <c r="L32">
        <v>20</v>
      </c>
      <c r="M32">
        <v>35</v>
      </c>
      <c r="N32" s="44">
        <f>(G32-$L32)/($M32-$L32)</f>
        <v>0.76031839927215328</v>
      </c>
      <c r="O32" s="44">
        <f t="shared" si="8"/>
        <v>0.68284607712432666</v>
      </c>
      <c r="P32" s="44">
        <f t="shared" si="8"/>
        <v>0.60710114816317329</v>
      </c>
    </row>
    <row r="33" spans="1:16" ht="16.5" x14ac:dyDescent="0.2">
      <c r="A33" s="94" t="s">
        <v>248</v>
      </c>
      <c r="B33" s="102">
        <v>1069837595.60068</v>
      </c>
      <c r="C33" s="103">
        <v>1036217125.1741199</v>
      </c>
      <c r="D33" s="103">
        <v>1003332479.7115901</v>
      </c>
      <c r="E33" s="14" t="s">
        <v>277</v>
      </c>
      <c r="G33" s="90">
        <f>B33/1000000</f>
        <v>1069.8375956006801</v>
      </c>
      <c r="H33" s="90">
        <f t="shared" ref="H33:I33" si="11">C33/1000000</f>
        <v>1036.2171251741199</v>
      </c>
      <c r="I33" s="90">
        <f t="shared" si="11"/>
        <v>1003.3324797115901</v>
      </c>
      <c r="J33" t="s">
        <v>278</v>
      </c>
      <c r="K33" t="s">
        <v>279</v>
      </c>
      <c r="L33">
        <v>500</v>
      </c>
      <c r="M33">
        <v>1500</v>
      </c>
      <c r="N33" s="44">
        <f t="shared" ref="N33:P48" si="12">(G33-$L33)/($M33-$L33)</f>
        <v>0.56983759560068004</v>
      </c>
      <c r="O33" s="44">
        <f t="shared" si="8"/>
        <v>0.5362171251741199</v>
      </c>
      <c r="P33" s="44">
        <f t="shared" si="8"/>
        <v>0.50333247971159001</v>
      </c>
    </row>
    <row r="34" spans="1:16" x14ac:dyDescent="0.2">
      <c r="A34" s="17" t="s">
        <v>249</v>
      </c>
      <c r="B34" s="105">
        <v>3.7170915703744898</v>
      </c>
      <c r="C34" s="105">
        <v>2.8746493456772901</v>
      </c>
      <c r="D34" s="105">
        <v>2.3425805721843198</v>
      </c>
      <c r="E34" s="14" t="s">
        <v>280</v>
      </c>
      <c r="G34" s="28">
        <f>B34</f>
        <v>3.7170915703744898</v>
      </c>
      <c r="H34" s="28">
        <f t="shared" ref="H34:I36" si="13">C34</f>
        <v>2.8746493456772901</v>
      </c>
      <c r="I34" s="28">
        <f t="shared" si="13"/>
        <v>2.3425805721843198</v>
      </c>
      <c r="J34" t="s">
        <v>281</v>
      </c>
      <c r="K34" t="s">
        <v>282</v>
      </c>
      <c r="L34">
        <v>0</v>
      </c>
      <c r="M34">
        <v>5</v>
      </c>
      <c r="N34" s="44">
        <f t="shared" si="12"/>
        <v>0.743418314074898</v>
      </c>
      <c r="O34" s="44">
        <f t="shared" si="8"/>
        <v>0.57492986913545807</v>
      </c>
      <c r="P34" s="44">
        <f t="shared" si="8"/>
        <v>0.46851611443686397</v>
      </c>
    </row>
    <row r="35" spans="1:16" x14ac:dyDescent="0.2">
      <c r="A35" s="17" t="s">
        <v>250</v>
      </c>
      <c r="B35" s="103">
        <v>3502.7014600000002</v>
      </c>
      <c r="C35" s="103">
        <v>3502.7014600000002</v>
      </c>
      <c r="D35" s="103">
        <v>3502.7014600000002</v>
      </c>
      <c r="E35" s="14" t="s">
        <v>280</v>
      </c>
      <c r="G35" s="28">
        <f t="shared" ref="G35:G36" si="14">B35</f>
        <v>3502.7014600000002</v>
      </c>
      <c r="H35" s="28">
        <f t="shared" si="13"/>
        <v>3502.7014600000002</v>
      </c>
      <c r="I35" s="28">
        <f t="shared" si="13"/>
        <v>3502.7014600000002</v>
      </c>
      <c r="J35" t="s">
        <v>283</v>
      </c>
      <c r="K35" t="s">
        <v>282</v>
      </c>
      <c r="L35">
        <v>3000</v>
      </c>
      <c r="M35">
        <v>5000</v>
      </c>
      <c r="N35" s="44">
        <f t="shared" si="12"/>
        <v>0.25135073000000013</v>
      </c>
      <c r="O35" s="44">
        <f t="shared" si="8"/>
        <v>0.25135073000000013</v>
      </c>
      <c r="P35" s="44">
        <f t="shared" si="8"/>
        <v>0.25135073000000013</v>
      </c>
    </row>
    <row r="36" spans="1:16" x14ac:dyDescent="0.2">
      <c r="A36" s="17" t="s">
        <v>251</v>
      </c>
      <c r="B36" s="103">
        <v>51.647880257758302</v>
      </c>
      <c r="C36" s="106">
        <v>40.932524068158699</v>
      </c>
      <c r="D36" s="103">
        <v>38.715012402786698</v>
      </c>
      <c r="E36" s="14" t="s">
        <v>280</v>
      </c>
      <c r="G36" s="28">
        <f t="shared" si="14"/>
        <v>51.647880257758302</v>
      </c>
      <c r="H36" s="28">
        <f t="shared" si="13"/>
        <v>40.932524068158699</v>
      </c>
      <c r="I36" s="28">
        <f t="shared" si="13"/>
        <v>38.715012402786698</v>
      </c>
      <c r="J36" t="s">
        <v>284</v>
      </c>
      <c r="K36" t="s">
        <v>282</v>
      </c>
      <c r="L36">
        <v>30</v>
      </c>
      <c r="M36">
        <v>60</v>
      </c>
      <c r="N36" s="44">
        <f t="shared" si="12"/>
        <v>0.72159600859194339</v>
      </c>
      <c r="O36" s="44">
        <f t="shared" si="8"/>
        <v>0.36441746893862331</v>
      </c>
      <c r="P36" s="44">
        <f t="shared" si="8"/>
        <v>0.29050041342622329</v>
      </c>
    </row>
    <row r="37" spans="1:16" ht="14.25" customHeight="1" x14ac:dyDescent="0.2">
      <c r="A37" s="95" t="s">
        <v>252</v>
      </c>
      <c r="B37" s="102">
        <v>533101.17991752096</v>
      </c>
      <c r="C37" s="103">
        <v>509318.83216999099</v>
      </c>
      <c r="D37" s="103">
        <v>494217.58085734898</v>
      </c>
      <c r="E37" s="14" t="s">
        <v>34</v>
      </c>
      <c r="G37" s="90">
        <f>B37/1000</f>
        <v>533.10117991752099</v>
      </c>
      <c r="H37" s="90">
        <f t="shared" ref="H37:I37" si="15">C37/1000</f>
        <v>509.31883216999097</v>
      </c>
      <c r="I37" s="90">
        <f t="shared" si="15"/>
        <v>494.21758085734899</v>
      </c>
      <c r="J37" t="s">
        <v>285</v>
      </c>
      <c r="K37" t="s">
        <v>286</v>
      </c>
      <c r="L37">
        <v>400</v>
      </c>
      <c r="M37">
        <v>600</v>
      </c>
      <c r="N37" s="44">
        <f t="shared" si="12"/>
        <v>0.66550589958760498</v>
      </c>
      <c r="O37" s="44">
        <f t="shared" si="8"/>
        <v>0.54659416084995482</v>
      </c>
      <c r="P37" s="44">
        <f t="shared" si="8"/>
        <v>0.47108790428674496</v>
      </c>
    </row>
    <row r="38" spans="1:16" x14ac:dyDescent="0.2">
      <c r="A38" s="95" t="s">
        <v>253</v>
      </c>
      <c r="B38" s="102">
        <v>17816579.1034717</v>
      </c>
      <c r="C38" s="103">
        <v>19476817.047529999</v>
      </c>
      <c r="D38" s="103">
        <v>20247600.433104798</v>
      </c>
      <c r="E38" s="14" t="s">
        <v>34</v>
      </c>
      <c r="G38" s="90">
        <f>B38/1000000</f>
        <v>17.8165791034717</v>
      </c>
      <c r="H38" s="90">
        <f>C38/1000000</f>
        <v>19.476817047529998</v>
      </c>
      <c r="I38" s="90">
        <f>D38/1000000</f>
        <v>20.247600433104797</v>
      </c>
      <c r="J38" t="s">
        <v>287</v>
      </c>
      <c r="K38" t="s">
        <v>288</v>
      </c>
      <c r="L38">
        <v>15</v>
      </c>
      <c r="M38">
        <v>20</v>
      </c>
      <c r="N38" s="44">
        <f>(G38-$L38)/($M38-$L38)</f>
        <v>0.56331582069433994</v>
      </c>
      <c r="O38" s="44">
        <f>(H38-$L38)/($M38-$L38)</f>
        <v>0.89536340950599969</v>
      </c>
      <c r="P38" s="44">
        <f>(I38-$L38)/($M38-$L38)</f>
        <v>1.0495200866209593</v>
      </c>
    </row>
    <row r="39" spans="1:16" x14ac:dyDescent="0.2">
      <c r="A39" s="95" t="s">
        <v>185</v>
      </c>
      <c r="B39" s="102">
        <v>1427042000</v>
      </c>
      <c r="C39" s="103">
        <v>1427042000</v>
      </c>
      <c r="D39" s="103">
        <v>1427042000</v>
      </c>
      <c r="E39" s="14" t="s">
        <v>34</v>
      </c>
      <c r="G39" s="90">
        <f>B39/1000000</f>
        <v>1427.0419999999999</v>
      </c>
      <c r="H39" s="90">
        <f t="shared" ref="H39:I48" si="16">C39/1000000</f>
        <v>1427.0419999999999</v>
      </c>
      <c r="I39" s="90">
        <f t="shared" si="16"/>
        <v>1427.0419999999999</v>
      </c>
      <c r="J39" t="s">
        <v>289</v>
      </c>
      <c r="K39" t="s">
        <v>288</v>
      </c>
      <c r="L39">
        <v>1000</v>
      </c>
      <c r="M39">
        <v>2000</v>
      </c>
      <c r="N39" s="44">
        <f t="shared" si="12"/>
        <v>0.42704199999999992</v>
      </c>
      <c r="O39" s="44">
        <f t="shared" si="8"/>
        <v>0.42704199999999992</v>
      </c>
      <c r="P39" s="44">
        <f t="shared" si="8"/>
        <v>0.42704199999999992</v>
      </c>
    </row>
    <row r="40" spans="1:16" x14ac:dyDescent="0.2">
      <c r="A40" s="95" t="s">
        <v>254</v>
      </c>
      <c r="B40" s="102">
        <v>206702868.33322299</v>
      </c>
      <c r="C40" s="103">
        <v>212893433.37202299</v>
      </c>
      <c r="D40" s="103">
        <v>224672648.47568899</v>
      </c>
      <c r="E40" s="14" t="s">
        <v>34</v>
      </c>
      <c r="F40" s="30">
        <f>C38-B38</f>
        <v>1660237.9440582991</v>
      </c>
      <c r="G40" s="90">
        <f t="shared" ref="G40:G44" si="17">B40/1000000</f>
        <v>206.70286833322299</v>
      </c>
      <c r="H40" s="90">
        <f t="shared" si="16"/>
        <v>212.893433372023</v>
      </c>
      <c r="I40" s="90">
        <f t="shared" si="16"/>
        <v>224.67264847568899</v>
      </c>
      <c r="J40" t="s">
        <v>290</v>
      </c>
      <c r="K40" t="s">
        <v>288</v>
      </c>
      <c r="L40">
        <v>200</v>
      </c>
      <c r="M40">
        <v>300</v>
      </c>
      <c r="N40" s="44">
        <f t="shared" si="12"/>
        <v>6.7028683332229944E-2</v>
      </c>
      <c r="O40" s="44">
        <f t="shared" si="8"/>
        <v>0.12893433372022997</v>
      </c>
      <c r="P40" s="44">
        <f t="shared" si="8"/>
        <v>0.24672648475688988</v>
      </c>
    </row>
    <row r="41" spans="1:16" x14ac:dyDescent="0.2">
      <c r="A41" s="95" t="s">
        <v>7</v>
      </c>
      <c r="B41" s="102">
        <v>2088886000</v>
      </c>
      <c r="C41" s="103">
        <v>2088886000</v>
      </c>
      <c r="D41" s="103">
        <v>2088886000</v>
      </c>
      <c r="E41" s="14" t="s">
        <v>34</v>
      </c>
      <c r="F41" s="30">
        <f>F42-F43</f>
        <v>8996474.1032850146</v>
      </c>
      <c r="G41" s="90">
        <f t="shared" si="17"/>
        <v>2088.886</v>
      </c>
      <c r="H41" s="90">
        <f t="shared" si="16"/>
        <v>2088.886</v>
      </c>
      <c r="I41" s="90">
        <f t="shared" si="16"/>
        <v>2088.886</v>
      </c>
      <c r="J41" t="s">
        <v>291</v>
      </c>
      <c r="K41" t="s">
        <v>288</v>
      </c>
      <c r="L41">
        <v>2000</v>
      </c>
      <c r="M41">
        <v>2500</v>
      </c>
      <c r="N41" s="44">
        <f t="shared" si="12"/>
        <v>0.17777199999999993</v>
      </c>
      <c r="O41" s="44">
        <f t="shared" si="8"/>
        <v>0.17777199999999993</v>
      </c>
      <c r="P41" s="44">
        <f t="shared" si="8"/>
        <v>0.17777199999999993</v>
      </c>
    </row>
    <row r="42" spans="1:16" x14ac:dyDescent="0.2">
      <c r="A42" s="95" t="s">
        <v>255</v>
      </c>
      <c r="B42" s="102">
        <v>441386374.25876701</v>
      </c>
      <c r="C42" s="103">
        <v>438580465.194282</v>
      </c>
      <c r="D42" s="103">
        <v>436040276.29394001</v>
      </c>
      <c r="E42" s="14" t="s">
        <v>34</v>
      </c>
      <c r="F42" s="30">
        <f>B42-B40</f>
        <v>234683505.92554402</v>
      </c>
      <c r="G42" s="90">
        <f t="shared" si="17"/>
        <v>441.38637425876703</v>
      </c>
      <c r="H42" s="90">
        <f t="shared" si="16"/>
        <v>438.580465194282</v>
      </c>
      <c r="I42" s="90">
        <f t="shared" si="16"/>
        <v>436.04027629394</v>
      </c>
      <c r="J42" t="s">
        <v>292</v>
      </c>
      <c r="K42" t="s">
        <v>288</v>
      </c>
      <c r="L42">
        <v>400</v>
      </c>
      <c r="M42">
        <v>500</v>
      </c>
      <c r="N42" s="44">
        <f t="shared" si="12"/>
        <v>0.41386374258767034</v>
      </c>
      <c r="O42" s="44">
        <f t="shared" si="8"/>
        <v>0.38580465194281999</v>
      </c>
      <c r="P42" s="44">
        <f t="shared" si="8"/>
        <v>0.36040276293939999</v>
      </c>
    </row>
    <row r="43" spans="1:16" x14ac:dyDescent="0.2">
      <c r="A43" s="95" t="s">
        <v>256</v>
      </c>
      <c r="B43" s="102">
        <v>0</v>
      </c>
      <c r="C43" s="103">
        <v>7783913.5477414699</v>
      </c>
      <c r="D43" s="103">
        <v>8636989.0436775498</v>
      </c>
      <c r="E43" s="14" t="s">
        <v>34</v>
      </c>
      <c r="F43" s="30">
        <f>C42-C40</f>
        <v>225687031.82225901</v>
      </c>
      <c r="G43" s="90">
        <f t="shared" si="17"/>
        <v>0</v>
      </c>
      <c r="H43" s="90">
        <f t="shared" si="16"/>
        <v>7.78391354774147</v>
      </c>
      <c r="I43" s="90">
        <f t="shared" si="16"/>
        <v>8.6369890436775503</v>
      </c>
      <c r="J43" t="s">
        <v>293</v>
      </c>
      <c r="K43" t="s">
        <v>288</v>
      </c>
      <c r="L43">
        <v>0</v>
      </c>
      <c r="M43">
        <v>10</v>
      </c>
      <c r="N43" s="44">
        <f t="shared" si="12"/>
        <v>0</v>
      </c>
      <c r="O43" s="44">
        <f t="shared" si="8"/>
        <v>0.778391354774147</v>
      </c>
      <c r="P43" s="44">
        <f t="shared" si="8"/>
        <v>0.86369890436775498</v>
      </c>
    </row>
    <row r="44" spans="1:16" x14ac:dyDescent="0.2">
      <c r="A44" s="95" t="s">
        <v>257</v>
      </c>
      <c r="B44" s="103">
        <v>878177825.64215398</v>
      </c>
      <c r="C44" s="103">
        <v>875328809.49030006</v>
      </c>
      <c r="D44" s="103">
        <v>861106798.84796596</v>
      </c>
      <c r="E44" s="14" t="s">
        <v>34</v>
      </c>
      <c r="F44" s="30">
        <f>B44-C44</f>
        <v>2849016.151853919</v>
      </c>
      <c r="G44" s="90">
        <f t="shared" si="17"/>
        <v>878.17782564215395</v>
      </c>
      <c r="H44" s="90">
        <f t="shared" si="16"/>
        <v>875.32880949030005</v>
      </c>
      <c r="I44" s="90">
        <f t="shared" si="16"/>
        <v>861.10679884796593</v>
      </c>
      <c r="J44" t="s">
        <v>294</v>
      </c>
      <c r="K44" t="s">
        <v>288</v>
      </c>
      <c r="L44">
        <v>800</v>
      </c>
      <c r="M44">
        <v>1000</v>
      </c>
      <c r="N44" s="44">
        <f t="shared" si="12"/>
        <v>0.39088912821076977</v>
      </c>
      <c r="O44" s="44">
        <f t="shared" si="8"/>
        <v>0.37664404745150021</v>
      </c>
      <c r="P44" s="44">
        <f t="shared" si="8"/>
        <v>0.30553399423982969</v>
      </c>
    </row>
    <row r="45" spans="1:16" x14ac:dyDescent="0.2">
      <c r="A45" s="107" t="s">
        <v>295</v>
      </c>
      <c r="B45" s="108">
        <v>0</v>
      </c>
      <c r="C45" s="108">
        <v>0</v>
      </c>
      <c r="D45" s="108">
        <v>0</v>
      </c>
      <c r="E45" s="26" t="s">
        <v>175</v>
      </c>
      <c r="F45" s="18"/>
      <c r="G45" s="109">
        <f>B45/1000000</f>
        <v>0</v>
      </c>
      <c r="H45" s="109">
        <f t="shared" si="16"/>
        <v>0</v>
      </c>
      <c r="I45" s="109">
        <f t="shared" si="16"/>
        <v>0</v>
      </c>
      <c r="J45" s="18" t="s">
        <v>296</v>
      </c>
      <c r="K45" s="18" t="s">
        <v>275</v>
      </c>
      <c r="L45">
        <v>0</v>
      </c>
      <c r="M45">
        <v>50</v>
      </c>
      <c r="N45" s="44">
        <f t="shared" si="12"/>
        <v>0</v>
      </c>
      <c r="O45" s="44">
        <f t="shared" si="8"/>
        <v>0</v>
      </c>
      <c r="P45" s="44">
        <f t="shared" si="8"/>
        <v>0</v>
      </c>
    </row>
    <row r="46" spans="1:16" x14ac:dyDescent="0.2">
      <c r="A46" s="96" t="s">
        <v>260</v>
      </c>
      <c r="B46" s="103">
        <v>0</v>
      </c>
      <c r="C46" s="103">
        <v>0</v>
      </c>
      <c r="D46" s="103">
        <v>1255499.3599159301</v>
      </c>
      <c r="E46" s="14" t="s">
        <v>175</v>
      </c>
      <c r="G46" s="110">
        <f t="shared" ref="G46:G48" si="18">B46/1000000</f>
        <v>0</v>
      </c>
      <c r="H46" s="110">
        <f t="shared" si="16"/>
        <v>0</v>
      </c>
      <c r="I46" s="110">
        <f t="shared" si="16"/>
        <v>1.2554993599159301</v>
      </c>
      <c r="J46" t="s">
        <v>297</v>
      </c>
      <c r="K46" t="s">
        <v>275</v>
      </c>
      <c r="L46">
        <v>0</v>
      </c>
      <c r="M46">
        <v>2</v>
      </c>
      <c r="N46" s="44">
        <f t="shared" si="12"/>
        <v>0</v>
      </c>
      <c r="O46" s="44">
        <f t="shared" si="12"/>
        <v>0</v>
      </c>
      <c r="P46" s="44">
        <f t="shared" si="12"/>
        <v>0.62774967995796505</v>
      </c>
    </row>
    <row r="47" spans="1:16" x14ac:dyDescent="0.2">
      <c r="A47" s="96" t="s">
        <v>258</v>
      </c>
      <c r="B47" s="103">
        <v>1708604315.7542801</v>
      </c>
      <c r="C47" s="103">
        <v>1699551548.95875</v>
      </c>
      <c r="D47" s="103">
        <v>1694748730.141</v>
      </c>
      <c r="E47" s="14" t="s">
        <v>175</v>
      </c>
      <c r="G47" s="110">
        <f>B47/1000000</f>
        <v>1708.6043157542802</v>
      </c>
      <c r="H47" s="110">
        <f t="shared" si="16"/>
        <v>1699.5515489587501</v>
      </c>
      <c r="I47" s="110">
        <f t="shared" si="16"/>
        <v>1694.7487301410001</v>
      </c>
      <c r="J47" t="s">
        <v>289</v>
      </c>
      <c r="K47" t="s">
        <v>275</v>
      </c>
      <c r="L47">
        <v>1000</v>
      </c>
      <c r="M47">
        <v>2000</v>
      </c>
      <c r="N47" s="44">
        <f t="shared" si="12"/>
        <v>0.70860431575428018</v>
      </c>
      <c r="O47" s="44">
        <f t="shared" si="12"/>
        <v>0.69955154895875016</v>
      </c>
      <c r="P47" s="44">
        <f t="shared" si="12"/>
        <v>0.69474873014100014</v>
      </c>
    </row>
    <row r="48" spans="1:16" x14ac:dyDescent="0.2">
      <c r="A48" s="96" t="s">
        <v>259</v>
      </c>
      <c r="B48" s="24">
        <v>510332916.472238</v>
      </c>
      <c r="C48" s="24">
        <v>506316375.70941299</v>
      </c>
      <c r="D48" s="24">
        <v>501231655.37221301</v>
      </c>
      <c r="E48" s="14" t="s">
        <v>175</v>
      </c>
      <c r="G48" s="110">
        <f t="shared" si="18"/>
        <v>510.33291647223803</v>
      </c>
      <c r="H48" s="110">
        <f t="shared" si="16"/>
        <v>506.31637570941297</v>
      </c>
      <c r="I48" s="110">
        <f t="shared" si="16"/>
        <v>501.23165537221303</v>
      </c>
      <c r="J48" t="s">
        <v>298</v>
      </c>
      <c r="K48" t="s">
        <v>275</v>
      </c>
      <c r="L48">
        <v>450</v>
      </c>
      <c r="M48">
        <v>550</v>
      </c>
      <c r="N48" s="44">
        <f t="shared" si="12"/>
        <v>0.6033291647223803</v>
      </c>
      <c r="O48" s="44">
        <f t="shared" si="12"/>
        <v>0.56316375709412969</v>
      </c>
      <c r="P48" s="44">
        <f t="shared" si="12"/>
        <v>0.51231655372213025</v>
      </c>
    </row>
    <row r="49" spans="1:10" x14ac:dyDescent="0.2">
      <c r="D49" s="44"/>
    </row>
    <row r="50" spans="1:10" x14ac:dyDescent="0.2">
      <c r="B50" s="10" t="s">
        <v>299</v>
      </c>
    </row>
    <row r="51" spans="1:10" x14ac:dyDescent="0.2">
      <c r="A51" s="16" t="s">
        <v>268</v>
      </c>
      <c r="B51" s="101" t="s">
        <v>0</v>
      </c>
      <c r="C51" s="16" t="s">
        <v>261</v>
      </c>
      <c r="D51" s="16" t="s">
        <v>262</v>
      </c>
      <c r="E51" s="16" t="s">
        <v>43</v>
      </c>
      <c r="F51" s="16" t="s">
        <v>268</v>
      </c>
      <c r="G51" s="101" t="s">
        <v>0</v>
      </c>
      <c r="H51" s="16" t="s">
        <v>261</v>
      </c>
      <c r="I51" s="16" t="s">
        <v>262</v>
      </c>
      <c r="J51" s="16" t="s">
        <v>43</v>
      </c>
    </row>
    <row r="52" spans="1:10" x14ac:dyDescent="0.2">
      <c r="A52" s="94" t="s">
        <v>244</v>
      </c>
      <c r="B52" s="14">
        <v>0</v>
      </c>
      <c r="C52" s="111">
        <f>(C29-$F29)/$F29</f>
        <v>-0.17066308337773178</v>
      </c>
      <c r="D52" s="111">
        <f>(D29-$F29)/$F29</f>
        <v>-0.26820283678383017</v>
      </c>
      <c r="E52" s="14" t="s">
        <v>300</v>
      </c>
      <c r="F52" s="94" t="s">
        <v>244</v>
      </c>
      <c r="G52" s="102">
        <v>7927673.0393279996</v>
      </c>
      <c r="H52" s="103">
        <v>6153679.9213372301</v>
      </c>
      <c r="I52" s="103">
        <v>5429934.9510639803</v>
      </c>
      <c r="J52" s="14" t="s">
        <v>175</v>
      </c>
    </row>
    <row r="53" spans="1:10" x14ac:dyDescent="0.2">
      <c r="A53" s="94" t="s">
        <v>245</v>
      </c>
      <c r="B53" s="14">
        <v>0</v>
      </c>
      <c r="C53" s="111">
        <f>(C30-$F30)/$F30</f>
        <v>-0.26203870832447534</v>
      </c>
      <c r="D53" s="111">
        <f>(D30-$F30)/$F30</f>
        <v>-0.51709150050975006</v>
      </c>
      <c r="E53" s="14" t="s">
        <v>300</v>
      </c>
      <c r="F53" s="94" t="s">
        <v>245</v>
      </c>
      <c r="G53" s="102">
        <v>746183.80259337404</v>
      </c>
      <c r="H53" s="103">
        <v>239099.45850286999</v>
      </c>
      <c r="I53" s="103">
        <v>156462.35383484099</v>
      </c>
      <c r="J53" s="14" t="s">
        <v>175</v>
      </c>
    </row>
    <row r="54" spans="1:10" x14ac:dyDescent="0.2">
      <c r="A54" s="94" t="s">
        <v>246</v>
      </c>
      <c r="B54" s="14">
        <v>0</v>
      </c>
      <c r="C54" s="111">
        <f t="shared" ref="C54:D65" si="19">(C31-$B31)/$B31</f>
        <v>-0.27750219456051045</v>
      </c>
      <c r="D54" s="111">
        <f t="shared" si="19"/>
        <v>-0.42246520280974886</v>
      </c>
      <c r="E54" s="14" t="s">
        <v>300</v>
      </c>
      <c r="F54" s="94" t="s">
        <v>246</v>
      </c>
      <c r="G54" s="102">
        <v>91815.9915644875</v>
      </c>
      <c r="H54" s="103">
        <v>66336.852409592902</v>
      </c>
      <c r="I54" s="103">
        <v>53026.930067018096</v>
      </c>
      <c r="J54" s="14" t="s">
        <v>273</v>
      </c>
    </row>
    <row r="55" spans="1:10" x14ac:dyDescent="0.2">
      <c r="A55" s="94" t="s">
        <v>301</v>
      </c>
      <c r="B55" s="14">
        <v>0</v>
      </c>
      <c r="C55" s="111">
        <f t="shared" si="19"/>
        <v>-3.7003442808233734E-2</v>
      </c>
      <c r="D55" s="111">
        <f t="shared" si="19"/>
        <v>-7.3181823281709635E-2</v>
      </c>
      <c r="E55" s="14" t="s">
        <v>300</v>
      </c>
      <c r="F55" s="94" t="s">
        <v>247</v>
      </c>
      <c r="G55" s="102">
        <v>31404.7759890823</v>
      </c>
      <c r="H55" s="103">
        <v>30242.691156864901</v>
      </c>
      <c r="I55" s="103">
        <v>29106.517222447601</v>
      </c>
      <c r="J55" s="14" t="s">
        <v>273</v>
      </c>
    </row>
    <row r="56" spans="1:10" x14ac:dyDescent="0.2">
      <c r="A56" s="94" t="s">
        <v>248</v>
      </c>
      <c r="B56" s="14">
        <v>0</v>
      </c>
      <c r="C56" s="111">
        <f t="shared" si="19"/>
        <v>-3.142577019616067E-2</v>
      </c>
      <c r="D56" s="111">
        <f t="shared" si="19"/>
        <v>-6.216374911721944E-2</v>
      </c>
      <c r="E56" s="14" t="s">
        <v>300</v>
      </c>
      <c r="F56" s="94" t="s">
        <v>248</v>
      </c>
      <c r="G56" s="102">
        <v>1069837595.60068</v>
      </c>
      <c r="H56" s="103">
        <v>1036217125.1741199</v>
      </c>
      <c r="I56" s="103">
        <v>1003332479.7115901</v>
      </c>
      <c r="J56" s="14" t="s">
        <v>277</v>
      </c>
    </row>
    <row r="57" spans="1:10" x14ac:dyDescent="0.2">
      <c r="A57" s="17" t="s">
        <v>249</v>
      </c>
      <c r="B57" s="14">
        <v>0</v>
      </c>
      <c r="C57" s="114">
        <f t="shared" si="19"/>
        <v>-0.22664015904572543</v>
      </c>
      <c r="D57" s="114">
        <f t="shared" si="19"/>
        <v>-0.36978131212723681</v>
      </c>
      <c r="E57" s="14" t="s">
        <v>300</v>
      </c>
      <c r="F57" s="17" t="s">
        <v>249</v>
      </c>
      <c r="G57" s="105">
        <v>3.7170915703744898</v>
      </c>
      <c r="H57" s="105">
        <v>2.8746493456772901</v>
      </c>
      <c r="I57" s="105">
        <v>2.3425805721843198</v>
      </c>
      <c r="J57" s="14" t="s">
        <v>280</v>
      </c>
    </row>
    <row r="58" spans="1:10" x14ac:dyDescent="0.2">
      <c r="A58" s="17" t="s">
        <v>250</v>
      </c>
      <c r="B58" s="14">
        <v>0</v>
      </c>
      <c r="C58" s="111">
        <f t="shared" si="19"/>
        <v>0</v>
      </c>
      <c r="D58" s="111">
        <f t="shared" si="19"/>
        <v>0</v>
      </c>
      <c r="E58" s="14" t="s">
        <v>300</v>
      </c>
      <c r="F58" s="17" t="s">
        <v>250</v>
      </c>
      <c r="G58" s="103">
        <v>3502.7014600000002</v>
      </c>
      <c r="H58" s="103">
        <v>3502.7014600000002</v>
      </c>
      <c r="I58" s="103">
        <v>3502.7014600000002</v>
      </c>
      <c r="J58" s="14" t="s">
        <v>280</v>
      </c>
    </row>
    <row r="59" spans="1:10" x14ac:dyDescent="0.2">
      <c r="A59" s="17" t="s">
        <v>251</v>
      </c>
      <c r="B59" s="14">
        <v>0</v>
      </c>
      <c r="C59" s="114">
        <f t="shared" si="19"/>
        <v>-0.20746942829255791</v>
      </c>
      <c r="D59" s="114">
        <f t="shared" si="19"/>
        <v>-0.25040462048834794</v>
      </c>
      <c r="E59" s="14" t="s">
        <v>300</v>
      </c>
      <c r="F59" s="17" t="s">
        <v>251</v>
      </c>
      <c r="G59" s="103">
        <v>51.647880257758302</v>
      </c>
      <c r="H59" s="106">
        <v>40.932524068158699</v>
      </c>
      <c r="I59" s="103">
        <v>38.715012402786698</v>
      </c>
      <c r="J59" s="14" t="s">
        <v>280</v>
      </c>
    </row>
    <row r="60" spans="1:10" x14ac:dyDescent="0.2">
      <c r="A60" s="95" t="s">
        <v>252</v>
      </c>
      <c r="B60" s="14">
        <v>0</v>
      </c>
      <c r="C60" s="111">
        <f t="shared" si="19"/>
        <v>-4.4611320783813448E-2</v>
      </c>
      <c r="D60" s="111">
        <f>(D37-$B37)/$B37</f>
        <v>-7.2938497465317706E-2</v>
      </c>
      <c r="E60" s="14" t="s">
        <v>300</v>
      </c>
      <c r="F60" s="95" t="s">
        <v>252</v>
      </c>
      <c r="G60" s="102">
        <v>533101.17991752096</v>
      </c>
      <c r="H60" s="103">
        <v>509318.83216999099</v>
      </c>
      <c r="I60" s="103">
        <v>494217.58085734898</v>
      </c>
      <c r="J60" s="14" t="s">
        <v>34</v>
      </c>
    </row>
    <row r="61" spans="1:10" x14ac:dyDescent="0.2">
      <c r="A61" s="95" t="s">
        <v>253</v>
      </c>
      <c r="B61" s="14">
        <v>0</v>
      </c>
      <c r="C61" s="111">
        <f t="shared" si="19"/>
        <v>9.318500113946053E-2</v>
      </c>
      <c r="D61" s="111">
        <f t="shared" si="19"/>
        <v>0.13644714372577813</v>
      </c>
      <c r="E61" s="14" t="s">
        <v>300</v>
      </c>
      <c r="F61" s="95" t="s">
        <v>185</v>
      </c>
      <c r="G61" s="102">
        <v>1427042000</v>
      </c>
      <c r="H61" s="103">
        <v>1427042000</v>
      </c>
      <c r="I61" s="103">
        <v>1427042000</v>
      </c>
      <c r="J61" s="14" t="s">
        <v>34</v>
      </c>
    </row>
    <row r="62" spans="1:10" x14ac:dyDescent="0.2">
      <c r="A62" s="95" t="s">
        <v>185</v>
      </c>
      <c r="B62" s="14">
        <v>0</v>
      </c>
      <c r="C62" s="111">
        <f t="shared" si="19"/>
        <v>0</v>
      </c>
      <c r="D62" s="111">
        <f t="shared" si="19"/>
        <v>0</v>
      </c>
      <c r="E62" s="14" t="s">
        <v>300</v>
      </c>
      <c r="F62" s="95" t="s">
        <v>253</v>
      </c>
      <c r="G62" s="102">
        <v>17816579.1034717</v>
      </c>
      <c r="H62" s="103">
        <v>19476817.047529999</v>
      </c>
      <c r="I62" s="103">
        <v>20247600.433104798</v>
      </c>
      <c r="J62" s="14" t="s">
        <v>34</v>
      </c>
    </row>
    <row r="63" spans="1:10" x14ac:dyDescent="0.2">
      <c r="A63" s="95" t="s">
        <v>254</v>
      </c>
      <c r="B63" s="14">
        <v>0</v>
      </c>
      <c r="C63" s="111">
        <f t="shared" si="19"/>
        <v>2.9949100797286819E-2</v>
      </c>
      <c r="D63" s="111">
        <f t="shared" si="19"/>
        <v>8.6935320672459959E-2</v>
      </c>
      <c r="E63" s="14" t="s">
        <v>300</v>
      </c>
      <c r="F63" s="95" t="s">
        <v>254</v>
      </c>
      <c r="G63" s="102">
        <v>206702868.33322299</v>
      </c>
      <c r="H63" s="103">
        <v>212893433.37202299</v>
      </c>
      <c r="I63" s="103">
        <v>224672648.47568899</v>
      </c>
      <c r="J63" s="14" t="s">
        <v>34</v>
      </c>
    </row>
    <row r="64" spans="1:10" x14ac:dyDescent="0.2">
      <c r="A64" s="95" t="s">
        <v>7</v>
      </c>
      <c r="B64" s="14">
        <v>0</v>
      </c>
      <c r="C64" s="111">
        <f t="shared" si="19"/>
        <v>0</v>
      </c>
      <c r="D64" s="111">
        <f t="shared" si="19"/>
        <v>0</v>
      </c>
      <c r="E64" s="14" t="s">
        <v>300</v>
      </c>
      <c r="F64" s="95" t="s">
        <v>7</v>
      </c>
      <c r="G64" s="102">
        <v>2088886000</v>
      </c>
      <c r="H64" s="103">
        <v>2088886000</v>
      </c>
      <c r="I64" s="103">
        <v>2088886000</v>
      </c>
      <c r="J64" s="14" t="s">
        <v>34</v>
      </c>
    </row>
    <row r="65" spans="1:10" x14ac:dyDescent="0.2">
      <c r="A65" s="95" t="s">
        <v>255</v>
      </c>
      <c r="B65" s="14">
        <v>0</v>
      </c>
      <c r="C65" s="111">
        <f t="shared" si="19"/>
        <v>-6.3570359850755659E-3</v>
      </c>
      <c r="D65" s="111">
        <f t="shared" si="19"/>
        <v>-1.2112059357982808E-2</v>
      </c>
      <c r="E65" s="14" t="s">
        <v>300</v>
      </c>
      <c r="F65" s="95" t="s">
        <v>255</v>
      </c>
      <c r="G65" s="102">
        <v>441386374.25876701</v>
      </c>
      <c r="H65" s="103">
        <v>438580465.194282</v>
      </c>
      <c r="I65" s="103">
        <v>436040276.29394001</v>
      </c>
      <c r="J65" s="14" t="s">
        <v>34</v>
      </c>
    </row>
    <row r="66" spans="1:10" x14ac:dyDescent="0.2">
      <c r="A66" s="95" t="s">
        <v>256</v>
      </c>
      <c r="B66" s="14">
        <v>0</v>
      </c>
      <c r="C66" s="112">
        <f>C43/1000000</f>
        <v>7.78391354774147</v>
      </c>
      <c r="D66" s="112">
        <f>D43/1000000</f>
        <v>8.6369890436775503</v>
      </c>
      <c r="E66" s="14" t="s">
        <v>302</v>
      </c>
      <c r="F66" s="95" t="s">
        <v>256</v>
      </c>
      <c r="G66" s="102">
        <v>0</v>
      </c>
      <c r="H66" s="103">
        <v>7783913.5477414699</v>
      </c>
      <c r="I66" s="103">
        <v>8636989.0436775498</v>
      </c>
      <c r="J66" s="14" t="s">
        <v>34</v>
      </c>
    </row>
    <row r="67" spans="1:10" x14ac:dyDescent="0.2">
      <c r="A67" s="95" t="s">
        <v>257</v>
      </c>
      <c r="B67" s="14">
        <v>0</v>
      </c>
      <c r="C67" s="111">
        <f>(C44-$B44)/$B44</f>
        <v>-3.2442360404290782E-3</v>
      </c>
      <c r="D67" s="111">
        <f>(D44-$B44)/$B44</f>
        <v>-1.9439145803647567E-2</v>
      </c>
      <c r="E67" s="14" t="s">
        <v>300</v>
      </c>
      <c r="F67" s="95" t="s">
        <v>257</v>
      </c>
      <c r="G67" s="103">
        <v>878177825.64215398</v>
      </c>
      <c r="H67" s="103">
        <v>875328809.49030006</v>
      </c>
      <c r="I67" s="103">
        <v>861106798.84796596</v>
      </c>
      <c r="J67" s="14" t="s">
        <v>34</v>
      </c>
    </row>
    <row r="68" spans="1:10" x14ac:dyDescent="0.2">
      <c r="A68" s="107" t="s">
        <v>295</v>
      </c>
      <c r="B68" s="14">
        <v>0</v>
      </c>
      <c r="C68" s="111">
        <v>0</v>
      </c>
      <c r="D68" s="14">
        <v>0</v>
      </c>
      <c r="E68" s="14" t="s">
        <v>300</v>
      </c>
      <c r="F68" s="107" t="s">
        <v>295</v>
      </c>
      <c r="G68" s="108">
        <v>0</v>
      </c>
      <c r="H68" s="108">
        <v>0</v>
      </c>
      <c r="I68" s="108">
        <v>0</v>
      </c>
      <c r="J68" s="26" t="s">
        <v>175</v>
      </c>
    </row>
    <row r="69" spans="1:10" x14ac:dyDescent="0.2">
      <c r="A69" s="96" t="s">
        <v>303</v>
      </c>
      <c r="B69" s="14">
        <v>0</v>
      </c>
      <c r="C69" s="29">
        <v>0</v>
      </c>
      <c r="D69" s="28">
        <f>D46/1000000</f>
        <v>1.2554993599159301</v>
      </c>
      <c r="E69" s="14" t="s">
        <v>304</v>
      </c>
      <c r="F69" s="96" t="s">
        <v>303</v>
      </c>
      <c r="G69" s="103">
        <v>0</v>
      </c>
      <c r="H69" s="103">
        <v>0</v>
      </c>
      <c r="I69" s="103">
        <v>1255499.3599159301</v>
      </c>
      <c r="J69" s="14" t="s">
        <v>175</v>
      </c>
    </row>
    <row r="70" spans="1:10" x14ac:dyDescent="0.2">
      <c r="A70" s="96" t="s">
        <v>258</v>
      </c>
      <c r="B70" s="14">
        <v>0</v>
      </c>
      <c r="C70" s="111">
        <f>(B47-C47)/B47</f>
        <v>5.2983401200960029E-3</v>
      </c>
      <c r="D70" s="111">
        <f>(D47-$B47)/$B47</f>
        <v>-8.1093003719608266E-3</v>
      </c>
      <c r="E70" s="14" t="s">
        <v>300</v>
      </c>
      <c r="F70" s="96" t="s">
        <v>258</v>
      </c>
      <c r="G70" s="103">
        <v>1708604315.7542801</v>
      </c>
      <c r="H70" s="103">
        <v>1699551548.95875</v>
      </c>
      <c r="I70" s="103">
        <v>1694748730.141</v>
      </c>
      <c r="J70" s="14" t="s">
        <v>175</v>
      </c>
    </row>
    <row r="71" spans="1:10" x14ac:dyDescent="0.2">
      <c r="A71" s="96" t="s">
        <v>259</v>
      </c>
      <c r="B71">
        <v>0</v>
      </c>
      <c r="C71" s="111">
        <f>(C48-$B48)/$B48</f>
        <v>-7.8704324827605174E-3</v>
      </c>
      <c r="D71" s="111">
        <f>(D48-$B48)/$B48</f>
        <v>-1.7833968388594242E-2</v>
      </c>
      <c r="E71" s="14" t="s">
        <v>300</v>
      </c>
      <c r="F71" s="96" t="s">
        <v>259</v>
      </c>
      <c r="G71" s="24">
        <v>510332916.472238</v>
      </c>
      <c r="H71" s="24">
        <v>506316375.70941299</v>
      </c>
      <c r="I71" s="24">
        <v>501231655.37221301</v>
      </c>
      <c r="J71" s="14" t="s">
        <v>175</v>
      </c>
    </row>
  </sheetData>
  <mergeCells count="1">
    <mergeCell ref="L27:P27"/>
  </mergeCells>
  <phoneticPr fontId="20" type="noConversion"/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BDA3-DA6A-4B67-9F91-68BF1090F151}">
  <dimension ref="A1:AC46"/>
  <sheetViews>
    <sheetView zoomScale="90" zoomScaleNormal="90" workbookViewId="0">
      <selection activeCell="P33" sqref="P33"/>
    </sheetView>
  </sheetViews>
  <sheetFormatPr defaultRowHeight="14.25" x14ac:dyDescent="0.2"/>
  <cols>
    <col min="14" max="14" width="3.5" bestFit="1" customWidth="1"/>
    <col min="22" max="23" width="8.875" bestFit="1" customWidth="1"/>
    <col min="24" max="25" width="11.875" bestFit="1" customWidth="1"/>
    <col min="26" max="27" width="12" bestFit="1" customWidth="1"/>
    <col min="28" max="28" width="15" customWidth="1"/>
    <col min="29" max="29" width="15.125" bestFit="1" customWidth="1"/>
  </cols>
  <sheetData>
    <row r="1" spans="1:29" x14ac:dyDescent="0.2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s="135" t="s">
        <v>375</v>
      </c>
      <c r="N1" t="s">
        <v>365</v>
      </c>
      <c r="O1" t="s">
        <v>364</v>
      </c>
    </row>
    <row r="2" spans="1:29" x14ac:dyDescent="0.2">
      <c r="A2">
        <v>1</v>
      </c>
      <c r="B2" s="2">
        <v>3742.7485000000001</v>
      </c>
      <c r="C2" s="2">
        <v>4821.2273999999998</v>
      </c>
      <c r="D2" s="2"/>
      <c r="E2" s="2"/>
      <c r="F2" s="2"/>
      <c r="G2" s="2"/>
      <c r="H2" s="2"/>
      <c r="J2" s="2">
        <f>SUM(B2:H2)</f>
        <v>8563.9758999999995</v>
      </c>
      <c r="K2" s="2">
        <f>SUM(J2:J46)</f>
        <v>368058.73080000002</v>
      </c>
      <c r="L2" s="136">
        <f>Q2/K2</f>
        <v>0.90384569679117088</v>
      </c>
      <c r="N2">
        <v>1</v>
      </c>
      <c r="O2">
        <v>8563.98</v>
      </c>
      <c r="P2" s="19">
        <f>O2/J2</f>
        <v>1.0000004787495957</v>
      </c>
      <c r="Q2">
        <f>SUM(O2:O46)</f>
        <v>332668.3</v>
      </c>
      <c r="R2">
        <v>0.42243999999999998</v>
      </c>
      <c r="S2">
        <f>R2*O2</f>
        <v>3617.7677111999997</v>
      </c>
      <c r="T2">
        <f>SUM(S2:S46)</f>
        <v>116837.898742734</v>
      </c>
    </row>
    <row r="3" spans="1:29" x14ac:dyDescent="0.2">
      <c r="A3">
        <v>2</v>
      </c>
      <c r="B3" s="2">
        <v>4579.1678999999995</v>
      </c>
      <c r="C3" s="2">
        <v>3579.2107000000001</v>
      </c>
      <c r="D3" s="2"/>
      <c r="E3" s="2"/>
      <c r="F3" s="2"/>
      <c r="G3" s="2"/>
      <c r="H3" s="2"/>
      <c r="J3" s="2">
        <f>SUM(B3:H3)</f>
        <v>8158.3786</v>
      </c>
      <c r="N3">
        <v>2</v>
      </c>
      <c r="O3">
        <v>8158.38</v>
      </c>
      <c r="P3" s="19">
        <f>O3/J3</f>
        <v>1.0000001716027251</v>
      </c>
      <c r="R3">
        <v>0.42243999999999998</v>
      </c>
      <c r="S3">
        <f t="shared" ref="S3:S46" si="0">R3*O3</f>
        <v>3446.4260472000001</v>
      </c>
      <c r="X3" s="138"/>
    </row>
    <row r="4" spans="1:29" x14ac:dyDescent="0.2">
      <c r="A4">
        <v>3</v>
      </c>
      <c r="B4" s="2">
        <v>8119.3503999999994</v>
      </c>
      <c r="C4" s="2">
        <v>7210.7251999999999</v>
      </c>
      <c r="D4" s="2"/>
      <c r="E4" s="2"/>
      <c r="F4" s="2"/>
      <c r="G4" s="2"/>
      <c r="H4" s="2"/>
      <c r="J4" s="2">
        <f>SUM(B4:H4)</f>
        <v>15330.0756</v>
      </c>
      <c r="N4">
        <v>3</v>
      </c>
      <c r="O4">
        <v>15330.1</v>
      </c>
      <c r="P4" s="19">
        <f>O4/J4</f>
        <v>1.0000015916425096</v>
      </c>
      <c r="R4">
        <v>0.42243999999999998</v>
      </c>
      <c r="S4">
        <f t="shared" si="0"/>
        <v>6476.0474439999998</v>
      </c>
    </row>
    <row r="5" spans="1:29" x14ac:dyDescent="0.2">
      <c r="A5">
        <v>4</v>
      </c>
      <c r="B5" s="2">
        <v>4560.5215000000007</v>
      </c>
      <c r="C5" s="2">
        <v>4407.6315999999997</v>
      </c>
      <c r="D5" s="2"/>
      <c r="E5" s="2"/>
      <c r="F5" s="2"/>
      <c r="G5" s="2"/>
      <c r="H5" s="2"/>
      <c r="J5" s="2">
        <f>SUM(B5:H5)</f>
        <v>8968.1530999999995</v>
      </c>
      <c r="N5">
        <v>4</v>
      </c>
      <c r="O5">
        <v>8968.15</v>
      </c>
      <c r="P5" s="19">
        <f t="shared" ref="P5:P46" si="1">O5/J5</f>
        <v>0.99999965433239535</v>
      </c>
      <c r="R5">
        <v>0.24494299999999999</v>
      </c>
      <c r="S5">
        <f t="shared" si="0"/>
        <v>2196.68556545</v>
      </c>
      <c r="V5" t="s">
        <v>382</v>
      </c>
      <c r="W5" t="s">
        <v>383</v>
      </c>
      <c r="X5" t="s">
        <v>384</v>
      </c>
      <c r="Y5" t="s">
        <v>385</v>
      </c>
      <c r="Z5" t="s">
        <v>386</v>
      </c>
      <c r="AA5" t="s">
        <v>387</v>
      </c>
      <c r="AB5" t="s">
        <v>388</v>
      </c>
      <c r="AC5" t="s">
        <v>389</v>
      </c>
    </row>
    <row r="6" spans="1:29" x14ac:dyDescent="0.2">
      <c r="A6">
        <v>5</v>
      </c>
      <c r="B6" s="2">
        <f>[2]landuse_raw!$E$220+[2]landuse_raw!$E$222</f>
        <v>6104.9120999999996</v>
      </c>
      <c r="C6" s="2">
        <f>[2]landuse_raw!$E$221+[2]landuse_raw!$E$223</f>
        <v>5615.1567999999997</v>
      </c>
      <c r="D6" s="2"/>
      <c r="E6" s="2"/>
      <c r="F6" s="2"/>
      <c r="G6" s="2"/>
      <c r="H6" s="2"/>
      <c r="J6" s="2">
        <f>SUM(B6:H6)</f>
        <v>11720.068899999998</v>
      </c>
      <c r="N6">
        <v>5</v>
      </c>
      <c r="O6">
        <v>11720.1</v>
      </c>
      <c r="P6" s="19">
        <f t="shared" si="1"/>
        <v>1.000002653568018</v>
      </c>
      <c r="R6">
        <v>0.192716</v>
      </c>
      <c r="S6">
        <f t="shared" si="0"/>
        <v>2258.6507916</v>
      </c>
      <c r="U6" t="s">
        <v>376</v>
      </c>
      <c r="V6" s="125">
        <v>0.154076541448953</v>
      </c>
      <c r="W6" s="125">
        <v>1.7727253333718E-2</v>
      </c>
      <c r="X6" s="125">
        <v>0.26153705193524601</v>
      </c>
      <c r="Y6" s="125">
        <v>4.5696837622816497E-2</v>
      </c>
      <c r="Z6" s="125">
        <v>0.22900079387588901</v>
      </c>
      <c r="AA6" s="125">
        <v>3.4134110965681003E-2</v>
      </c>
      <c r="AB6" s="125">
        <v>0.23387641253025299</v>
      </c>
      <c r="AC6" s="125">
        <v>4.43363935024789E-2</v>
      </c>
    </row>
    <row r="7" spans="1:29" x14ac:dyDescent="0.2">
      <c r="A7">
        <v>6</v>
      </c>
      <c r="B7" s="2">
        <f>[2]landuse_raw!$E$252+[2]landuse_raw!$E$253+[2]landuse_raw!$E$255</f>
        <v>3349.2602999999999</v>
      </c>
      <c r="C7" s="2">
        <f>[2]landuse_raw!$E$254+[2]landuse_raw!$E$256</f>
        <v>2736.1118999999999</v>
      </c>
      <c r="D7" s="2"/>
      <c r="E7" s="2"/>
      <c r="F7" s="2"/>
      <c r="G7" s="2"/>
      <c r="H7" s="2"/>
      <c r="J7" s="2">
        <f t="shared" ref="J7:J46" si="2">SUM(B7:H7)</f>
        <v>6085.3721999999998</v>
      </c>
      <c r="N7">
        <v>6</v>
      </c>
      <c r="O7">
        <v>6085.37</v>
      </c>
      <c r="P7" s="19">
        <f t="shared" si="1"/>
        <v>0.99999963847733098</v>
      </c>
      <c r="R7">
        <v>0.24494299999999999</v>
      </c>
      <c r="S7">
        <f t="shared" si="0"/>
        <v>1490.5687839099999</v>
      </c>
      <c r="U7" t="s">
        <v>377</v>
      </c>
      <c r="V7" s="125">
        <v>0.22018820258184499</v>
      </c>
      <c r="W7" s="125">
        <v>3.2604988559375297E-2</v>
      </c>
      <c r="X7" s="125">
        <v>0.13368016457700399</v>
      </c>
      <c r="Y7" s="125">
        <v>4.9324266258037097E-2</v>
      </c>
      <c r="Z7" s="125">
        <v>0.123388460749841</v>
      </c>
      <c r="AA7" s="125">
        <v>7.1854611963671197E-2</v>
      </c>
      <c r="AB7" s="125">
        <v>0.12812714202043299</v>
      </c>
      <c r="AC7" s="125">
        <v>7.2318087604272593E-2</v>
      </c>
    </row>
    <row r="8" spans="1:29" x14ac:dyDescent="0.2">
      <c r="A8">
        <v>7</v>
      </c>
      <c r="B8" s="2">
        <f>[2]landuse_raw!$E$298+[2]landuse_raw!$E$300</f>
        <v>699.2088</v>
      </c>
      <c r="C8" s="2">
        <f>[2]landuse_raw!$E$299+[2]landuse_raw!$E$301</f>
        <v>862.59979999999996</v>
      </c>
      <c r="D8" s="2"/>
      <c r="E8" s="2">
        <f>[2]landuse_raw!$E$297</f>
        <v>176.69300000000001</v>
      </c>
      <c r="F8" s="2"/>
      <c r="G8" s="2"/>
      <c r="H8" s="2"/>
      <c r="J8" s="2">
        <f t="shared" si="2"/>
        <v>1738.5015999999998</v>
      </c>
      <c r="N8">
        <v>7</v>
      </c>
      <c r="O8">
        <v>1561.81</v>
      </c>
      <c r="P8" s="19">
        <f t="shared" si="1"/>
        <v>0.89836558102678776</v>
      </c>
      <c r="R8">
        <v>0.43938300000000002</v>
      </c>
      <c r="S8">
        <f t="shared" si="0"/>
        <v>686.23276323000005</v>
      </c>
      <c r="U8" t="s">
        <v>378</v>
      </c>
      <c r="V8" s="125">
        <v>0.22490670284377201</v>
      </c>
      <c r="W8" s="125">
        <v>5.4842184184305899E-2</v>
      </c>
      <c r="X8" s="125">
        <v>0.22875937140830699</v>
      </c>
      <c r="Y8" s="125">
        <v>0.16816501742406301</v>
      </c>
      <c r="Z8" s="125">
        <v>0.25757700531766498</v>
      </c>
      <c r="AA8" s="125">
        <v>0.16892796173355301</v>
      </c>
      <c r="AB8" s="125">
        <v>0.21242431128330799</v>
      </c>
      <c r="AC8" s="125">
        <v>0.17669942577842301</v>
      </c>
    </row>
    <row r="9" spans="1:29" x14ac:dyDescent="0.2">
      <c r="A9">
        <v>8</v>
      </c>
      <c r="B9" s="2">
        <f>[2]landuse_raw!$E$336</f>
        <v>908.60569999999996</v>
      </c>
      <c r="C9" s="2"/>
      <c r="D9" s="2"/>
      <c r="E9" s="2"/>
      <c r="F9" s="2"/>
      <c r="G9" s="2"/>
      <c r="H9" s="2"/>
      <c r="J9" s="2">
        <f t="shared" si="2"/>
        <v>908.60569999999996</v>
      </c>
      <c r="N9">
        <v>8</v>
      </c>
      <c r="O9">
        <v>908.60599999999999</v>
      </c>
      <c r="P9" s="19">
        <f t="shared" si="1"/>
        <v>1.000000330176225</v>
      </c>
      <c r="R9">
        <v>0</v>
      </c>
      <c r="S9">
        <f t="shared" si="0"/>
        <v>0</v>
      </c>
      <c r="U9" t="s">
        <v>379</v>
      </c>
      <c r="V9" s="125">
        <v>0.22538913765436699</v>
      </c>
      <c r="W9" s="125">
        <v>0.12164179221355299</v>
      </c>
      <c r="X9" s="125">
        <v>0.120659307192268</v>
      </c>
      <c r="Y9" s="125">
        <v>0.19730372778215</v>
      </c>
      <c r="Z9" s="125">
        <v>0.12509245645391501</v>
      </c>
      <c r="AA9" s="125">
        <v>0.146657993309802</v>
      </c>
      <c r="AB9" s="125">
        <v>0.16377713552074</v>
      </c>
      <c r="AC9" s="125">
        <v>0.202948058293932</v>
      </c>
    </row>
    <row r="10" spans="1:29" x14ac:dyDescent="0.2">
      <c r="A10">
        <v>9</v>
      </c>
      <c r="B10" s="2">
        <f>[2]landuse_raw!$E$356+[2]landuse_raw!$E$358</f>
        <v>3584.8926999999999</v>
      </c>
      <c r="C10" s="2">
        <f>[2]landuse_raw!$E$357+[2]landuse_raw!$E$359</f>
        <v>3146.9245000000001</v>
      </c>
      <c r="D10" s="2"/>
      <c r="E10" s="2"/>
      <c r="F10" s="2"/>
      <c r="G10" s="2"/>
      <c r="H10" s="2"/>
      <c r="J10" s="2">
        <f t="shared" si="2"/>
        <v>6731.8171999999995</v>
      </c>
      <c r="N10">
        <v>9</v>
      </c>
      <c r="O10">
        <v>6731.82</v>
      </c>
      <c r="P10" s="19">
        <f t="shared" si="1"/>
        <v>1.0000004159352396</v>
      </c>
      <c r="R10">
        <v>0.16126599999999999</v>
      </c>
      <c r="S10">
        <f t="shared" si="0"/>
        <v>1085.61368412</v>
      </c>
      <c r="U10" t="s">
        <v>380</v>
      </c>
      <c r="V10" s="125">
        <v>0.13964380997293999</v>
      </c>
      <c r="W10" s="125">
        <v>0.12923429304672901</v>
      </c>
      <c r="X10" s="125">
        <v>0.21064199653049101</v>
      </c>
      <c r="Y10" s="125">
        <v>0.198194118850745</v>
      </c>
      <c r="Z10" s="125">
        <v>0.22815250981684199</v>
      </c>
      <c r="AA10" s="125">
        <v>0.17933934954424799</v>
      </c>
      <c r="AB10" s="125">
        <v>0.223924169647083</v>
      </c>
      <c r="AC10" s="125">
        <v>0.14975229872736601</v>
      </c>
    </row>
    <row r="11" spans="1:29" x14ac:dyDescent="0.2">
      <c r="A11">
        <v>10</v>
      </c>
      <c r="B11" s="2">
        <f>[2]landuse_raw!$E$397+[2]landuse_raw!$E$399</f>
        <v>1896.1557</v>
      </c>
      <c r="C11" s="2">
        <f>[2]landuse_raw!$E$398+[2]landuse_raw!$E$400</f>
        <v>2407.3696</v>
      </c>
      <c r="D11" s="2"/>
      <c r="E11" s="2"/>
      <c r="F11" s="2"/>
      <c r="G11" s="2"/>
      <c r="H11" s="2"/>
      <c r="J11" s="2">
        <f t="shared" si="2"/>
        <v>4303.5253000000002</v>
      </c>
      <c r="N11">
        <v>10</v>
      </c>
      <c r="O11">
        <v>4303.53</v>
      </c>
      <c r="P11" s="19">
        <f t="shared" si="1"/>
        <v>1.0000010921278886</v>
      </c>
      <c r="R11">
        <v>0.16126599999999999</v>
      </c>
      <c r="S11">
        <f t="shared" si="0"/>
        <v>694.01306897999996</v>
      </c>
      <c r="U11" t="s">
        <v>381</v>
      </c>
      <c r="V11" s="125">
        <v>3.30643389081045E-2</v>
      </c>
      <c r="W11" s="125">
        <v>0.64121822207230095</v>
      </c>
      <c r="X11" s="125">
        <v>4.1990841766664497E-2</v>
      </c>
      <c r="Y11" s="125">
        <v>0.33858476547216998</v>
      </c>
      <c r="Z11" s="125">
        <v>3.4057507195829402E-2</v>
      </c>
      <c r="AA11" s="125">
        <v>0.39635470589302602</v>
      </c>
      <c r="AB11" s="125">
        <v>3.5139562408163599E-2</v>
      </c>
      <c r="AC11" s="125">
        <v>0.35121446950350899</v>
      </c>
    </row>
    <row r="12" spans="1:29" x14ac:dyDescent="0.2">
      <c r="A12">
        <v>11</v>
      </c>
      <c r="B12" s="2">
        <f>[2]landuse_raw!$E$424+[2]landuse_raw!$E$426</f>
        <v>2986.1527999999998</v>
      </c>
      <c r="C12" s="2">
        <f>[2]landuse_raw!$E$425+[2]landuse_raw!$E$427</f>
        <v>2101.7248</v>
      </c>
      <c r="D12" s="2"/>
      <c r="E12" s="2"/>
      <c r="F12" s="2"/>
      <c r="G12" s="2"/>
      <c r="H12" s="2"/>
      <c r="J12" s="2">
        <f t="shared" si="2"/>
        <v>5087.8775999999998</v>
      </c>
      <c r="N12">
        <v>11</v>
      </c>
      <c r="O12">
        <v>5087.88</v>
      </c>
      <c r="P12" s="19">
        <f t="shared" si="1"/>
        <v>1.000000471709461</v>
      </c>
      <c r="R12">
        <v>0.16126599999999999</v>
      </c>
      <c r="S12">
        <f t="shared" si="0"/>
        <v>820.50205607999999</v>
      </c>
      <c r="U12" s="137" t="s">
        <v>117</v>
      </c>
      <c r="V12" s="115">
        <f>SUM(V6:V11)</f>
        <v>0.99726873340998146</v>
      </c>
      <c r="W12" s="115">
        <f t="shared" ref="W12:AC12" si="3">SUM(W6:W11)</f>
        <v>0.99726873340998212</v>
      </c>
      <c r="X12" s="115">
        <f t="shared" si="3"/>
        <v>0.99726873340998046</v>
      </c>
      <c r="Y12" s="115">
        <f t="shared" si="3"/>
        <v>0.99726873340998157</v>
      </c>
      <c r="Z12" s="115">
        <f t="shared" si="3"/>
        <v>0.99726873340998146</v>
      </c>
      <c r="AA12" s="115">
        <f t="shared" si="3"/>
        <v>0.99726873340998123</v>
      </c>
      <c r="AB12" s="115">
        <f t="shared" si="3"/>
        <v>0.99726873340998057</v>
      </c>
      <c r="AC12" s="115">
        <f t="shared" si="3"/>
        <v>0.99726873340998157</v>
      </c>
    </row>
    <row r="13" spans="1:29" x14ac:dyDescent="0.2">
      <c r="A13">
        <v>12</v>
      </c>
      <c r="B13" s="2">
        <f>[2]landuse_raw!$E$461+[2]landuse_raw!$E$463</f>
        <v>3183.7359000000001</v>
      </c>
      <c r="C13" s="2">
        <f>[2]landuse_raw!$E$462+[2]landuse_raw!$E$464</f>
        <v>3045.2843000000003</v>
      </c>
      <c r="D13" s="2"/>
      <c r="E13" s="2"/>
      <c r="F13" s="2"/>
      <c r="G13" s="2"/>
      <c r="H13" s="2"/>
      <c r="J13" s="2">
        <f t="shared" si="2"/>
        <v>6229.0202000000008</v>
      </c>
      <c r="N13">
        <v>12</v>
      </c>
      <c r="O13">
        <v>6229.02</v>
      </c>
      <c r="P13" s="19">
        <f t="shared" si="1"/>
        <v>0.99999996789222156</v>
      </c>
      <c r="R13">
        <v>0.24494299999999999</v>
      </c>
      <c r="S13">
        <f t="shared" si="0"/>
        <v>1525.7548458600002</v>
      </c>
    </row>
    <row r="14" spans="1:29" x14ac:dyDescent="0.2">
      <c r="A14">
        <v>13</v>
      </c>
      <c r="B14" s="2">
        <f>[2]landuse_raw!$E$499+[2]landuse_raw!$E$501</f>
        <v>3694.8598999999999</v>
      </c>
      <c r="C14" s="2">
        <f>[2]landuse_raw!$E$500+[2]landuse_raw!$E$502</f>
        <v>4031.4450999999999</v>
      </c>
      <c r="D14" s="2">
        <f>[2]landuse_raw!$E$497</f>
        <v>825.44719999999995</v>
      </c>
      <c r="E14" s="2">
        <f>[2]landuse_raw!$E$498</f>
        <v>952.77829999999994</v>
      </c>
      <c r="F14" s="2"/>
      <c r="G14" s="2"/>
      <c r="H14" s="2"/>
      <c r="J14" s="2">
        <f t="shared" si="2"/>
        <v>9504.5305000000008</v>
      </c>
      <c r="N14">
        <v>13</v>
      </c>
      <c r="O14">
        <v>7726.31</v>
      </c>
      <c r="P14" s="19">
        <f t="shared" si="1"/>
        <v>0.81290811787073536</v>
      </c>
      <c r="R14">
        <v>0.15137500000000001</v>
      </c>
      <c r="S14">
        <f t="shared" si="0"/>
        <v>1169.57017625</v>
      </c>
      <c r="U14" s="138"/>
      <c r="V14" s="19"/>
      <c r="W14" s="19"/>
      <c r="X14" s="19"/>
      <c r="Y14" s="19"/>
      <c r="Z14" s="19"/>
      <c r="AA14" s="19"/>
    </row>
    <row r="15" spans="1:29" x14ac:dyDescent="0.2">
      <c r="A15">
        <v>14</v>
      </c>
      <c r="B15" s="2">
        <f>[2]landuse_raw!$E$557+[2]landuse_raw!$E$559</f>
        <v>3125.2642999999998</v>
      </c>
      <c r="C15" s="2">
        <f>[2]landuse_raw!$E$558+[2]landuse_raw!$E$560</f>
        <v>3335.0753000000004</v>
      </c>
      <c r="D15" s="2"/>
      <c r="E15" s="2"/>
      <c r="F15" s="2"/>
      <c r="G15" s="2"/>
      <c r="H15" s="2"/>
      <c r="J15" s="2">
        <f t="shared" si="2"/>
        <v>6460.3396000000002</v>
      </c>
      <c r="N15">
        <v>14</v>
      </c>
      <c r="O15">
        <v>6460.34</v>
      </c>
      <c r="P15" s="19">
        <f t="shared" si="1"/>
        <v>1.0000000619162497</v>
      </c>
      <c r="R15">
        <v>0.15137500000000001</v>
      </c>
      <c r="S15">
        <f t="shared" si="0"/>
        <v>977.93396750000011</v>
      </c>
      <c r="U15" s="138"/>
    </row>
    <row r="16" spans="1:29" x14ac:dyDescent="0.2">
      <c r="A16">
        <v>15</v>
      </c>
      <c r="B16" s="2">
        <f>[2]landuse_raw!$E$598+[2]landuse_raw!$E$599+[2]landuse_raw!$E$601</f>
        <v>4170.0704000000005</v>
      </c>
      <c r="C16" s="2">
        <f>[2]landuse_raw!$E$600+[2]landuse_raw!$E$602</f>
        <v>2593.9578999999999</v>
      </c>
      <c r="D16" s="2"/>
      <c r="E16" s="2"/>
      <c r="F16" s="2"/>
      <c r="G16" s="2"/>
      <c r="H16" s="2"/>
      <c r="J16" s="2">
        <f t="shared" si="2"/>
        <v>6764.0282999999999</v>
      </c>
      <c r="N16">
        <v>15</v>
      </c>
      <c r="O16">
        <v>6764.03</v>
      </c>
      <c r="P16" s="19">
        <f t="shared" si="1"/>
        <v>1.0000002513295221</v>
      </c>
      <c r="R16">
        <v>0.192716</v>
      </c>
      <c r="S16">
        <f t="shared" si="0"/>
        <v>1303.5368054799999</v>
      </c>
    </row>
    <row r="17" spans="1:27" x14ac:dyDescent="0.2">
      <c r="A17">
        <v>16</v>
      </c>
      <c r="B17" s="2">
        <f>[2]landuse_raw!$E$634+[2]landuse_raw!$E$636</f>
        <v>6880.0941999999995</v>
      </c>
      <c r="C17" s="2">
        <f>[2]landuse_raw!$E$635+[2]landuse_raw!$E$637</f>
        <v>7138.6020000000008</v>
      </c>
      <c r="D17" s="2"/>
      <c r="E17" s="2"/>
      <c r="F17" s="2"/>
      <c r="G17" s="2"/>
      <c r="H17" s="2"/>
      <c r="J17" s="2">
        <f t="shared" si="2"/>
        <v>14018.6962</v>
      </c>
      <c r="N17">
        <v>16</v>
      </c>
      <c r="O17">
        <v>14018.7</v>
      </c>
      <c r="P17" s="19">
        <f t="shared" si="1"/>
        <v>1.0000002710665776</v>
      </c>
      <c r="R17">
        <v>0.43938300000000002</v>
      </c>
      <c r="S17">
        <f t="shared" si="0"/>
        <v>6159.5784621000003</v>
      </c>
      <c r="V17" s="19"/>
      <c r="W17" s="19"/>
      <c r="X17" s="19"/>
      <c r="Y17" s="19"/>
      <c r="Z17" s="19"/>
      <c r="AA17" s="19"/>
    </row>
    <row r="18" spans="1:27" x14ac:dyDescent="0.2">
      <c r="A18">
        <v>17</v>
      </c>
      <c r="B18" s="2">
        <f>[2]landuse_raw!$E$668+[2]landuse_raw!$E$670</f>
        <v>4097.2016000000003</v>
      </c>
      <c r="C18" s="2">
        <f>[2]landuse_raw!$E$669+[2]landuse_raw!$E$671</f>
        <v>5460.5600999999997</v>
      </c>
      <c r="D18" s="2">
        <f>[2]landuse_raw!$E$666</f>
        <v>1220.1469999999999</v>
      </c>
      <c r="E18" s="2">
        <f>[2]landuse_raw!$E$667</f>
        <v>1573.6575</v>
      </c>
      <c r="F18" s="2"/>
      <c r="G18" s="2"/>
      <c r="H18" s="2"/>
      <c r="J18" s="2">
        <f t="shared" si="2"/>
        <v>12351.566199999999</v>
      </c>
      <c r="N18">
        <v>17</v>
      </c>
      <c r="O18">
        <v>9557.76</v>
      </c>
      <c r="P18" s="19">
        <f t="shared" si="1"/>
        <v>0.77380955947108965</v>
      </c>
      <c r="R18">
        <v>9.1249700000000003E-2</v>
      </c>
      <c r="S18">
        <f t="shared" si="0"/>
        <v>872.14273267200008</v>
      </c>
      <c r="V18" s="19"/>
      <c r="W18" s="19"/>
      <c r="X18" s="19"/>
      <c r="Y18" s="19"/>
      <c r="Z18" s="19"/>
      <c r="AA18" s="19"/>
    </row>
    <row r="19" spans="1:27" x14ac:dyDescent="0.2">
      <c r="A19">
        <v>18</v>
      </c>
      <c r="B19" s="2">
        <f>[2]landuse_raw!$E$718+[2]landuse_raw!$E$720</f>
        <v>3319.7754999999997</v>
      </c>
      <c r="C19" s="2">
        <f>[2]landuse_raw!$E$719+[2]landuse_raw!$E$721</f>
        <v>3740.7552999999998</v>
      </c>
      <c r="D19" s="2"/>
      <c r="E19" s="2"/>
      <c r="F19" s="2"/>
      <c r="G19" s="2"/>
      <c r="H19" s="2"/>
      <c r="J19" s="2">
        <f t="shared" si="2"/>
        <v>7060.5307999999995</v>
      </c>
      <c r="N19">
        <v>18</v>
      </c>
      <c r="O19">
        <v>7060.53</v>
      </c>
      <c r="P19" s="19">
        <f t="shared" si="1"/>
        <v>0.99999988669407125</v>
      </c>
      <c r="R19">
        <v>0.15137500000000001</v>
      </c>
      <c r="S19">
        <f t="shared" si="0"/>
        <v>1068.78772875</v>
      </c>
    </row>
    <row r="20" spans="1:27" x14ac:dyDescent="0.2">
      <c r="A20">
        <v>19</v>
      </c>
      <c r="B20" s="2"/>
      <c r="C20" s="2">
        <f>[2]landuse_raw!$E$755+[2]landuse_raw!$E$756</f>
        <v>150.8638</v>
      </c>
      <c r="D20" s="2">
        <f>[2]landuse_raw!$E$752+[2]landuse_raw!$E$753</f>
        <v>311.38729999999998</v>
      </c>
      <c r="E20" s="2">
        <f>[2]landuse_raw!$E$754</f>
        <v>76.6036</v>
      </c>
      <c r="F20" s="2"/>
      <c r="G20" s="2"/>
      <c r="H20" s="2"/>
      <c r="J20" s="2">
        <f t="shared" si="2"/>
        <v>538.85469999999998</v>
      </c>
      <c r="N20">
        <v>19</v>
      </c>
      <c r="O20">
        <v>150.864</v>
      </c>
      <c r="P20" s="19">
        <f t="shared" si="1"/>
        <v>0.27997157675343654</v>
      </c>
      <c r="R20">
        <v>0.13394300000000001</v>
      </c>
      <c r="S20">
        <f t="shared" si="0"/>
        <v>20.207176752000002</v>
      </c>
      <c r="V20" s="19"/>
      <c r="W20" s="19"/>
      <c r="X20" s="19"/>
      <c r="Y20" s="19"/>
      <c r="Z20" s="19"/>
      <c r="AA20" s="19"/>
    </row>
    <row r="21" spans="1:27" x14ac:dyDescent="0.2">
      <c r="A21">
        <v>20</v>
      </c>
      <c r="B21" s="2">
        <f>[2]landuse_raw!$E$794+[2]landuse_raw!$E$796</f>
        <v>2677.5990999999999</v>
      </c>
      <c r="C21" s="2">
        <f>[2]landuse_raw!$E$795+[2]landuse_raw!$E$797</f>
        <v>2452.4571999999998</v>
      </c>
      <c r="D21" s="2"/>
      <c r="E21" s="2"/>
      <c r="F21" s="2"/>
      <c r="G21" s="2"/>
      <c r="H21" s="2"/>
      <c r="J21" s="2">
        <f t="shared" si="2"/>
        <v>5130.0563000000002</v>
      </c>
      <c r="N21">
        <v>20</v>
      </c>
      <c r="O21">
        <v>5130.0600000000004</v>
      </c>
      <c r="P21" s="19">
        <f t="shared" si="1"/>
        <v>1.000000721239648</v>
      </c>
      <c r="R21">
        <v>0.43938300000000002</v>
      </c>
      <c r="S21">
        <f t="shared" si="0"/>
        <v>2254.0611529800003</v>
      </c>
      <c r="V21" s="19"/>
      <c r="W21" s="19"/>
      <c r="X21" s="19"/>
      <c r="Y21" s="19"/>
      <c r="Z21" s="19"/>
      <c r="AA21" s="19"/>
    </row>
    <row r="22" spans="1:27" x14ac:dyDescent="0.2">
      <c r="A22">
        <v>21</v>
      </c>
      <c r="B22" s="2">
        <f>[2]landuse_raw!$E$826+[2]landuse_raw!$E$828</f>
        <v>6780.0497999999998</v>
      </c>
      <c r="C22" s="2">
        <f>[2]landuse_raw!$E$827+[2]landuse_raw!$E$829</f>
        <v>4828.4385000000002</v>
      </c>
      <c r="D22" s="2"/>
      <c r="E22" s="2"/>
      <c r="F22" s="2"/>
      <c r="G22" s="2"/>
      <c r="H22" s="2"/>
      <c r="J22" s="2">
        <f t="shared" si="2"/>
        <v>11608.488300000001</v>
      </c>
      <c r="N22">
        <v>21</v>
      </c>
      <c r="O22">
        <v>11608.5</v>
      </c>
      <c r="P22" s="19">
        <f t="shared" si="1"/>
        <v>1.0000010078831711</v>
      </c>
      <c r="R22">
        <v>0.43938300000000002</v>
      </c>
      <c r="S22">
        <f t="shared" si="0"/>
        <v>5100.5775555</v>
      </c>
    </row>
    <row r="23" spans="1:27" x14ac:dyDescent="0.2">
      <c r="A23">
        <v>22</v>
      </c>
      <c r="B23" s="2">
        <f>[2]landuse_raw!$E$858+[2]landuse_raw!$E$860</f>
        <v>6124.5550000000003</v>
      </c>
      <c r="C23" s="2">
        <f>[2]landuse_raw!$E$859+[2]landuse_raw!$E$861</f>
        <v>4402.0388000000003</v>
      </c>
      <c r="D23" s="2"/>
      <c r="E23" s="2"/>
      <c r="F23" s="2"/>
      <c r="G23" s="2"/>
      <c r="H23" s="2"/>
      <c r="J23" s="2">
        <f t="shared" si="2"/>
        <v>10526.593800000001</v>
      </c>
      <c r="N23">
        <v>22</v>
      </c>
      <c r="O23">
        <v>10526.6</v>
      </c>
      <c r="P23" s="19">
        <f t="shared" si="1"/>
        <v>1.0000005889844443</v>
      </c>
      <c r="R23">
        <v>0.43938300000000002</v>
      </c>
      <c r="S23">
        <f t="shared" si="0"/>
        <v>4625.2090878000008</v>
      </c>
    </row>
    <row r="24" spans="1:27" x14ac:dyDescent="0.2">
      <c r="A24">
        <v>23</v>
      </c>
      <c r="B24" s="2">
        <f>[2]landuse_raw!$E$886+[2]landuse_raw!$E$888</f>
        <v>2527.2866000000004</v>
      </c>
      <c r="C24" s="2">
        <f>[2]landuse_raw!$E$887+[2]landuse_raw!$E$889</f>
        <v>3105.0002999999997</v>
      </c>
      <c r="D24" s="2"/>
      <c r="E24" s="2"/>
      <c r="F24" s="2"/>
      <c r="G24" s="2"/>
      <c r="H24" s="2"/>
      <c r="J24" s="2">
        <f t="shared" si="2"/>
        <v>5632.2869000000001</v>
      </c>
      <c r="N24">
        <v>23</v>
      </c>
      <c r="O24">
        <v>5632.29</v>
      </c>
      <c r="P24" s="19">
        <f t="shared" si="1"/>
        <v>1.0000005503980984</v>
      </c>
      <c r="R24">
        <v>0.15137500000000001</v>
      </c>
      <c r="S24">
        <f t="shared" si="0"/>
        <v>852.58789875000002</v>
      </c>
    </row>
    <row r="25" spans="1:27" x14ac:dyDescent="0.2">
      <c r="A25">
        <v>24</v>
      </c>
      <c r="B25" s="2">
        <f>[2]landuse_raw!$E$918+[2]landuse_raw!$E$920</f>
        <v>4496.0454</v>
      </c>
      <c r="C25" s="2">
        <f>[2]landuse_raw!$E$919+[2]landuse_raw!$E$921</f>
        <v>2979.4247999999998</v>
      </c>
      <c r="D25" s="2"/>
      <c r="E25" s="2"/>
      <c r="F25" s="2"/>
      <c r="G25" s="2"/>
      <c r="H25" s="2"/>
      <c r="J25" s="2">
        <f t="shared" si="2"/>
        <v>7475.4701999999997</v>
      </c>
      <c r="N25">
        <v>24</v>
      </c>
      <c r="O25">
        <v>7475.47</v>
      </c>
      <c r="P25" s="19">
        <f t="shared" si="1"/>
        <v>0.99999997324583012</v>
      </c>
      <c r="R25">
        <v>0.43938300000000002</v>
      </c>
      <c r="S25">
        <f t="shared" si="0"/>
        <v>3284.5944350100003</v>
      </c>
    </row>
    <row r="26" spans="1:27" x14ac:dyDescent="0.2">
      <c r="A26">
        <v>25</v>
      </c>
      <c r="B26" s="2">
        <f>[2]landuse_raw!$E$952+[2]landuse_raw!$E$954</f>
        <v>2628.1433999999999</v>
      </c>
      <c r="C26" s="2">
        <f>[2]landuse_raw!$E$953+[2]landuse_raw!$E$955</f>
        <v>2531.1954999999998</v>
      </c>
      <c r="D26" s="2"/>
      <c r="E26" s="2">
        <f>[2]landuse_raw!$E$950</f>
        <v>695.16909999999996</v>
      </c>
      <c r="F26" s="2">
        <f>[2]landuse_raw!$E$951</f>
        <v>551.89290000000005</v>
      </c>
      <c r="G26" s="2"/>
      <c r="H26" s="2"/>
      <c r="J26" s="2">
        <f t="shared" si="2"/>
        <v>6406.4008999999996</v>
      </c>
      <c r="N26">
        <v>25</v>
      </c>
      <c r="O26">
        <v>5159.34</v>
      </c>
      <c r="P26" s="19">
        <f t="shared" si="1"/>
        <v>0.80534142032853429</v>
      </c>
      <c r="R26">
        <v>0.43938300000000002</v>
      </c>
      <c r="S26">
        <f t="shared" si="0"/>
        <v>2266.9262872200002</v>
      </c>
    </row>
    <row r="27" spans="1:27" x14ac:dyDescent="0.2">
      <c r="A27">
        <v>26</v>
      </c>
      <c r="B27" s="2">
        <f>[2]landuse_raw!$E$995+[2]landuse_raw!$E$997</f>
        <v>6719.9074999999993</v>
      </c>
      <c r="C27" s="2">
        <f>[2]landuse_raw!$E$996+[2]landuse_raw!$E$998</f>
        <v>5691.7236000000003</v>
      </c>
      <c r="D27" s="2"/>
      <c r="E27" s="2">
        <f>[2]landuse_raw!$E$993</f>
        <v>1731.5741</v>
      </c>
      <c r="F27" s="2">
        <f>[2]landuse_raw!$E$994</f>
        <v>1151.7764</v>
      </c>
      <c r="G27" s="2"/>
      <c r="H27" s="2"/>
      <c r="J27" s="2">
        <f t="shared" si="2"/>
        <v>15294.981599999999</v>
      </c>
      <c r="N27">
        <v>26</v>
      </c>
      <c r="O27">
        <v>12411.6</v>
      </c>
      <c r="P27" s="19">
        <f t="shared" si="1"/>
        <v>0.81148185232207148</v>
      </c>
      <c r="R27">
        <v>0.43938300000000002</v>
      </c>
      <c r="S27">
        <f t="shared" si="0"/>
        <v>5453.4460428000002</v>
      </c>
    </row>
    <row r="28" spans="1:27" x14ac:dyDescent="0.2">
      <c r="A28">
        <v>27</v>
      </c>
      <c r="B28" s="2">
        <f>[2]landuse_raw!$E$1042+[2]landuse_raw!$E$1044</f>
        <v>3669.6347000000001</v>
      </c>
      <c r="C28" s="2">
        <f>[2]landuse_raw!$E$1043+[2]landuse_raw!$E$1045</f>
        <v>4290.0488999999998</v>
      </c>
      <c r="D28" s="2"/>
      <c r="E28" s="2">
        <f>[2]landuse_raw!$E$1041</f>
        <v>1230.2438</v>
      </c>
      <c r="F28" s="2"/>
      <c r="G28" s="2"/>
      <c r="H28" s="2"/>
      <c r="J28" s="2">
        <f t="shared" si="2"/>
        <v>9189.9274000000005</v>
      </c>
      <c r="N28">
        <v>27</v>
      </c>
      <c r="O28">
        <v>7959.68</v>
      </c>
      <c r="P28" s="19">
        <f t="shared" si="1"/>
        <v>0.86613089021791401</v>
      </c>
      <c r="R28">
        <v>0.43938300000000002</v>
      </c>
      <c r="S28">
        <f t="shared" si="0"/>
        <v>3497.3480774400005</v>
      </c>
    </row>
    <row r="29" spans="1:27" x14ac:dyDescent="0.2">
      <c r="A29">
        <v>28</v>
      </c>
      <c r="B29" s="2">
        <f>[2]landuse_raw!$E$1093+[2]landuse_raw!$E$1095</f>
        <v>2414.9861000000001</v>
      </c>
      <c r="C29" s="2">
        <f>[2]landuse_raw!$E$1094+[2]landuse_raw!$E$1096</f>
        <v>1794.6372000000001</v>
      </c>
      <c r="D29" s="2">
        <f>[2]landuse_raw!$E$1089+[2]landuse_raw!$E$1090+[2]landuse_raw!$E$1091</f>
        <v>2420.1178</v>
      </c>
      <c r="E29" s="2"/>
      <c r="F29" s="2"/>
      <c r="G29" s="2"/>
      <c r="H29" s="2">
        <f>[2]landuse_raw!$E$1092</f>
        <v>624.73249999999996</v>
      </c>
      <c r="J29" s="2">
        <f t="shared" si="2"/>
        <v>7254.4736000000003</v>
      </c>
      <c r="N29">
        <v>28</v>
      </c>
      <c r="O29">
        <v>4209.62</v>
      </c>
      <c r="P29" s="19">
        <f t="shared" si="1"/>
        <v>0.58027918111108701</v>
      </c>
      <c r="R29">
        <v>0.198406</v>
      </c>
      <c r="S29">
        <f t="shared" si="0"/>
        <v>835.21386571999994</v>
      </c>
    </row>
    <row r="30" spans="1:27" x14ac:dyDescent="0.2">
      <c r="A30">
        <v>29</v>
      </c>
      <c r="B30" s="2">
        <f>[2]landuse_raw!$E$1143+[2]landuse_raw!$E$1145</f>
        <v>3702.0298000000003</v>
      </c>
      <c r="C30" s="2">
        <f>[2]landuse_raw!$E$1144+[2]landuse_raw!$E$1146</f>
        <v>3158.8514</v>
      </c>
      <c r="D30" s="2"/>
      <c r="E30" s="2"/>
      <c r="F30" s="2"/>
      <c r="G30" s="2"/>
      <c r="H30" s="2"/>
      <c r="J30" s="2">
        <f t="shared" si="2"/>
        <v>6860.8811999999998</v>
      </c>
      <c r="N30">
        <v>29</v>
      </c>
      <c r="O30">
        <v>6860.88</v>
      </c>
      <c r="P30" s="19">
        <f t="shared" si="1"/>
        <v>0.99999982509535368</v>
      </c>
      <c r="R30">
        <v>0.16126599999999999</v>
      </c>
      <c r="S30">
        <f t="shared" si="0"/>
        <v>1106.4266740799999</v>
      </c>
    </row>
    <row r="31" spans="1:27" x14ac:dyDescent="0.2">
      <c r="A31">
        <v>30</v>
      </c>
      <c r="B31" s="2">
        <f>[2]landuse_raw!$E$1186+[2]landuse_raw!$E$1188</f>
        <v>3066.1603</v>
      </c>
      <c r="C31" s="2">
        <f>[2]landuse_raw!$E$1187+[2]landuse_raw!$E$1189</f>
        <v>2269.7596000000003</v>
      </c>
      <c r="D31" s="2">
        <f>[2]landuse_raw!$E$1184+[2]landuse_raw!$E$1185</f>
        <v>2577.1642000000002</v>
      </c>
      <c r="E31" s="2"/>
      <c r="F31" s="2"/>
      <c r="G31" s="2"/>
      <c r="H31" s="2"/>
      <c r="J31" s="2">
        <f t="shared" si="2"/>
        <v>7913.0841000000009</v>
      </c>
      <c r="N31">
        <v>30</v>
      </c>
      <c r="O31">
        <v>5335.92</v>
      </c>
      <c r="P31" s="19">
        <f t="shared" si="1"/>
        <v>0.67431609882675192</v>
      </c>
      <c r="R31">
        <v>0.198406</v>
      </c>
      <c r="S31">
        <f t="shared" si="0"/>
        <v>1058.6785435199999</v>
      </c>
    </row>
    <row r="32" spans="1:27" x14ac:dyDescent="0.2">
      <c r="A32">
        <v>31</v>
      </c>
      <c r="B32" s="2"/>
      <c r="C32" s="2"/>
      <c r="D32" s="2">
        <f>[2]landuse_raw!$E$1243+[2]landuse_raw!$E$1244+[2]landuse_raw!$E$1245</f>
        <v>819.85489999999993</v>
      </c>
      <c r="E32" s="2">
        <f>[2]landuse_raw!$E$1247</f>
        <v>129.0744</v>
      </c>
      <c r="F32" s="2"/>
      <c r="G32" s="2"/>
      <c r="H32" s="2">
        <f>[2]landuse_raw!$E$1246</f>
        <v>73.429699999999997</v>
      </c>
      <c r="J32" s="2">
        <f t="shared" si="2"/>
        <v>1022.3589999999999</v>
      </c>
      <c r="N32">
        <v>31</v>
      </c>
      <c r="O32">
        <v>0</v>
      </c>
      <c r="P32" s="19">
        <f t="shared" si="1"/>
        <v>0</v>
      </c>
      <c r="R32">
        <v>0</v>
      </c>
      <c r="S32">
        <f t="shared" si="0"/>
        <v>0</v>
      </c>
    </row>
    <row r="33" spans="1:19" x14ac:dyDescent="0.2">
      <c r="A33">
        <v>32</v>
      </c>
      <c r="B33" s="2">
        <f>[2]landuse_raw!$E$1297</f>
        <v>386.8304</v>
      </c>
      <c r="C33" s="2">
        <f>[2]landuse_raw!$E$1298+[2]landuse_raw!$E$1299</f>
        <v>774.74720000000002</v>
      </c>
      <c r="D33" s="2">
        <f>[2]landuse_raw!$E$1292+[2]landuse_raw!$E$1293+[2]landuse_raw!$E$1294</f>
        <v>1893.9154000000001</v>
      </c>
      <c r="E33" s="2">
        <f>[2]landuse_raw!$E$1296</f>
        <v>305.86840000000001</v>
      </c>
      <c r="F33" s="2"/>
      <c r="G33" s="2"/>
      <c r="H33" s="2">
        <f>[2]landuse_raw!$E$1295</f>
        <v>320.17770000000002</v>
      </c>
      <c r="J33" s="2">
        <f t="shared" si="2"/>
        <v>3681.5391000000004</v>
      </c>
      <c r="N33">
        <v>32</v>
      </c>
      <c r="O33">
        <v>1161.58</v>
      </c>
      <c r="P33" s="19">
        <f t="shared" si="1"/>
        <v>0.31551478021787133</v>
      </c>
      <c r="R33">
        <v>0.13394300000000001</v>
      </c>
      <c r="S33">
        <f t="shared" si="0"/>
        <v>155.58550994000001</v>
      </c>
    </row>
    <row r="34" spans="1:19" x14ac:dyDescent="0.2">
      <c r="A34">
        <v>33</v>
      </c>
      <c r="B34" s="2">
        <f>[2]landuse_raw!$E$1363+[2]landuse_raw!$E$1365</f>
        <v>4422.4278000000004</v>
      </c>
      <c r="C34" s="2">
        <f>[2]landuse_raw!$E$1364+[2]landuse_raw!$E$1366</f>
        <v>3925.2429999999999</v>
      </c>
      <c r="D34">
        <f>[2]landuse_raw!$E$1360+[2]landuse_raw!$E$1361</f>
        <v>4630.1892000000007</v>
      </c>
      <c r="E34" s="2">
        <f>[2]landuse_raw!$E$1362</f>
        <v>1684.4177999999999</v>
      </c>
      <c r="F34" s="2"/>
      <c r="G34" s="2">
        <f>[2]landuse_raw!$E$1359</f>
        <v>1511.1106</v>
      </c>
      <c r="H34" s="2"/>
      <c r="J34" s="2">
        <f t="shared" si="2"/>
        <v>16173.3884</v>
      </c>
      <c r="N34">
        <v>33</v>
      </c>
      <c r="O34">
        <v>8347.67</v>
      </c>
      <c r="P34" s="19">
        <f t="shared" si="1"/>
        <v>0.51613612395532404</v>
      </c>
      <c r="R34">
        <v>0.198406</v>
      </c>
      <c r="S34">
        <f t="shared" si="0"/>
        <v>1656.2278140200001</v>
      </c>
    </row>
    <row r="35" spans="1:19" x14ac:dyDescent="0.2">
      <c r="A35">
        <v>34</v>
      </c>
      <c r="B35" s="2">
        <f>[2]landuse_raw!$E$1408+[2]landuse_raw!$E$1410</f>
        <v>3278.9705999999996</v>
      </c>
      <c r="C35" s="2">
        <f>[2]landuse_raw!$E$1409+[2]landuse_raw!$E$1411</f>
        <v>6157.6849000000002</v>
      </c>
      <c r="D35" s="2"/>
      <c r="E35" s="2">
        <f>[2]landuse_raw!$E$1406</f>
        <v>1975.9339</v>
      </c>
      <c r="F35" s="2">
        <f>[2]landuse_raw!$E$1407</f>
        <v>1152.4493</v>
      </c>
      <c r="G35" s="2"/>
      <c r="H35" s="2"/>
      <c r="J35" s="2">
        <f t="shared" si="2"/>
        <v>12565.038700000001</v>
      </c>
      <c r="N35">
        <v>34</v>
      </c>
      <c r="O35">
        <v>9436.66</v>
      </c>
      <c r="P35" s="19">
        <f t="shared" si="1"/>
        <v>0.75102514407695375</v>
      </c>
      <c r="R35">
        <v>0.13394300000000001</v>
      </c>
      <c r="S35">
        <f t="shared" si="0"/>
        <v>1263.97455038</v>
      </c>
    </row>
    <row r="36" spans="1:19" x14ac:dyDescent="0.2">
      <c r="A36">
        <v>35</v>
      </c>
      <c r="B36" s="2">
        <f>[2]landuse_raw!$E$1461+[2]landuse_raw!$E$1463</f>
        <v>9814.3974999999991</v>
      </c>
      <c r="C36" s="2">
        <f>[2]landuse_raw!$E$1462+[2]landuse_raw!$E$1464</f>
        <v>8168.7116999999998</v>
      </c>
      <c r="D36" s="2"/>
      <c r="E36" s="2"/>
      <c r="F36" s="2"/>
      <c r="G36" s="2"/>
      <c r="H36" s="2"/>
      <c r="J36" s="2">
        <f t="shared" si="2"/>
        <v>17983.109199999999</v>
      </c>
      <c r="N36">
        <v>35</v>
      </c>
      <c r="O36">
        <v>17983.099999999999</v>
      </c>
      <c r="P36" s="19">
        <f t="shared" si="1"/>
        <v>0.99999948840882302</v>
      </c>
      <c r="R36">
        <v>0.56759099999999996</v>
      </c>
      <c r="S36">
        <f t="shared" si="0"/>
        <v>10207.045712099998</v>
      </c>
    </row>
    <row r="37" spans="1:19" x14ac:dyDescent="0.2">
      <c r="A37">
        <v>36</v>
      </c>
      <c r="B37" s="2">
        <f>[2]landuse_raw!$E$1488+[2]landuse_raw!$E$1489+[2]landuse_raw!$E$1491</f>
        <v>8127.4565999999995</v>
      </c>
      <c r="C37" s="2">
        <f>[2]landuse_raw!$E$1490+[2]landuse_raw!$E$1492</f>
        <v>6509.2525000000005</v>
      </c>
      <c r="D37" s="2"/>
      <c r="E37" s="2"/>
      <c r="F37" s="2"/>
      <c r="G37" s="2"/>
      <c r="H37" s="2"/>
      <c r="J37" s="2">
        <f t="shared" si="2"/>
        <v>14636.7091</v>
      </c>
      <c r="N37">
        <v>36</v>
      </c>
      <c r="O37">
        <v>14636.7</v>
      </c>
      <c r="P37" s="19">
        <f t="shared" si="1"/>
        <v>0.99999937827554419</v>
      </c>
      <c r="R37">
        <v>0.56759099999999996</v>
      </c>
      <c r="S37">
        <f t="shared" si="0"/>
        <v>8307.6591896999998</v>
      </c>
    </row>
    <row r="38" spans="1:19" x14ac:dyDescent="0.2">
      <c r="A38">
        <v>37</v>
      </c>
      <c r="B38" s="2">
        <f>[2]landuse_raw!$E$1516+[2]landuse_raw!$E$1518</f>
        <v>1295.3128999999999</v>
      </c>
      <c r="C38" s="2">
        <f>[2]landuse_raw!$E$1517+[2]landuse_raw!$E$1519</f>
        <v>1482.9877000000001</v>
      </c>
      <c r="D38" s="2">
        <f>[2]landuse_raw!$E$1512+[2]landuse_raw!$E$1513</f>
        <v>1291.6554999999998</v>
      </c>
      <c r="E38" s="2">
        <f>[2]landuse_raw!$E$1514</f>
        <v>1384.9758999999999</v>
      </c>
      <c r="F38" s="2">
        <f>[2]landuse_raw!$E$1515</f>
        <v>774.22349999999994</v>
      </c>
      <c r="G38" s="2"/>
      <c r="H38" s="2"/>
      <c r="J38" s="2">
        <f t="shared" si="2"/>
        <v>6229.1554999999998</v>
      </c>
      <c r="N38">
        <v>37</v>
      </c>
      <c r="O38">
        <v>2778.3</v>
      </c>
      <c r="P38" s="19">
        <f t="shared" si="1"/>
        <v>0.44601551526527156</v>
      </c>
      <c r="R38">
        <v>0.13394300000000001</v>
      </c>
      <c r="S38">
        <f t="shared" si="0"/>
        <v>372.13383690000006</v>
      </c>
    </row>
    <row r="39" spans="1:19" x14ac:dyDescent="0.2">
      <c r="A39">
        <v>38</v>
      </c>
      <c r="B39" s="2">
        <f>[2]landuse_raw!$E$1584+[2]landuse_raw!$E$1586</f>
        <v>2050.4884999999999</v>
      </c>
      <c r="C39" s="2">
        <f>[2]landuse_raw!$E$1585+[2]landuse_raw!$E$1587</f>
        <v>2204.6</v>
      </c>
      <c r="D39" s="2">
        <f>[2]landuse_raw!$E$1582+[2]landuse_raw!$E$1583</f>
        <v>792.3771999999999</v>
      </c>
      <c r="E39" s="2"/>
      <c r="F39" s="2"/>
      <c r="G39" s="2"/>
      <c r="H39" s="2"/>
      <c r="J39" s="2">
        <f t="shared" si="2"/>
        <v>5047.4656999999997</v>
      </c>
      <c r="N39">
        <v>38</v>
      </c>
      <c r="O39">
        <v>4255.09</v>
      </c>
      <c r="P39" s="19">
        <f t="shared" si="1"/>
        <v>0.84301513926087712</v>
      </c>
      <c r="R39">
        <v>0.43938300000000002</v>
      </c>
      <c r="S39">
        <f t="shared" si="0"/>
        <v>1869.6142094700001</v>
      </c>
    </row>
    <row r="40" spans="1:19" x14ac:dyDescent="0.2">
      <c r="A40">
        <v>39</v>
      </c>
      <c r="B40" s="2">
        <f>[2]landuse_raw!$E$1641+[2]landuse_raw!$E$1643</f>
        <v>6605.2826000000005</v>
      </c>
      <c r="C40" s="2">
        <f>[2]landuse_raw!$E$1642+[2]landuse_raw!$E$1644</f>
        <v>5632.5303999999996</v>
      </c>
      <c r="D40" s="2"/>
      <c r="E40" s="2"/>
      <c r="F40" s="2"/>
      <c r="G40" s="2"/>
      <c r="H40" s="2"/>
      <c r="J40" s="2">
        <f t="shared" si="2"/>
        <v>12237.813</v>
      </c>
      <c r="N40">
        <v>39</v>
      </c>
      <c r="O40">
        <v>12237.8</v>
      </c>
      <c r="P40" s="19">
        <f t="shared" si="1"/>
        <v>0.99999893771869197</v>
      </c>
      <c r="R40">
        <v>0.56759099999999996</v>
      </c>
      <c r="S40">
        <f t="shared" si="0"/>
        <v>6946.0651397999991</v>
      </c>
    </row>
    <row r="41" spans="1:19" x14ac:dyDescent="0.2">
      <c r="A41">
        <v>40</v>
      </c>
      <c r="B41" s="2">
        <f>[2]landuse_raw!$E$1664+[2]landuse_raw!$E$1665+[2]landuse_raw!$E$1667</f>
        <v>2013.3519000000001</v>
      </c>
      <c r="C41" s="2">
        <f>[2]landuse_raw!$E$1666+[2]landuse_raw!$E$1668</f>
        <v>1686.9534999999998</v>
      </c>
      <c r="D41" s="2"/>
      <c r="E41" s="2">
        <f>[2]landuse_raw!$E$1663</f>
        <v>531.43420000000003</v>
      </c>
      <c r="F41" s="2"/>
      <c r="G41" s="2"/>
      <c r="H41" s="2"/>
      <c r="J41" s="2">
        <f t="shared" si="2"/>
        <v>4231.7395999999999</v>
      </c>
      <c r="N41">
        <v>40</v>
      </c>
      <c r="O41">
        <v>3700.31</v>
      </c>
      <c r="P41" s="19">
        <f t="shared" si="1"/>
        <v>0.87441817072109074</v>
      </c>
      <c r="R41">
        <v>0.43938300000000002</v>
      </c>
      <c r="S41">
        <f t="shared" si="0"/>
        <v>1625.85330873</v>
      </c>
    </row>
    <row r="42" spans="1:19" x14ac:dyDescent="0.2">
      <c r="A42">
        <v>41</v>
      </c>
      <c r="B42" s="2">
        <f>[2]landuse_raw!$E$1708+[2]landuse_raw!$E$1709+[2]landuse_raw!$E$1711+[2]landuse_raw!$E$1712</f>
        <v>5437.6857</v>
      </c>
      <c r="C42" s="2">
        <f>[2]landuse_raw!$E$1710+[2]landuse_raw!$E$1713</f>
        <v>3294.3626000000004</v>
      </c>
      <c r="D42" s="2"/>
      <c r="E42" s="2"/>
      <c r="F42" s="2"/>
      <c r="G42" s="2"/>
      <c r="H42" s="2"/>
      <c r="J42" s="2">
        <f t="shared" si="2"/>
        <v>8732.0483000000004</v>
      </c>
      <c r="N42">
        <v>41</v>
      </c>
      <c r="O42">
        <v>8732.0499999999993</v>
      </c>
      <c r="P42" s="19">
        <f t="shared" si="1"/>
        <v>1.0000001946851347</v>
      </c>
      <c r="R42">
        <v>0.16126599999999999</v>
      </c>
      <c r="S42">
        <f t="shared" si="0"/>
        <v>1408.1827752999998</v>
      </c>
    </row>
    <row r="43" spans="1:19" x14ac:dyDescent="0.2">
      <c r="A43">
        <v>42</v>
      </c>
      <c r="B43" s="2">
        <f>[2]landuse_raw!$E$1743+[2]landuse_raw!$E$1745</f>
        <v>4864.0987999999998</v>
      </c>
      <c r="C43" s="2">
        <f>[2]landuse_raw!$E$1744+[2]landuse_raw!$E$1746</f>
        <v>4286.5667000000003</v>
      </c>
      <c r="D43" s="2"/>
      <c r="E43" s="2"/>
      <c r="F43" s="2"/>
      <c r="G43" s="2"/>
      <c r="H43" s="2"/>
      <c r="J43" s="2">
        <f t="shared" si="2"/>
        <v>9150.6654999999992</v>
      </c>
      <c r="N43">
        <v>42</v>
      </c>
      <c r="O43">
        <v>9150.67</v>
      </c>
      <c r="P43" s="19">
        <f t="shared" si="1"/>
        <v>1.0000004917675114</v>
      </c>
      <c r="R43">
        <v>0.43938300000000002</v>
      </c>
      <c r="S43">
        <f t="shared" si="0"/>
        <v>4020.6488366100002</v>
      </c>
    </row>
    <row r="44" spans="1:19" x14ac:dyDescent="0.2">
      <c r="A44">
        <v>43</v>
      </c>
      <c r="B44" s="2">
        <f>[2]landuse_raw!$E$1783+[2]landuse_raw!$E$1784+[2]landuse_raw!$E$1786</f>
        <v>3745.6063000000004</v>
      </c>
      <c r="C44" s="2">
        <f>[2]landuse_raw!$E$1785+[2]landuse_raw!$E$1787</f>
        <v>3238.8944000000001</v>
      </c>
      <c r="D44" s="2"/>
      <c r="E44" s="2"/>
      <c r="F44" s="2"/>
      <c r="G44" s="2"/>
      <c r="H44" s="2"/>
      <c r="J44" s="2">
        <f t="shared" si="2"/>
        <v>6984.5007000000005</v>
      </c>
      <c r="N44">
        <v>43</v>
      </c>
      <c r="O44">
        <v>6984.5</v>
      </c>
      <c r="P44" s="19">
        <f t="shared" si="1"/>
        <v>0.99999989977809001</v>
      </c>
      <c r="R44">
        <v>0.56759099999999996</v>
      </c>
      <c r="S44">
        <f t="shared" si="0"/>
        <v>3964.3393394999998</v>
      </c>
    </row>
    <row r="45" spans="1:19" x14ac:dyDescent="0.2">
      <c r="A45">
        <v>44</v>
      </c>
      <c r="B45" s="2">
        <f>[2]landuse_raw!$E$1807+[2]landuse_raw!$E$1809</f>
        <v>2953.0738000000001</v>
      </c>
      <c r="C45" s="2">
        <f>[2]landuse_raw!$E$1808+[2]landuse_raw!$E$1810</f>
        <v>3066.828</v>
      </c>
      <c r="D45" s="2"/>
      <c r="E45" s="2"/>
      <c r="F45" s="2"/>
      <c r="G45" s="2"/>
      <c r="H45" s="2"/>
      <c r="J45" s="2">
        <f t="shared" si="2"/>
        <v>6019.9017999999996</v>
      </c>
      <c r="N45">
        <v>44</v>
      </c>
      <c r="O45">
        <v>6019.9</v>
      </c>
      <c r="P45" s="19">
        <f t="shared" si="1"/>
        <v>0.99999970099180024</v>
      </c>
      <c r="R45">
        <v>0.56759099999999996</v>
      </c>
      <c r="S45">
        <f t="shared" si="0"/>
        <v>3416.8410608999993</v>
      </c>
    </row>
    <row r="46" spans="1:19" x14ac:dyDescent="0.2">
      <c r="A46">
        <v>45</v>
      </c>
      <c r="B46" s="2">
        <f>[2]landuse_raw!$E$1839+[2]landuse_raw!$E$1840+[2]landuse_raw!$E$1842</f>
        <v>5100.7690000000002</v>
      </c>
      <c r="C46" s="2">
        <f>[2]landuse_raw!$E$1841+[2]landuse_raw!$E$1843</f>
        <v>4445.9656999999997</v>
      </c>
      <c r="D46" s="2"/>
      <c r="E46" s="2"/>
      <c r="F46" s="2"/>
      <c r="G46" s="2"/>
      <c r="H46" s="2"/>
      <c r="J46" s="2">
        <f t="shared" si="2"/>
        <v>9546.7347000000009</v>
      </c>
      <c r="N46">
        <v>45</v>
      </c>
      <c r="O46">
        <v>9546.73</v>
      </c>
      <c r="P46" s="19">
        <f t="shared" si="1"/>
        <v>0.99999950768507251</v>
      </c>
      <c r="R46">
        <v>0.56759099999999996</v>
      </c>
      <c r="S46">
        <f t="shared" si="0"/>
        <v>5418.6380274299991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ITEEM objectives</vt:lpstr>
      <vt:lpstr>Sheet1</vt:lpstr>
      <vt:lpstr>Scenarios</vt:lpstr>
      <vt:lpstr>WWT</vt:lpstr>
      <vt:lpstr>GP_WWT</vt:lpstr>
      <vt:lpstr>opt_X</vt:lpstr>
      <vt:lpstr>Biomass</vt:lpstr>
      <vt:lpstr>ITEEM_opt_012021</vt:lpstr>
      <vt:lpstr>ag_landuse</vt:lpstr>
      <vt:lpstr>sediment cost at Decatur</vt:lpstr>
      <vt:lpstr>ITEEM_opt_Nov2021_raw_simulatio</vt:lpstr>
      <vt:lpstr>ITEEM_opt_Nov2021</vt:lpstr>
      <vt:lpstr>BMPs+EBTs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Shaobin</dc:creator>
  <cp:lastModifiedBy>Li, Shaobin</cp:lastModifiedBy>
  <dcterms:created xsi:type="dcterms:W3CDTF">2015-06-05T18:17:20Z</dcterms:created>
  <dcterms:modified xsi:type="dcterms:W3CDTF">2021-12-20T12:22:52Z</dcterms:modified>
</cp:coreProperties>
</file>