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ITEEM\Optimization\"/>
    </mc:Choice>
  </mc:AlternateContent>
  <xr:revisionPtr revIDLastSave="0" documentId="13_ncr:1_{80845774-6044-4B0D-8132-E2DE2456BD1A}" xr6:coauthVersionLast="47" xr6:coauthVersionMax="47" xr10:uidLastSave="{00000000-0000-0000-0000-000000000000}"/>
  <bookViews>
    <workbookView xWindow="288" yWindow="1308" windowWidth="10524" windowHeight="8964" xr2:uid="{00000000-000D-0000-FFFF-FFFF00000000}"/>
  </bookViews>
  <sheets>
    <sheet name="P_flow" sheetId="3" r:id="rId1"/>
    <sheet name="P_SDD" sheetId="7" r:id="rId2"/>
    <sheet name="P_CornBiorefinery" sheetId="8" r:id="rId3"/>
    <sheet name="P_Manure" sheetId="5" r:id="rId4"/>
    <sheet name="P_Biosolid" sheetId="4" r:id="rId5"/>
    <sheet name="P_Cro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2" i="3" l="1"/>
  <c r="B60" i="3"/>
  <c r="A64" i="3"/>
  <c r="D22" i="7"/>
  <c r="F3" i="4"/>
  <c r="C22" i="7"/>
  <c r="D26" i="7"/>
  <c r="C25" i="7"/>
  <c r="B8" i="4"/>
  <c r="G3" i="4"/>
  <c r="G4" i="7"/>
  <c r="E25" i="7"/>
  <c r="D25" i="7"/>
  <c r="G27" i="7"/>
  <c r="E27" i="7"/>
  <c r="D42" i="7"/>
  <c r="D40" i="7"/>
  <c r="C41" i="7"/>
  <c r="C40" i="7"/>
  <c r="C56" i="3"/>
  <c r="B51" i="3"/>
  <c r="A55" i="3"/>
  <c r="C45" i="3"/>
  <c r="C44" i="3"/>
  <c r="C42" i="3" l="1"/>
  <c r="C41" i="3"/>
  <c r="I36" i="3"/>
  <c r="D32" i="3"/>
  <c r="D29" i="3"/>
  <c r="I34" i="3"/>
  <c r="I32" i="3"/>
  <c r="G27" i="3"/>
  <c r="B26" i="3"/>
  <c r="B56" i="7"/>
  <c r="B52" i="7"/>
  <c r="B55" i="7"/>
  <c r="B51" i="7"/>
  <c r="E5" i="6"/>
  <c r="D5" i="6"/>
  <c r="B6" i="6"/>
  <c r="B5" i="6"/>
  <c r="B53" i="7"/>
  <c r="B54" i="7" s="1"/>
  <c r="D30" i="3" l="1"/>
  <c r="A45" i="7"/>
  <c r="G3" i="7" l="1"/>
  <c r="C2" i="7"/>
  <c r="K5" i="7"/>
  <c r="C48" i="7"/>
  <c r="B48" i="7"/>
  <c r="C45" i="7"/>
  <c r="L47" i="7"/>
  <c r="L48" i="7" s="1"/>
  <c r="N48" i="7" s="1"/>
  <c r="H47" i="7"/>
  <c r="H51" i="7" s="1"/>
  <c r="C64" i="7"/>
  <c r="C72" i="7"/>
  <c r="C69" i="7"/>
  <c r="C67" i="7"/>
  <c r="F65" i="7"/>
  <c r="C63" i="7"/>
  <c r="C65" i="7" s="1"/>
  <c r="B45" i="7"/>
  <c r="H48" i="7"/>
  <c r="F3" i="7"/>
  <c r="F4" i="7"/>
  <c r="B49" i="7" l="1"/>
  <c r="D48" i="7" s="1"/>
  <c r="B46" i="7"/>
  <c r="D45" i="7" s="1"/>
  <c r="J51" i="7"/>
  <c r="D5" i="7"/>
  <c r="R23" i="3" l="1"/>
  <c r="V23" i="3"/>
  <c r="R24" i="3"/>
  <c r="R22" i="3"/>
  <c r="U36" i="3"/>
  <c r="U32" i="3"/>
  <c r="U21" i="3" s="1"/>
  <c r="U8" i="3"/>
  <c r="T2" i="3"/>
  <c r="T8" i="3" s="1"/>
  <c r="R7" i="3"/>
  <c r="Q7" i="3"/>
  <c r="T25" i="4"/>
  <c r="N12" i="3" l="1"/>
  <c r="I10" i="3"/>
  <c r="H10" i="3"/>
  <c r="N16" i="3"/>
  <c r="D7" i="3"/>
  <c r="N13" i="3" l="1"/>
  <c r="M12" i="3"/>
  <c r="C7" i="3" a="1"/>
  <c r="C7" i="3" s="1"/>
  <c r="C38" i="7"/>
  <c r="C42" i="7" s="1"/>
  <c r="D38" i="7"/>
  <c r="E38" i="7"/>
  <c r="E42" i="7" s="1"/>
  <c r="F38" i="7"/>
  <c r="F42" i="7" s="1"/>
  <c r="G41" i="7"/>
  <c r="F41" i="7"/>
  <c r="E41" i="7"/>
  <c r="D41" i="7"/>
  <c r="E40" i="7"/>
  <c r="F40" i="7"/>
  <c r="G40" i="7"/>
  <c r="G38" i="7" s="1"/>
  <c r="G42" i="7" s="1"/>
  <c r="M13" i="3" l="1"/>
  <c r="D27" i="7"/>
  <c r="F27" i="7"/>
  <c r="C27" i="7"/>
  <c r="L5" i="7" l="1"/>
  <c r="O5" i="7" s="1"/>
  <c r="L7" i="7"/>
  <c r="L8" i="7" s="1"/>
  <c r="L11" i="7"/>
  <c r="L13" i="7"/>
  <c r="L14" i="7"/>
  <c r="L16" i="7"/>
  <c r="L17" i="7"/>
  <c r="L19" i="7"/>
  <c r="B9" i="4"/>
  <c r="C12" i="7"/>
  <c r="B6" i="4"/>
  <c r="B5" i="4"/>
  <c r="B4" i="4"/>
  <c r="B3" i="4"/>
  <c r="B2" i="4"/>
  <c r="L20" i="7" l="1"/>
  <c r="N19" i="7"/>
  <c r="N16" i="7"/>
  <c r="E24" i="7" l="1"/>
  <c r="F24" i="7"/>
  <c r="G24" i="7"/>
  <c r="D24" i="7"/>
  <c r="C24" i="7"/>
  <c r="C26" i="7" l="1"/>
  <c r="G25" i="7"/>
  <c r="G22" i="7"/>
  <c r="G26" i="7" s="1"/>
  <c r="F25" i="7"/>
  <c r="F22" i="7"/>
  <c r="F26" i="7" s="1"/>
  <c r="E22" i="7"/>
  <c r="E26" i="7" s="1"/>
  <c r="D19" i="7"/>
  <c r="G19" i="7"/>
  <c r="F19" i="7"/>
  <c r="E19" i="7"/>
  <c r="C2" i="8" l="1"/>
  <c r="B3" i="8"/>
  <c r="B9" i="8"/>
  <c r="C12" i="8"/>
  <c r="D12" i="8"/>
  <c r="E12" i="8"/>
  <c r="C15" i="8"/>
  <c r="C18" i="8" s="1"/>
  <c r="C19" i="8" s="1"/>
  <c r="D15" i="8"/>
  <c r="E16" i="8"/>
  <c r="B16" i="8" s="1"/>
  <c r="D17" i="8"/>
  <c r="D20" i="8" s="1"/>
  <c r="E17" i="8"/>
  <c r="E20" i="8" s="1"/>
  <c r="D18" i="8"/>
  <c r="D19" i="8" s="1"/>
  <c r="E18" i="8"/>
  <c r="E19" i="8" s="1"/>
  <c r="B21" i="8"/>
  <c r="B22" i="8"/>
  <c r="B24" i="8"/>
  <c r="B25" i="8" s="1"/>
  <c r="I5" i="5"/>
  <c r="I7" i="5"/>
  <c r="K14" i="5"/>
  <c r="K12" i="5"/>
  <c r="K16" i="5" s="1"/>
  <c r="B6" i="5"/>
  <c r="B19" i="5"/>
  <c r="B18" i="5"/>
  <c r="B23" i="5" s="1"/>
  <c r="A33" i="5"/>
  <c r="A34" i="5" s="1"/>
  <c r="A35" i="5" s="1"/>
  <c r="B20" i="5"/>
  <c r="B3" i="5"/>
  <c r="B14" i="5"/>
  <c r="B13" i="5"/>
  <c r="E3" i="5"/>
  <c r="E6" i="5" s="1"/>
  <c r="J11" i="8"/>
  <c r="J10" i="8"/>
  <c r="J6" i="8"/>
  <c r="J5" i="8"/>
  <c r="B14" i="6"/>
  <c r="B15" i="6" s="1"/>
  <c r="B16" i="6" s="1"/>
  <c r="B8" i="6"/>
  <c r="B8" i="5"/>
  <c r="E4" i="5"/>
  <c r="E7" i="5" s="1"/>
  <c r="B4" i="5"/>
  <c r="B7" i="5" s="1"/>
  <c r="B7" i="6" l="1"/>
  <c r="B10" i="6" s="1"/>
  <c r="B12" i="8"/>
  <c r="B23" i="8"/>
  <c r="B19" i="8"/>
  <c r="B15" i="8"/>
  <c r="C17" i="8"/>
  <c r="C20" i="8" s="1"/>
  <c r="B20" i="8" s="1"/>
  <c r="G25" i="8" s="1"/>
  <c r="J5" i="5"/>
  <c r="I9" i="5"/>
  <c r="B27" i="5"/>
  <c r="B28" i="5"/>
  <c r="D4" i="8" l="1"/>
  <c r="D5" i="8"/>
  <c r="E3" i="4"/>
  <c r="E4" i="4"/>
  <c r="E5" i="4"/>
  <c r="E6" i="4"/>
  <c r="E2" i="4"/>
  <c r="G4" i="4"/>
  <c r="F4" i="4" s="1"/>
  <c r="G5" i="4"/>
  <c r="F5" i="4" s="1"/>
  <c r="G6" i="4"/>
  <c r="F6" i="4" s="1"/>
  <c r="G2" i="4"/>
  <c r="F2" i="4" s="1"/>
  <c r="H3" i="4"/>
  <c r="H4" i="4"/>
  <c r="H5" i="4"/>
  <c r="H6" i="4"/>
  <c r="H2" i="4"/>
  <c r="G24" i="8" l="1"/>
  <c r="F22" i="5" l="1"/>
  <c r="F23" i="5" s="1"/>
  <c r="I6" i="5" l="1"/>
  <c r="I8" i="5" s="1"/>
</calcChain>
</file>

<file path=xl/sharedStrings.xml><?xml version="1.0" encoding="utf-8"?>
<sst xmlns="http://schemas.openxmlformats.org/spreadsheetml/2006/main" count="546" uniqueCount="354">
  <si>
    <t>WWT</t>
  </si>
  <si>
    <t>Manure</t>
  </si>
  <si>
    <t>Domestic</t>
  </si>
  <si>
    <t>Industrial</t>
  </si>
  <si>
    <t>Status quo</t>
  </si>
  <si>
    <t>8296 kg/ha manure (assumed 9 g P/kg and 27 g N/kg)</t>
  </si>
  <si>
    <t xml:space="preserve"> Million MT corn, 15% moisture</t>
  </si>
  <si>
    <t>TP</t>
  </si>
  <si>
    <t>lb/day</t>
  </si>
  <si>
    <t>P in MT per ha</t>
  </si>
  <si>
    <t xml:space="preserve"> Million MT, dry weight</t>
  </si>
  <si>
    <t>MT/yr</t>
  </si>
  <si>
    <t>N in MT per ha</t>
  </si>
  <si>
    <t xml:space="preserve">MT of P </t>
  </si>
  <si>
    <t>mg/L or g/m3</t>
  </si>
  <si>
    <t>Ha</t>
  </si>
  <si>
    <t>DDGS (kg /MT corn grain)</t>
  </si>
  <si>
    <t>Flow_total</t>
  </si>
  <si>
    <t>m3</t>
  </si>
  <si>
    <t>P content in DDGS without P recovery (mg/g)</t>
  </si>
  <si>
    <t>TP load</t>
  </si>
  <si>
    <t>Average effluent</t>
  </si>
  <si>
    <t>MGD</t>
  </si>
  <si>
    <t>Wet1</t>
  </si>
  <si>
    <t>Wet2</t>
  </si>
  <si>
    <t>Dry1</t>
  </si>
  <si>
    <t>Effluent TP</t>
  </si>
  <si>
    <t>Electricity (kWh)</t>
  </si>
  <si>
    <t>MT of P/yr</t>
  </si>
  <si>
    <t>Water use for whole plant (m3/MT corn grain)</t>
  </si>
  <si>
    <t>Effluent NO3-N</t>
  </si>
  <si>
    <t>MT of NO3-N/yr</t>
  </si>
  <si>
    <t>Water use for whole plant (m3)</t>
  </si>
  <si>
    <t>Flow_Tate</t>
  </si>
  <si>
    <t>m3/yr from model</t>
  </si>
  <si>
    <t>MGD from report</t>
  </si>
  <si>
    <t>m3/yr from report</t>
  </si>
  <si>
    <t>Flow_ADM</t>
  </si>
  <si>
    <t>TP_Tate+ADM</t>
  </si>
  <si>
    <t xml:space="preserve">P in MT total ha </t>
  </si>
  <si>
    <t>N in MT total ha</t>
  </si>
  <si>
    <t>8296 kg/ha manure (assumed 6 g P/kg and 27 g N/kg)</t>
  </si>
  <si>
    <t>Crop yield</t>
  </si>
  <si>
    <t>GP</t>
  </si>
  <si>
    <t>baseline</t>
  </si>
  <si>
    <t>kg/ha corn on average</t>
  </si>
  <si>
    <t>ha</t>
  </si>
  <si>
    <t>Soybean_area_yr0</t>
  </si>
  <si>
    <t>Corn_area_yr0</t>
  </si>
  <si>
    <t>MT of corn</t>
  </si>
  <si>
    <t>Corn yield in average</t>
  </si>
  <si>
    <t>Corn yield in year0</t>
  </si>
  <si>
    <t>Corn yield in year1</t>
  </si>
  <si>
    <t>Million MT of corn</t>
  </si>
  <si>
    <t xml:space="preserve">% of corn supply </t>
  </si>
  <si>
    <t>P in corn from USRW</t>
  </si>
  <si>
    <t>P in corn imported</t>
  </si>
  <si>
    <t>P in phytin</t>
  </si>
  <si>
    <t>StoneRidge feedlot</t>
  </si>
  <si>
    <t>DMI</t>
  </si>
  <si>
    <t>Dry matter intake, kg dry feed per animal per day</t>
  </si>
  <si>
    <t>Body weight</t>
  </si>
  <si>
    <t>kg</t>
  </si>
  <si>
    <t>DMI (% of average body weight)</t>
  </si>
  <si>
    <t>CGF composition of total diet</t>
  </si>
  <si>
    <t>Fraction of CGF</t>
  </si>
  <si>
    <t>animals</t>
  </si>
  <si>
    <t>CGF</t>
  </si>
  <si>
    <t>mg P/g as baseline</t>
  </si>
  <si>
    <t>mg P/g as P recovery case</t>
  </si>
  <si>
    <t>MT of P in CGF going into StoneRidge, baseline</t>
  </si>
  <si>
    <t>lb of P/bu</t>
  </si>
  <si>
    <t>bu/acre</t>
  </si>
  <si>
    <t>lb</t>
  </si>
  <si>
    <t>MT</t>
  </si>
  <si>
    <t>Ankita_dry-grind paper</t>
  </si>
  <si>
    <t>S3</t>
  </si>
  <si>
    <t>ASCP</t>
  </si>
  <si>
    <t>Baseline</t>
  </si>
  <si>
    <t>P content in CGF or DDGS without P recovery (mg/g, g/kg)</t>
  </si>
  <si>
    <t>P content in CGF or DDGS with P recovery (mg/g, g/kg)</t>
  </si>
  <si>
    <t>Total P content (g) without rP</t>
  </si>
  <si>
    <t>Total P content (g) with rP</t>
  </si>
  <si>
    <t xml:space="preserve">Stone Ridge Dairy produces an estimated 9372 Mg of (dry) manure per year (3100 animals, lactating 310 days/year applied to ASAE manure production table 1.b). </t>
  </si>
  <si>
    <t>Total manure needed</t>
  </si>
  <si>
    <t>Metric ton</t>
  </si>
  <si>
    <t>Fertilizer</t>
  </si>
  <si>
    <t>kg/ha DAP,</t>
  </si>
  <si>
    <t>P content</t>
  </si>
  <si>
    <t>kg/ha, 20% P</t>
  </si>
  <si>
    <t>30% reduction</t>
  </si>
  <si>
    <t>rP recovered (phytin), kg/yr</t>
  </si>
  <si>
    <t>P % in phytin</t>
  </si>
  <si>
    <t>P% in P complex</t>
  </si>
  <si>
    <t>rP recovered (P complex), kg/yr</t>
  </si>
  <si>
    <t xml:space="preserve"> </t>
  </si>
  <si>
    <t>P in rP, MT/yr</t>
  </si>
  <si>
    <t>P_in</t>
  </si>
  <si>
    <t>P_out</t>
  </si>
  <si>
    <t>P_nonpoint</t>
  </si>
  <si>
    <t>P_total_outlet</t>
  </si>
  <si>
    <t>P_instream_loss</t>
  </si>
  <si>
    <t>P_reservoir</t>
  </si>
  <si>
    <t>P_point</t>
  </si>
  <si>
    <t>ton, total CGF demand for all animals</t>
  </si>
  <si>
    <t>Total P content (MT) without rP</t>
  </si>
  <si>
    <t>Total P content (MT) with rP</t>
  </si>
  <si>
    <t>Plant capacity (MT corn/yr)</t>
  </si>
  <si>
    <t>Corn Gluten Feed (kg CGF/yr)</t>
  </si>
  <si>
    <t>DDGS (kg /yr)</t>
  </si>
  <si>
    <t>Total CGF or DDGS production</t>
  </si>
  <si>
    <t># of feedlots to cover</t>
  </si>
  <si>
    <t>reduced P scenario</t>
  </si>
  <si>
    <t>TP from manure (kg/yr)</t>
  </si>
  <si>
    <t>Grain processing</t>
  </si>
  <si>
    <t>baseline case</t>
  </si>
  <si>
    <t>with P recovery</t>
  </si>
  <si>
    <t>P reduction</t>
  </si>
  <si>
    <t>Total P credit</t>
  </si>
  <si>
    <t>Total P load (point + nonpoint)</t>
  </si>
  <si>
    <t>kg P removal per ton of CGF with P recovered</t>
  </si>
  <si>
    <t>Total corn feedstock demand from GP</t>
  </si>
  <si>
    <t>nonpoint+point</t>
  </si>
  <si>
    <t>reservoir+instream_loss+total_outlet</t>
  </si>
  <si>
    <t>Difference</t>
  </si>
  <si>
    <t>P by crop uptake</t>
  </si>
  <si>
    <t>P load to the river</t>
  </si>
  <si>
    <t>EBPR with acetate</t>
  </si>
  <si>
    <t>EBPR with struvite</t>
  </si>
  <si>
    <t>EBPR basic</t>
  </si>
  <si>
    <t>Unit</t>
  </si>
  <si>
    <t>Metric ton P/yr</t>
  </si>
  <si>
    <t>Biosolids of P accumulation in soils</t>
  </si>
  <si>
    <t>Corn</t>
  </si>
  <si>
    <t>Soybean</t>
  </si>
  <si>
    <t>Moisture</t>
  </si>
  <si>
    <t>P content on dry basis</t>
  </si>
  <si>
    <t>Reference</t>
  </si>
  <si>
    <t>Corn biorefinery data</t>
  </si>
  <si>
    <t>lb P/bushel of soybean</t>
  </si>
  <si>
    <t>1 bushel of soybean  = 60 lb</t>
  </si>
  <si>
    <t>Scenario</t>
  </si>
  <si>
    <t>TotalSoilP_kg/ha</t>
  </si>
  <si>
    <t>TotalRiverineP'_kg/ha</t>
  </si>
  <si>
    <t>Pfert'_kg/ha</t>
  </si>
  <si>
    <t>TotalPUptake'_kg/ha</t>
  </si>
  <si>
    <t>Vijay Singh group</t>
  </si>
  <si>
    <t>Variables</t>
  </si>
  <si>
    <t>Scenarios</t>
  </si>
  <si>
    <t>Historical SDD</t>
  </si>
  <si>
    <t>Simulated Baseline (AS)</t>
  </si>
  <si>
    <t>EBPR_basic</t>
  </si>
  <si>
    <t>EBPR_acetate</t>
  </si>
  <si>
    <t>EBPR_StR</t>
  </si>
  <si>
    <t>AREA(ha)</t>
  </si>
  <si>
    <t> </t>
  </si>
  <si>
    <t>Soil_SOLP_kg_ha'</t>
  </si>
  <si>
    <t>Soil_ACTP_kg_ha'</t>
  </si>
  <si>
    <t>Soil_STAP_kg_ha'</t>
  </si>
  <si>
    <t>Soil_ORGP_kg_ha'</t>
  </si>
  <si>
    <t>Soil_FreshR_kg_ha'</t>
  </si>
  <si>
    <t>RiverineSEDPkgha'</t>
  </si>
  <si>
    <t>RiverineSOLPkgha'</t>
  </si>
  <si>
    <t>RiverineORGPkgha'</t>
  </si>
  <si>
    <t>TotalSoilMINP'</t>
  </si>
  <si>
    <t>TotalSoilORGP'</t>
  </si>
  <si>
    <t>TotalRiverineMINP'</t>
  </si>
  <si>
    <t>TotalRiverineORGP'</t>
  </si>
  <si>
    <t>Pfert'</t>
  </si>
  <si>
    <t>CornYieldKgHa'</t>
  </si>
  <si>
    <t>SoyYieldKgHa'</t>
  </si>
  <si>
    <t>CSILYieldKgHa'</t>
  </si>
  <si>
    <t>CornPUptake'</t>
  </si>
  <si>
    <t>SoyPUptake'</t>
  </si>
  <si>
    <t>CSILPUptake'</t>
  </si>
  <si>
    <t>TotalPUptake'</t>
  </si>
  <si>
    <t>Input</t>
  </si>
  <si>
    <t>Output</t>
  </si>
  <si>
    <t>Intermedia</t>
  </si>
  <si>
    <t>Mg/yr</t>
  </si>
  <si>
    <t>Starch</t>
  </si>
  <si>
    <t>CGM</t>
  </si>
  <si>
    <t>Dried germ</t>
  </si>
  <si>
    <t>%</t>
  </si>
  <si>
    <t>Ref.</t>
  </si>
  <si>
    <t>https://www.cerealsgrains.org/publications/cc/backissues/1994/Documents/71_488.pdf</t>
  </si>
  <si>
    <t>DDGS</t>
  </si>
  <si>
    <t>Ethanol</t>
  </si>
  <si>
    <t>Corn oil</t>
  </si>
  <si>
    <t>https://www.sites.ext.vt.edu/newsletter-archive/dairy/2006-07/phosphorus.html</t>
  </si>
  <si>
    <t>https://www.feedipedia.org/node/715</t>
  </si>
  <si>
    <t>P_struvite</t>
  </si>
  <si>
    <t>Total P in</t>
  </si>
  <si>
    <t>Total P out</t>
  </si>
  <si>
    <t>CGF_noP recovery</t>
  </si>
  <si>
    <t>Ankita</t>
  </si>
  <si>
    <t>CGF_P recovery</t>
  </si>
  <si>
    <t>DDGS_noP recovery</t>
  </si>
  <si>
    <t>DDGS_P recovery</t>
  </si>
  <si>
    <t>P_CGF_baseline</t>
  </si>
  <si>
    <t>P_CGF_rP</t>
  </si>
  <si>
    <t>MT/ha/yr</t>
  </si>
  <si>
    <t>from ITEEM calculation</t>
  </si>
  <si>
    <t>Imported feedstock</t>
  </si>
  <si>
    <t>Reservor trapping</t>
  </si>
  <si>
    <t>In-stream loads</t>
  </si>
  <si>
    <t>In-stream storage</t>
  </si>
  <si>
    <t>Corn silage</t>
  </si>
  <si>
    <t>P_SDD_influent</t>
  </si>
  <si>
    <t>P_biosolid</t>
  </si>
  <si>
    <t>AS</t>
  </si>
  <si>
    <t>EBPR-basic</t>
  </si>
  <si>
    <t>EBPR-A</t>
  </si>
  <si>
    <t>EBPR-S</t>
  </si>
  <si>
    <t>Mass balance (watershed)</t>
  </si>
  <si>
    <t>Mass balance (SDD plant)</t>
  </si>
  <si>
    <t>Sum</t>
  </si>
  <si>
    <t>Total P entering soil (Aryan)</t>
  </si>
  <si>
    <t>SDD_effluent_GPS-X simulated</t>
  </si>
  <si>
    <t>SDD_effluent_report</t>
  </si>
  <si>
    <t>SDD_P_in (GPS-X, Aryan)</t>
  </si>
  <si>
    <t>SDD_P_out_AS (GPS-X, Aryan)</t>
  </si>
  <si>
    <t>P removal rate</t>
  </si>
  <si>
    <t>rP (struvite and P complex)</t>
  </si>
  <si>
    <t>EPA illinois report</t>
  </si>
  <si>
    <t>Kevin</t>
  </si>
  <si>
    <t>P_biosolid (Sundar)</t>
  </si>
  <si>
    <t>P_biosolid (Corrected)</t>
  </si>
  <si>
    <t>Total P entering soil (Sundar)</t>
  </si>
  <si>
    <t>Total P entering soil (Corrected)</t>
  </si>
  <si>
    <t>P_instream_store</t>
  </si>
  <si>
    <t>P_instream_store (corrected)</t>
  </si>
  <si>
    <t>Total P out (corrected)</t>
  </si>
  <si>
    <t>BMP47</t>
  </si>
  <si>
    <t>P in soil (fertilizer)</t>
  </si>
  <si>
    <t>P in soil (manure, biosolid)</t>
  </si>
  <si>
    <t>Influent point source</t>
  </si>
  <si>
    <t>Riverine export</t>
  </si>
  <si>
    <t>Corn biorefineries (CBs)</t>
  </si>
  <si>
    <t>Plotly_index</t>
  </si>
  <si>
    <t>Corn_self_fertilizer</t>
  </si>
  <si>
    <t>Corn_self_biosolid</t>
  </si>
  <si>
    <t>Baseline input</t>
  </si>
  <si>
    <t>Baseline output</t>
  </si>
  <si>
    <t>BMP47+EBPR-StR input</t>
  </si>
  <si>
    <t>BMP47+EBPR-StR output</t>
  </si>
  <si>
    <t>total</t>
  </si>
  <si>
    <t>Products from CBs</t>
    <phoneticPr fontId="20" type="noConversion"/>
  </si>
  <si>
    <t>P_corn_import</t>
    <phoneticPr fontId="20" type="noConversion"/>
  </si>
  <si>
    <t>P_nonpoint</t>
    <phoneticPr fontId="20" type="noConversion"/>
  </si>
  <si>
    <t>P_corn_self+P_soil_fertilizer*0.65</t>
    <phoneticPr fontId="20" type="noConversion"/>
  </si>
  <si>
    <t>P_soybean+P_soil_fertilizer*0.35</t>
    <phoneticPr fontId="20" type="noConversion"/>
  </si>
  <si>
    <t>P_point</t>
    <phoneticPr fontId="20" type="noConversion"/>
  </si>
  <si>
    <t>P_crop_biosolid</t>
    <phoneticPr fontId="20" type="noConversion"/>
  </si>
  <si>
    <t>Struvite</t>
    <phoneticPr fontId="20" type="noConversion"/>
  </si>
  <si>
    <t>P_soil_biosolid</t>
    <phoneticPr fontId="20" type="noConversion"/>
  </si>
  <si>
    <t>P_cb_product</t>
    <phoneticPr fontId="20" type="noConversion"/>
  </si>
  <si>
    <t>P_cb_rP</t>
    <phoneticPr fontId="20" type="noConversion"/>
  </si>
  <si>
    <t>P_total_outlet</t>
    <phoneticPr fontId="20" type="noConversion"/>
  </si>
  <si>
    <t>P_instream_store</t>
    <phoneticPr fontId="20" type="noConversion"/>
  </si>
  <si>
    <t>P_corn_self+P_crop_biosolid</t>
    <phoneticPr fontId="20" type="noConversion"/>
  </si>
  <si>
    <t xml:space="preserve">P_soil_fertilizer*-0.35   </t>
  </si>
  <si>
    <t xml:space="preserve">P_soil_fertilizer*-0.65 </t>
    <phoneticPr fontId="20" type="noConversion"/>
  </si>
  <si>
    <t>P_reservoir</t>
    <phoneticPr fontId="20" type="noConversion"/>
  </si>
  <si>
    <t>P_manure_runoff</t>
    <phoneticPr fontId="20" type="noConversion"/>
  </si>
  <si>
    <t>P_sg</t>
    <phoneticPr fontId="20" type="noConversion"/>
  </si>
  <si>
    <t>P_corn_silage</t>
    <phoneticPr fontId="20" type="noConversion"/>
  </si>
  <si>
    <t>Category</t>
    <phoneticPr fontId="20" type="noConversion"/>
  </si>
  <si>
    <t>P_corn_self</t>
    <phoneticPr fontId="20" type="noConversion"/>
  </si>
  <si>
    <t>P_soybean</t>
    <phoneticPr fontId="20" type="noConversion"/>
  </si>
  <si>
    <t>P_soil_fertilizer</t>
    <phoneticPr fontId="20" type="noConversion"/>
  </si>
  <si>
    <t>P_manure_soil</t>
    <phoneticPr fontId="20" type="noConversion"/>
  </si>
  <si>
    <t>Total_P_soybean</t>
    <phoneticPr fontId="20" type="noConversion"/>
  </si>
  <si>
    <t>Baseline</t>
    <phoneticPr fontId="20" type="noConversion"/>
  </si>
  <si>
    <t>Unit</t>
    <phoneticPr fontId="20" type="noConversion"/>
  </si>
  <si>
    <t>Note</t>
    <phoneticPr fontId="20" type="noConversion"/>
  </si>
  <si>
    <t>2003-2018 average from SWAT point source input</t>
    <phoneticPr fontId="20" type="noConversion"/>
  </si>
  <si>
    <t>Value (MT/yr)</t>
    <phoneticPr fontId="20" type="noConversion"/>
  </si>
  <si>
    <t>MT/yr</t>
    <phoneticPr fontId="20" type="noConversion"/>
  </si>
  <si>
    <t>Wastewater flow at corn wet-milling:</t>
    <phoneticPr fontId="20" type="noConversion"/>
  </si>
  <si>
    <t>MGD</t>
    <phoneticPr fontId="20" type="noConversion"/>
  </si>
  <si>
    <t>Industrial</t>
    <phoneticPr fontId="20" type="noConversion"/>
  </si>
  <si>
    <t>Domestic</t>
    <phoneticPr fontId="20" type="noConversion"/>
  </si>
  <si>
    <t>Average</t>
    <phoneticPr fontId="20" type="noConversion"/>
  </si>
  <si>
    <t>Source</t>
    <phoneticPr fontId="20" type="noConversion"/>
  </si>
  <si>
    <t>SDD interim report, Table 3-3</t>
    <phoneticPr fontId="20" type="noConversion"/>
  </si>
  <si>
    <t>TP, kg/d</t>
    <phoneticPr fontId="20" type="noConversion"/>
  </si>
  <si>
    <t>TP, MT/yr</t>
    <phoneticPr fontId="20" type="noConversion"/>
  </si>
  <si>
    <t>*Assumption TP load linearly increases with plant capacity.</t>
    <phoneticPr fontId="20" type="noConversion"/>
  </si>
  <si>
    <t>Plant capacity 5.0 Million MT corn/yr</t>
    <phoneticPr fontId="20" type="noConversion"/>
  </si>
  <si>
    <t>plant capacity, MT corn /yr</t>
    <phoneticPr fontId="20" type="noConversion"/>
  </si>
  <si>
    <t xml:space="preserve">Plant capacity 2.1 Million corn MT/yr </t>
    <phoneticPr fontId="20" type="noConversion"/>
  </si>
  <si>
    <t>Baseline Nitrate (1980-1996)</t>
  </si>
  <si>
    <t>kg/yr</t>
  </si>
  <si>
    <t>Baseline TP (1980-1996)</t>
  </si>
  <si>
    <t>Baseline of point source Nitrate</t>
  </si>
  <si>
    <t>Baseline of point source TP</t>
  </si>
  <si>
    <t>Kevin:</t>
  </si>
  <si>
    <t>point source</t>
  </si>
  <si>
    <t>% of total nitrate</t>
  </si>
  <si>
    <t>% of total TP at outlet</t>
  </si>
  <si>
    <t>% of total TP to the river</t>
  </si>
  <si>
    <t>Baseline of nonpoint soure TP to the river</t>
  </si>
  <si>
    <t>Baseline of nonpoint soure TP  at the outlet</t>
  </si>
  <si>
    <t>Illinois report</t>
  </si>
  <si>
    <t>Non-point</t>
  </si>
  <si>
    <t>Point</t>
  </si>
  <si>
    <t>Riverine Export</t>
  </si>
  <si>
    <t>Estimated storage</t>
  </si>
  <si>
    <t>gallons/day</t>
    <phoneticPr fontId="20" type="noConversion"/>
  </si>
  <si>
    <t>g/m3</t>
    <phoneticPr fontId="20" type="noConversion"/>
  </si>
  <si>
    <t>m3/yr</t>
    <phoneticPr fontId="20" type="noConversion"/>
  </si>
  <si>
    <t>Million MT/yr, plant capacity</t>
    <phoneticPr fontId="20" type="noConversion"/>
  </si>
  <si>
    <t>2013 Average, Interim report, Table 18</t>
    <phoneticPr fontId="20" type="noConversion"/>
  </si>
  <si>
    <t>Sum (Sundar)</t>
    <phoneticPr fontId="20" type="noConversion"/>
  </si>
  <si>
    <t>Sum</t>
    <phoneticPr fontId="20" type="noConversion"/>
  </si>
  <si>
    <t>Reddy, N., Pierson, M. D., Sathe, S. K., &amp; Salunkhe, D. (1989). Phytates in cereals and legumes. Boca Raton, FL: CRC Press.</t>
  </si>
  <si>
    <t>MT/yr P</t>
    <phoneticPr fontId="20" type="noConversion"/>
  </si>
  <si>
    <t>Soybean biorefinery (ADM wet milling)</t>
    <phoneticPr fontId="20" type="noConversion"/>
  </si>
  <si>
    <t>ADM (5.0 Million MT/yr)</t>
    <phoneticPr fontId="20" type="noConversion"/>
  </si>
  <si>
    <t>Tale&amp;Lyle (2.1 Millioin MT/yr)</t>
    <phoneticPr fontId="20" type="noConversion"/>
  </si>
  <si>
    <t xml:space="preserve">Soy contribution to P </t>
    <phoneticPr fontId="20" type="noConversion"/>
  </si>
  <si>
    <t>kg/yr, soybean</t>
    <phoneticPr fontId="20" type="noConversion"/>
  </si>
  <si>
    <t>kg/ha soy on average</t>
    <phoneticPr fontId="20" type="noConversion"/>
  </si>
  <si>
    <t>MT of soy</t>
    <phoneticPr fontId="20" type="noConversion"/>
  </si>
  <si>
    <t>MT/yr local soybean P</t>
    <phoneticPr fontId="20" type="noConversion"/>
  </si>
  <si>
    <t>MT/yr, exported soybean P</t>
    <phoneticPr fontId="20" type="noConversion"/>
  </si>
  <si>
    <t>MT/yr, soybean</t>
    <phoneticPr fontId="20" type="noConversion"/>
  </si>
  <si>
    <t>MT/yr, P in soybean product</t>
    <phoneticPr fontId="20" type="noConversion"/>
  </si>
  <si>
    <t>Imported Corn</t>
    <phoneticPr fontId="20" type="noConversion"/>
  </si>
  <si>
    <t>Fertilizer</t>
    <phoneticPr fontId="20" type="noConversion"/>
  </si>
  <si>
    <t>Human waste</t>
    <phoneticPr fontId="20" type="noConversion"/>
  </si>
  <si>
    <t>Input</t>
    <phoneticPr fontId="20" type="noConversion"/>
  </si>
  <si>
    <t>Output</t>
    <phoneticPr fontId="20" type="noConversion"/>
  </si>
  <si>
    <t>Soil</t>
    <phoneticPr fontId="20" type="noConversion"/>
  </si>
  <si>
    <t>Riverine</t>
    <phoneticPr fontId="20" type="noConversion"/>
  </si>
  <si>
    <t>Products from SBs</t>
    <phoneticPr fontId="20" type="noConversion"/>
  </si>
  <si>
    <t>Alterantive</t>
    <phoneticPr fontId="20" type="noConversion"/>
  </si>
  <si>
    <t>recovered P</t>
    <phoneticPr fontId="20" type="noConversion"/>
  </si>
  <si>
    <t>Riverine export</t>
    <phoneticPr fontId="20" type="noConversion"/>
  </si>
  <si>
    <t>Corn silage</t>
    <phoneticPr fontId="20" type="noConversion"/>
  </si>
  <si>
    <t>In-stream storge</t>
    <phoneticPr fontId="20" type="noConversion"/>
  </si>
  <si>
    <t>Reservoir trapping</t>
    <phoneticPr fontId="20" type="noConversion"/>
  </si>
  <si>
    <t>Soybean exported</t>
    <phoneticPr fontId="20" type="noConversion"/>
  </si>
  <si>
    <t>Biosolid</t>
    <phoneticPr fontId="20" type="noConversion"/>
  </si>
  <si>
    <t>Difference</t>
    <phoneticPr fontId="20" type="noConversion"/>
  </si>
  <si>
    <t>Soil_adjust</t>
    <phoneticPr fontId="20" type="noConversion"/>
  </si>
  <si>
    <t>P contribution</t>
    <phoneticPr fontId="20" type="noConversion"/>
  </si>
  <si>
    <t>Point source</t>
    <phoneticPr fontId="20" type="noConversion"/>
  </si>
  <si>
    <t>Nonpoint source</t>
    <phoneticPr fontId="20" type="noConversion"/>
  </si>
  <si>
    <t>Intermedia</t>
    <phoneticPr fontId="20" type="noConversion"/>
  </si>
  <si>
    <t>output</t>
    <phoneticPr fontId="20" type="noConversion"/>
  </si>
  <si>
    <t>Sum (Shaobin)</t>
    <phoneticPr fontId="20" type="noConversion"/>
  </si>
  <si>
    <t>Alternative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</si>
</sst>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76" formatCode="0.0"/>
    <numFmt numFmtId="177" formatCode="0.0000"/>
    <numFmt numFmtId="178" formatCode="_(* #,##0_);_(* \(#,##0\);_(* &quot;-&quot;??_);_(@_)"/>
    <numFmt numFmtId="179" formatCode="_(* #,##0.0_);_(* \(#,##0.0\);_(* &quot;-&quot;??_);_(@_)"/>
    <numFmt numFmtId="180" formatCode="0.0%"/>
    <numFmt numFmtId="181" formatCode="0.000"/>
    <numFmt numFmtId="182" formatCode="0.00000"/>
    <numFmt numFmtId="183" formatCode="0.0_ "/>
    <numFmt numFmtId="184" formatCode="0_ "/>
  </numFmts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0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sz val="9"/>
      <color rgb="FF222222"/>
      <name val="Arial"/>
      <family val="2"/>
    </font>
    <font>
      <u/>
      <sz val="11"/>
      <color theme="10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9C0006"/>
      <name val="等线"/>
      <family val="2"/>
      <scheme val="minor"/>
    </font>
    <font>
      <b/>
      <sz val="12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9" fillId="11" borderId="0" applyNumberFormat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178" fontId="0" fillId="5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176" fontId="0" fillId="0" borderId="0" xfId="0" applyNumberFormat="1" applyAlignment="1"/>
    <xf numFmtId="0" fontId="0" fillId="2" borderId="0" xfId="0" applyFill="1" applyAlignment="1"/>
    <xf numFmtId="1" fontId="0" fillId="0" borderId="0" xfId="0" applyNumberFormat="1" applyAlignment="1"/>
    <xf numFmtId="0" fontId="0" fillId="4" borderId="0" xfId="0" applyFill="1" applyAlignment="1"/>
    <xf numFmtId="0" fontId="2" fillId="3" borderId="0" xfId="0" applyFont="1" applyFill="1" applyAlignment="1"/>
    <xf numFmtId="178" fontId="0" fillId="0" borderId="0" xfId="0" applyNumberFormat="1" applyAlignment="1"/>
    <xf numFmtId="179" fontId="0" fillId="0" borderId="0" xfId="1" applyNumberFormat="1" applyFont="1" applyAlignment="1"/>
    <xf numFmtId="176" fontId="0" fillId="0" borderId="0" xfId="0" applyNumberFormat="1"/>
    <xf numFmtId="180" fontId="0" fillId="0" borderId="0" xfId="2" applyNumberFormat="1" applyFont="1"/>
    <xf numFmtId="0" fontId="0" fillId="2" borderId="0" xfId="1" applyNumberFormat="1" applyFont="1" applyFill="1" applyAlignment="1">
      <alignment horizontal="center"/>
    </xf>
    <xf numFmtId="181" fontId="0" fillId="0" borderId="0" xfId="0" applyNumberFormat="1" applyAlignment="1"/>
    <xf numFmtId="2" fontId="0" fillId="0" borderId="0" xfId="0" applyNumberFormat="1" applyAlignment="1"/>
    <xf numFmtId="176" fontId="0" fillId="0" borderId="0" xfId="0" applyNumberFormat="1" applyAlignment="1">
      <alignment horizontal="center"/>
    </xf>
    <xf numFmtId="176" fontId="5" fillId="3" borderId="0" xfId="0" applyNumberFormat="1" applyFont="1" applyFill="1" applyAlignment="1">
      <alignment horizontal="center" vertical="center"/>
    </xf>
    <xf numFmtId="176" fontId="0" fillId="3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0" fontId="0" fillId="0" borderId="0" xfId="2" applyNumberFormat="1" applyFont="1" applyAlignment="1"/>
    <xf numFmtId="0" fontId="3" fillId="0" borderId="0" xfId="0" applyFont="1"/>
    <xf numFmtId="0" fontId="9" fillId="0" borderId="0" xfId="0" applyFont="1"/>
    <xf numFmtId="18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1" fontId="0" fillId="0" borderId="0" xfId="0" applyNumberFormat="1"/>
    <xf numFmtId="0" fontId="10" fillId="0" borderId="0" xfId="3"/>
    <xf numFmtId="0" fontId="11" fillId="0" borderId="0" xfId="0" applyFont="1"/>
    <xf numFmtId="0" fontId="0" fillId="0" borderId="0" xfId="0" quotePrefix="1"/>
    <xf numFmtId="10" fontId="12" fillId="0" borderId="0" xfId="0" applyNumberFormat="1" applyFont="1"/>
    <xf numFmtId="0" fontId="13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4" xfId="0" quotePrefix="1" applyFont="1" applyBorder="1" applyAlignment="1">
      <alignment horizontal="center" vertical="center"/>
    </xf>
    <xf numFmtId="0" fontId="15" fillId="9" borderId="4" xfId="0" quotePrefix="1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176" fontId="14" fillId="0" borderId="8" xfId="0" applyNumberFormat="1" applyFont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0" fillId="0" borderId="9" xfId="0" applyBorder="1"/>
    <xf numFmtId="0" fontId="3" fillId="0" borderId="9" xfId="0" applyFont="1" applyBorder="1"/>
    <xf numFmtId="43" fontId="0" fillId="0" borderId="0" xfId="0" applyNumberFormat="1" applyAlignment="1">
      <alignment horizontal="right"/>
    </xf>
    <xf numFmtId="1" fontId="17" fillId="10" borderId="0" xfId="4" applyNumberFormat="1" applyAlignment="1"/>
    <xf numFmtId="0" fontId="0" fillId="0" borderId="9" xfId="0" applyBorder="1" applyAlignment="1">
      <alignment horizontal="center"/>
    </xf>
    <xf numFmtId="0" fontId="10" fillId="0" borderId="0" xfId="3" applyAlignment="1"/>
    <xf numFmtId="0" fontId="0" fillId="0" borderId="0" xfId="0" applyFill="1" applyBorder="1" applyAlignment="1"/>
    <xf numFmtId="0" fontId="10" fillId="0" borderId="0" xfId="3" applyFill="1" applyBorder="1" applyAlignment="1"/>
    <xf numFmtId="176" fontId="0" fillId="6" borderId="0" xfId="0" applyNumberFormat="1" applyFill="1" applyAlignment="1">
      <alignment horizontal="center"/>
    </xf>
    <xf numFmtId="9" fontId="0" fillId="0" borderId="0" xfId="2" applyFont="1" applyAlignment="1">
      <alignment horizontal="center"/>
    </xf>
    <xf numFmtId="181" fontId="0" fillId="0" borderId="0" xfId="0" applyNumberFormat="1" applyAlignment="1">
      <alignment horizontal="center"/>
    </xf>
    <xf numFmtId="0" fontId="1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76" fontId="3" fillId="0" borderId="0" xfId="0" applyNumberFormat="1" applyFont="1" applyAlignment="1">
      <alignment horizontal="center"/>
    </xf>
    <xf numFmtId="180" fontId="0" fillId="0" borderId="0" xfId="2" applyNumberFormat="1" applyFont="1" applyAlignment="1">
      <alignment horizontal="center"/>
    </xf>
    <xf numFmtId="0" fontId="0" fillId="5" borderId="0" xfId="0" applyFill="1" applyAlignment="1"/>
    <xf numFmtId="0" fontId="0" fillId="0" borderId="0" xfId="2" applyNumberFormat="1" applyFont="1" applyAlignment="1"/>
    <xf numFmtId="0" fontId="4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1" applyNumberFormat="1" applyFont="1" applyAlignment="1">
      <alignment horizontal="center"/>
    </xf>
    <xf numFmtId="178" fontId="0" fillId="2" borderId="0" xfId="1" applyNumberFormat="1" applyFont="1" applyFill="1" applyAlignment="1">
      <alignment horizontal="center"/>
    </xf>
    <xf numFmtId="1" fontId="0" fillId="6" borderId="0" xfId="0" applyNumberFormat="1" applyFill="1" applyAlignment="1">
      <alignment horizontal="center"/>
    </xf>
    <xf numFmtId="176" fontId="4" fillId="0" borderId="0" xfId="0" applyNumberFormat="1" applyFont="1" applyAlignment="1">
      <alignment horizontal="center"/>
    </xf>
    <xf numFmtId="176" fontId="17" fillId="10" borderId="0" xfId="4" applyNumberFormat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176" fontId="19" fillId="11" borderId="0" xfId="5" applyNumberFormat="1" applyAlignment="1">
      <alignment horizontal="center"/>
    </xf>
    <xf numFmtId="182" fontId="0" fillId="0" borderId="0" xfId="0" applyNumberFormat="1" applyAlignment="1">
      <alignment horizontal="center"/>
    </xf>
    <xf numFmtId="1" fontId="19" fillId="11" borderId="0" xfId="5" applyNumberFormat="1" applyAlignment="1"/>
    <xf numFmtId="0" fontId="3" fillId="7" borderId="2" xfId="0" applyFont="1" applyFill="1" applyBorder="1" applyAlignment="1">
      <alignment vertical="center"/>
    </xf>
    <xf numFmtId="0" fontId="17" fillId="10" borderId="0" xfId="4"/>
    <xf numFmtId="0" fontId="19" fillId="11" borderId="0" xfId="5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/>
    <xf numFmtId="0" fontId="0" fillId="0" borderId="0" xfId="0" applyFill="1" applyBorder="1" applyAlignment="1">
      <alignment wrapText="1"/>
    </xf>
    <xf numFmtId="176" fontId="0" fillId="0" borderId="0" xfId="0" applyNumberFormat="1" applyFill="1" applyBorder="1"/>
    <xf numFmtId="0" fontId="7" fillId="0" borderId="0" xfId="0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183" fontId="0" fillId="0" borderId="0" xfId="0" applyNumberFormat="1" applyFill="1" applyBorder="1"/>
    <xf numFmtId="184" fontId="0" fillId="0" borderId="0" xfId="0" applyNumberForma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183" fontId="0" fillId="0" borderId="0" xfId="0" applyNumberFormat="1" applyAlignment="1">
      <alignment horizontal="center"/>
    </xf>
    <xf numFmtId="178" fontId="19" fillId="11" borderId="0" xfId="5" applyNumberFormat="1"/>
    <xf numFmtId="178" fontId="0" fillId="0" borderId="0" xfId="1" applyNumberFormat="1" applyFont="1"/>
    <xf numFmtId="178" fontId="22" fillId="0" borderId="0" xfId="1" applyNumberFormat="1" applyFont="1"/>
    <xf numFmtId="178" fontId="0" fillId="0" borderId="0" xfId="0" applyNumberFormat="1"/>
    <xf numFmtId="0" fontId="19" fillId="0" borderId="0" xfId="5" applyFill="1"/>
    <xf numFmtId="0" fontId="0" fillId="0" borderId="0" xfId="0" applyAlignment="1">
      <alignment horizontal="left"/>
    </xf>
    <xf numFmtId="176" fontId="23" fillId="0" borderId="0" xfId="0" applyNumberFormat="1" applyFont="1" applyAlignment="1">
      <alignment horizontal="center"/>
    </xf>
    <xf numFmtId="0" fontId="19" fillId="11" borderId="0" xfId="5" applyAlignment="1">
      <alignment horizontal="center"/>
    </xf>
    <xf numFmtId="0" fontId="17" fillId="10" borderId="0" xfId="4" applyAlignment="1">
      <alignment horizontal="center"/>
    </xf>
    <xf numFmtId="0" fontId="24" fillId="0" borderId="0" xfId="0" applyFont="1" applyAlignment="1">
      <alignment vertical="center"/>
    </xf>
    <xf numFmtId="179" fontId="0" fillId="0" borderId="0" xfId="1" applyNumberFormat="1" applyFont="1" applyAlignment="1">
      <alignment horizontal="center"/>
    </xf>
    <xf numFmtId="2" fontId="23" fillId="0" borderId="0" xfId="0" applyNumberFormat="1" applyFont="1"/>
    <xf numFmtId="0" fontId="23" fillId="0" borderId="0" xfId="0" applyFont="1"/>
    <xf numFmtId="0" fontId="23" fillId="0" borderId="0" xfId="0" applyFont="1" applyAlignment="1">
      <alignment horizontal="center"/>
    </xf>
    <xf numFmtId="183" fontId="0" fillId="0" borderId="0" xfId="0" applyNumberFormat="1"/>
    <xf numFmtId="178" fontId="0" fillId="0" borderId="0" xfId="1" applyNumberFormat="1" applyFont="1" applyAlignment="1"/>
    <xf numFmtId="179" fontId="0" fillId="0" borderId="0" xfId="0" applyNumberFormat="1"/>
    <xf numFmtId="14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1" fontId="17" fillId="10" borderId="0" xfId="4" applyNumberFormat="1" applyAlignment="1">
      <alignment horizontal="center"/>
    </xf>
    <xf numFmtId="0" fontId="3" fillId="0" borderId="0" xfId="0" applyFont="1" applyAlignment="1">
      <alignment horizontal="left"/>
    </xf>
  </cellXfs>
  <cellStyles count="6">
    <cellStyle name="Bad" xfId="4" builtinId="27"/>
    <cellStyle name="Comma" xfId="1" builtinId="3"/>
    <cellStyle name="Good" xfId="5" builtinId="2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773003</xdr:colOff>
      <xdr:row>20</xdr:row>
      <xdr:rowOff>102446</xdr:rowOff>
    </xdr:from>
    <xdr:to>
      <xdr:col>14</xdr:col>
      <xdr:colOff>243948</xdr:colOff>
      <xdr:row>41</xdr:row>
      <xdr:rowOff>50635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771F9B-0C6D-4E18-A4CB-0CB1BC6BF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2203" y="3658446"/>
          <a:ext cx="6684545" cy="3681989"/>
        </a:xfrm>
        <a:prstGeom prst="rect">
          <a:avLst/>
        </a:prstGeom>
      </xdr:spPr>
    </xdr:pic>
    <xdr:clientData/>
  </xdr:twoCellAnchor>
  <xdr:twoCellAnchor editAs="oneCell">
    <xdr:from>
      <xdr:col>7</xdr:col>
      <xdr:colOff>140548</xdr:colOff>
      <xdr:row>51</xdr:row>
      <xdr:rowOff>43181</xdr:rowOff>
    </xdr:from>
    <xdr:to>
      <xdr:col>12</xdr:col>
      <xdr:colOff>257317</xdr:colOff>
      <xdr:row>71</xdr:row>
      <xdr:rowOff>134621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BC1AA-3684-419A-82A9-7137B1B5D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8415" y="9110981"/>
          <a:ext cx="4849635" cy="364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edipedia.org/node/715" TargetMode="External"/><Relationship Id="rId2" Type="http://schemas.openxmlformats.org/officeDocument/2006/relationships/hyperlink" Target="https://www.sites.ext.vt.edu/newsletter-archive/dairy/2006-07/phosphorus.html" TargetMode="External"/><Relationship Id="rId1" Type="http://schemas.openxmlformats.org/officeDocument/2006/relationships/hyperlink" Target="https://www.sites.ext.vt.edu/newsletter-archive/dairy/2006-07/phosphorus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rops.extension.iastate.edu/encyclopedia/nutrient-requirements-soyb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4478-C6AE-4F12-80F4-4AFD6547D4F6}">
  <dimension ref="A1:AB64"/>
  <sheetViews>
    <sheetView tabSelected="1" topLeftCell="A37" zoomScale="80" zoomScaleNormal="80" workbookViewId="0">
      <selection activeCell="B45" sqref="B45"/>
    </sheetView>
  </sheetViews>
  <sheetFormatPr defaultRowHeight="13.8" x14ac:dyDescent="0.25"/>
  <cols>
    <col min="1" max="1" width="17.33203125" style="1" bestFit="1" customWidth="1"/>
    <col min="2" max="2" width="21.109375" style="1" bestFit="1" customWidth="1"/>
    <col min="3" max="3" width="19" style="1" bestFit="1" customWidth="1"/>
    <col min="4" max="4" width="6.5546875" style="1" bestFit="1" customWidth="1"/>
    <col min="5" max="5" width="15.21875" style="57" bestFit="1" customWidth="1"/>
    <col min="6" max="6" width="12.33203125" style="84" customWidth="1"/>
    <col min="7" max="7" width="19.44140625" style="1" bestFit="1" customWidth="1"/>
    <col min="8" max="8" width="19" style="1" bestFit="1" customWidth="1"/>
    <col min="9" max="9" width="6.5546875" style="1" customWidth="1"/>
    <col min="10" max="10" width="7.21875" style="57" bestFit="1" customWidth="1"/>
    <col min="11" max="11" width="10.77734375" style="1" bestFit="1" customWidth="1"/>
    <col min="12" max="12" width="22" style="84" bestFit="1" customWidth="1"/>
    <col min="13" max="13" width="8.5546875" style="1" bestFit="1" customWidth="1"/>
    <col min="14" max="14" width="7.21875" style="1" bestFit="1" customWidth="1"/>
    <col min="15" max="15" width="6.21875" style="53" bestFit="1" customWidth="1"/>
    <col min="16" max="16" width="32.21875" bestFit="1" customWidth="1"/>
    <col min="17" max="17" width="20.109375" style="88" bestFit="1" customWidth="1"/>
    <col min="18" max="18" width="16" style="88" bestFit="1" customWidth="1"/>
    <col min="19" max="19" width="32.21875" style="85" bestFit="1" customWidth="1"/>
    <col min="20" max="20" width="25.6640625" style="85" bestFit="1" customWidth="1"/>
    <col min="21" max="21" width="27.21875" style="85" bestFit="1" customWidth="1"/>
    <col min="22" max="22" width="18.88671875" style="85" bestFit="1" customWidth="1"/>
    <col min="23" max="23" width="9.21875" style="85" customWidth="1"/>
    <col min="24" max="24" width="7.6640625" style="85" bestFit="1" customWidth="1"/>
    <col min="25" max="26" width="9.21875" bestFit="1" customWidth="1"/>
  </cols>
  <sheetData>
    <row r="1" spans="1:28" x14ac:dyDescent="0.25">
      <c r="A1" s="23" t="s">
        <v>239</v>
      </c>
      <c r="B1" s="23" t="s">
        <v>176</v>
      </c>
      <c r="C1" s="23" t="s">
        <v>78</v>
      </c>
      <c r="D1" s="23" t="s">
        <v>233</v>
      </c>
      <c r="E1" s="98"/>
      <c r="F1" s="95" t="s">
        <v>239</v>
      </c>
      <c r="G1" s="23" t="s">
        <v>178</v>
      </c>
      <c r="H1" s="23" t="s">
        <v>78</v>
      </c>
      <c r="I1" s="23" t="s">
        <v>233</v>
      </c>
      <c r="J1" s="98"/>
      <c r="K1" s="23" t="s">
        <v>239</v>
      </c>
      <c r="L1" s="95" t="s">
        <v>177</v>
      </c>
      <c r="M1" s="23" t="s">
        <v>78</v>
      </c>
      <c r="N1" s="23" t="s">
        <v>233</v>
      </c>
      <c r="O1" s="54"/>
      <c r="Q1" s="87" t="s">
        <v>242</v>
      </c>
      <c r="R1" s="87" t="s">
        <v>243</v>
      </c>
      <c r="S1" s="87"/>
      <c r="T1" s="87" t="s">
        <v>244</v>
      </c>
      <c r="U1" s="87" t="s">
        <v>245</v>
      </c>
      <c r="V1" s="86"/>
      <c r="W1" s="86"/>
      <c r="X1" s="86"/>
      <c r="AB1" s="28"/>
    </row>
    <row r="2" spans="1:28" x14ac:dyDescent="0.25">
      <c r="A2" s="1">
        <v>0</v>
      </c>
      <c r="B2" s="1" t="s">
        <v>203</v>
      </c>
      <c r="C2" s="5">
        <v>14189.984462183</v>
      </c>
      <c r="D2" s="5">
        <v>14258.8794645612</v>
      </c>
      <c r="E2" s="57" t="s">
        <v>179</v>
      </c>
      <c r="F2" s="84">
        <v>4</v>
      </c>
      <c r="G2" s="1" t="s">
        <v>238</v>
      </c>
      <c r="H2" s="1">
        <v>17966</v>
      </c>
      <c r="I2" s="1">
        <v>17966</v>
      </c>
      <c r="J2" s="57" t="s">
        <v>179</v>
      </c>
      <c r="K2" s="88">
        <v>7</v>
      </c>
      <c r="L2" s="84" t="s">
        <v>247</v>
      </c>
      <c r="M2" s="5">
        <v>18044.993627110402</v>
      </c>
      <c r="N2" s="5">
        <v>5642.9530872068699</v>
      </c>
      <c r="O2" s="53" t="s">
        <v>179</v>
      </c>
      <c r="Q2" s="88">
        <v>14190</v>
      </c>
      <c r="R2" s="89">
        <v>17966</v>
      </c>
      <c r="S2" s="89"/>
      <c r="T2" s="85">
        <f>14259</f>
        <v>14259</v>
      </c>
      <c r="U2" s="85">
        <v>12800</v>
      </c>
      <c r="V2" s="59"/>
      <c r="W2" s="90"/>
      <c r="X2" s="90"/>
      <c r="Y2" s="15"/>
      <c r="Z2" s="15"/>
      <c r="AB2" s="16"/>
    </row>
    <row r="3" spans="1:28" x14ac:dyDescent="0.25">
      <c r="A3" s="1">
        <v>1</v>
      </c>
      <c r="B3" s="1" t="s">
        <v>86</v>
      </c>
      <c r="C3" s="5">
        <v>7002.4883095799996</v>
      </c>
      <c r="D3" s="5">
        <v>4879.19380434915</v>
      </c>
      <c r="E3" s="57" t="s">
        <v>179</v>
      </c>
      <c r="F3" s="84">
        <v>5</v>
      </c>
      <c r="G3" s="1" t="s">
        <v>205</v>
      </c>
      <c r="H3" s="5">
        <v>876.32762749666199</v>
      </c>
      <c r="I3" s="5">
        <v>189.014772890827</v>
      </c>
      <c r="J3" s="57" t="s">
        <v>179</v>
      </c>
      <c r="K3" s="88">
        <v>8</v>
      </c>
      <c r="L3" s="84" t="s">
        <v>223</v>
      </c>
      <c r="M3" s="5">
        <v>0</v>
      </c>
      <c r="N3" s="5">
        <v>12968.589576046001</v>
      </c>
      <c r="O3" s="53" t="s">
        <v>179</v>
      </c>
      <c r="Q3" s="88">
        <v>6960</v>
      </c>
      <c r="R3" s="89">
        <v>1780</v>
      </c>
      <c r="S3" s="89"/>
      <c r="T3" s="85">
        <v>676</v>
      </c>
      <c r="U3" s="85">
        <v>5580</v>
      </c>
      <c r="V3" s="59"/>
      <c r="W3" s="90"/>
      <c r="X3" s="90"/>
    </row>
    <row r="4" spans="1:28" x14ac:dyDescent="0.25">
      <c r="A4" s="1">
        <v>2</v>
      </c>
      <c r="B4" s="1" t="s">
        <v>1</v>
      </c>
      <c r="C4" s="5">
        <v>67.8</v>
      </c>
      <c r="D4" s="5">
        <v>41.902999999999899</v>
      </c>
      <c r="E4" s="57" t="s">
        <v>179</v>
      </c>
      <c r="F4" s="84">
        <v>6</v>
      </c>
      <c r="G4" s="1" t="s">
        <v>240</v>
      </c>
      <c r="H4" s="5">
        <v>3776.0155378169602</v>
      </c>
      <c r="I4" s="5">
        <v>3707.1205354387098</v>
      </c>
      <c r="J4" s="57" t="s">
        <v>179</v>
      </c>
      <c r="K4" s="88">
        <v>9</v>
      </c>
      <c r="L4" s="84" t="s">
        <v>134</v>
      </c>
      <c r="M4" s="5">
        <v>1786.28867747914</v>
      </c>
      <c r="N4" s="5">
        <v>1750.0356088592</v>
      </c>
      <c r="O4" s="53" t="s">
        <v>179</v>
      </c>
      <c r="Q4" s="88">
        <v>676</v>
      </c>
      <c r="R4" s="89">
        <v>1200</v>
      </c>
      <c r="S4" s="89"/>
      <c r="T4" s="85">
        <v>4730</v>
      </c>
      <c r="U4" s="85">
        <v>154</v>
      </c>
      <c r="V4" s="59"/>
      <c r="W4" s="90"/>
      <c r="X4" s="90"/>
    </row>
    <row r="5" spans="1:28" x14ac:dyDescent="0.25">
      <c r="A5" s="1">
        <v>3</v>
      </c>
      <c r="B5" s="1" t="s">
        <v>236</v>
      </c>
      <c r="C5" s="5">
        <v>676.8</v>
      </c>
      <c r="D5" s="5">
        <v>676.8</v>
      </c>
      <c r="E5" s="57" t="s">
        <v>179</v>
      </c>
      <c r="G5" s="1" t="s">
        <v>241</v>
      </c>
      <c r="I5" s="1">
        <v>53.4</v>
      </c>
      <c r="J5" s="57" t="s">
        <v>179</v>
      </c>
      <c r="K5" s="88">
        <v>10</v>
      </c>
      <c r="L5" s="84" t="s">
        <v>207</v>
      </c>
      <c r="M5" s="5">
        <v>24.8080275214393</v>
      </c>
      <c r="N5" s="5">
        <v>24.96170285154</v>
      </c>
      <c r="O5" s="53" t="s">
        <v>179</v>
      </c>
      <c r="Q5" s="88">
        <v>68</v>
      </c>
      <c r="R5" s="89">
        <v>774</v>
      </c>
      <c r="S5" s="89"/>
      <c r="T5" s="85">
        <v>885</v>
      </c>
      <c r="U5" s="85">
        <v>1730</v>
      </c>
      <c r="V5" s="59"/>
      <c r="W5" s="90"/>
      <c r="X5" s="90"/>
      <c r="Y5" s="15"/>
      <c r="Z5" s="15"/>
    </row>
    <row r="6" spans="1:28" x14ac:dyDescent="0.25">
      <c r="H6" s="5"/>
      <c r="I6" s="5"/>
      <c r="K6" s="88">
        <v>11</v>
      </c>
      <c r="L6" s="84" t="s">
        <v>235</v>
      </c>
      <c r="M6" s="5">
        <v>81.924744488613797</v>
      </c>
      <c r="N6" s="5">
        <v>171.096808820821</v>
      </c>
      <c r="O6" s="53" t="s">
        <v>179</v>
      </c>
      <c r="Q6" s="96"/>
      <c r="R6" s="89">
        <v>127</v>
      </c>
      <c r="S6" s="89"/>
      <c r="T6" s="85">
        <v>26</v>
      </c>
      <c r="U6" s="85">
        <v>150</v>
      </c>
      <c r="V6" s="59"/>
      <c r="W6" s="90"/>
      <c r="X6" s="90"/>
    </row>
    <row r="7" spans="1:28" x14ac:dyDescent="0.25">
      <c r="B7" s="1" t="s">
        <v>216</v>
      </c>
      <c r="C7" s="5">
        <f t="array" ref="C7">SUM(C2:C5)</f>
        <v>21937.072771763</v>
      </c>
      <c r="D7" s="5">
        <f>SUM(D2:D5)</f>
        <v>19856.776268910347</v>
      </c>
      <c r="K7" s="88">
        <v>12</v>
      </c>
      <c r="L7" s="84" t="s">
        <v>234</v>
      </c>
      <c r="M7" s="1">
        <v>1118.50550612237</v>
      </c>
      <c r="N7" s="1">
        <v>-894.10705914796802</v>
      </c>
      <c r="O7" s="53" t="s">
        <v>179</v>
      </c>
      <c r="Q7" s="97">
        <f>SUM(Q2:Q6)</f>
        <v>21894</v>
      </c>
      <c r="R7" s="97">
        <f>SUM(R2:R6)</f>
        <v>21847</v>
      </c>
      <c r="S7" s="89"/>
      <c r="U7" s="85">
        <v>64</v>
      </c>
      <c r="V7" s="59"/>
      <c r="W7" s="90"/>
      <c r="X7" s="90"/>
    </row>
    <row r="8" spans="1:28" x14ac:dyDescent="0.25">
      <c r="K8" s="88">
        <v>13</v>
      </c>
      <c r="L8" s="84" t="s">
        <v>237</v>
      </c>
      <c r="M8" s="5">
        <v>777.46402152845098</v>
      </c>
      <c r="N8" s="5">
        <v>151.460853001853</v>
      </c>
      <c r="O8" s="53" t="s">
        <v>179</v>
      </c>
      <c r="R8" s="89"/>
      <c r="S8" s="89"/>
      <c r="T8" s="85">
        <f>SUM(T2:T6)</f>
        <v>20576</v>
      </c>
      <c r="U8" s="85">
        <f>SUM(U2:U7)</f>
        <v>20478</v>
      </c>
    </row>
    <row r="9" spans="1:28" x14ac:dyDescent="0.25">
      <c r="K9" s="88">
        <v>14</v>
      </c>
      <c r="L9" s="84" t="s">
        <v>204</v>
      </c>
      <c r="M9" s="5">
        <v>27.393222390761199</v>
      </c>
      <c r="N9" s="5">
        <v>15.9434551712518</v>
      </c>
      <c r="O9" s="53" t="s">
        <v>179</v>
      </c>
      <c r="R9" s="89"/>
      <c r="S9" s="89"/>
    </row>
    <row r="10" spans="1:28" x14ac:dyDescent="0.25">
      <c r="H10" s="5">
        <f>C2+H4</f>
        <v>17965.99999999996</v>
      </c>
      <c r="I10" s="5">
        <f>D2+I4</f>
        <v>17965.999999999909</v>
      </c>
      <c r="K10" s="88">
        <v>15</v>
      </c>
      <c r="L10" s="84" t="s">
        <v>206</v>
      </c>
      <c r="M10" s="5">
        <v>75.275327620758006</v>
      </c>
      <c r="N10" s="5">
        <v>23.613124841151599</v>
      </c>
      <c r="O10" s="53" t="s">
        <v>179</v>
      </c>
      <c r="R10" s="89"/>
      <c r="S10" s="89"/>
    </row>
    <row r="11" spans="1:28" x14ac:dyDescent="0.25">
      <c r="R11" s="89"/>
      <c r="S11" s="89"/>
    </row>
    <row r="12" spans="1:28" x14ac:dyDescent="0.25">
      <c r="L12" s="84" t="s">
        <v>216</v>
      </c>
      <c r="M12" s="5">
        <f>SUM(M2:M10)</f>
        <v>21936.653154261934</v>
      </c>
      <c r="N12" s="5">
        <f>SUM(N2:N10)</f>
        <v>19854.547157650715</v>
      </c>
      <c r="O12" s="53" t="s">
        <v>179</v>
      </c>
      <c r="R12" s="89"/>
      <c r="S12" s="89"/>
    </row>
    <row r="13" spans="1:28" x14ac:dyDescent="0.25">
      <c r="B13" s="84"/>
      <c r="M13" s="67">
        <f>(M12-C7)/C7</f>
        <v>-1.9128235814843212E-5</v>
      </c>
      <c r="N13" s="62">
        <f>(N12-D7)/D7</f>
        <v>-1.1225947401755737E-4</v>
      </c>
      <c r="R13" s="89"/>
      <c r="S13" s="89"/>
      <c r="V13" s="91"/>
      <c r="W13" s="86"/>
      <c r="X13" s="92"/>
      <c r="Y13" s="15"/>
    </row>
    <row r="14" spans="1:28" x14ac:dyDescent="0.25">
      <c r="B14" s="84"/>
      <c r="H14" s="20"/>
      <c r="R14" s="89"/>
      <c r="S14" s="89"/>
      <c r="V14" s="91"/>
      <c r="W14" s="86"/>
      <c r="X14" s="92"/>
      <c r="Y14" s="15"/>
    </row>
    <row r="15" spans="1:28" x14ac:dyDescent="0.25">
      <c r="B15" s="84"/>
      <c r="C15" s="84"/>
      <c r="R15" s="89"/>
      <c r="S15" s="89"/>
      <c r="V15" s="91"/>
      <c r="W15" s="86"/>
      <c r="X15" s="92"/>
      <c r="Y15" s="15"/>
    </row>
    <row r="16" spans="1:28" x14ac:dyDescent="0.25">
      <c r="N16" s="5">
        <f>N2+N3</f>
        <v>18611.542663252869</v>
      </c>
      <c r="Q16" s="93"/>
      <c r="R16" s="93"/>
      <c r="S16" s="94"/>
    </row>
    <row r="19" spans="1:23" x14ac:dyDescent="0.25">
      <c r="P19" s="100" t="s">
        <v>267</v>
      </c>
      <c r="Q19" s="100" t="s">
        <v>273</v>
      </c>
      <c r="S19" s="101" t="s">
        <v>267</v>
      </c>
      <c r="T19" s="87" t="s">
        <v>244</v>
      </c>
    </row>
    <row r="20" spans="1:23" x14ac:dyDescent="0.25">
      <c r="A20" s="125">
        <v>44480</v>
      </c>
      <c r="F20" s="125">
        <v>44480</v>
      </c>
      <c r="P20" s="92" t="s">
        <v>248</v>
      </c>
      <c r="Q20" s="99">
        <v>14189.984462183</v>
      </c>
      <c r="R20" s="99"/>
      <c r="S20" s="92" t="s">
        <v>248</v>
      </c>
      <c r="T20" s="99">
        <v>14258.8794645612</v>
      </c>
    </row>
    <row r="21" spans="1:23" x14ac:dyDescent="0.25">
      <c r="F21" s="1"/>
      <c r="P21" s="92" t="s">
        <v>249</v>
      </c>
      <c r="Q21" s="99">
        <v>293.92762749666201</v>
      </c>
      <c r="R21" s="99"/>
      <c r="S21" s="92" t="s">
        <v>249</v>
      </c>
      <c r="T21" s="99">
        <v>171.31842357771799</v>
      </c>
      <c r="U21" s="102">
        <f>U32-3760</f>
        <v>14206.416000000001</v>
      </c>
    </row>
    <row r="22" spans="1:23" x14ac:dyDescent="0.25">
      <c r="A22" s="105" t="s">
        <v>332</v>
      </c>
      <c r="B22" s="105" t="s">
        <v>273</v>
      </c>
      <c r="C22" s="105" t="s">
        <v>333</v>
      </c>
      <c r="F22" s="105" t="s">
        <v>332</v>
      </c>
      <c r="G22" s="105" t="s">
        <v>337</v>
      </c>
      <c r="H22" s="105" t="s">
        <v>333</v>
      </c>
      <c r="P22" s="85" t="s">
        <v>268</v>
      </c>
      <c r="Q22" s="99">
        <v>3776.0155378169602</v>
      </c>
      <c r="R22" s="99">
        <f>Q22+Q20</f>
        <v>17965.99999999996</v>
      </c>
      <c r="S22" s="85" t="s">
        <v>250</v>
      </c>
      <c r="T22" s="99">
        <v>3132.0440304423801</v>
      </c>
      <c r="U22" s="99"/>
    </row>
    <row r="23" spans="1:23" x14ac:dyDescent="0.25">
      <c r="A23" s="1" t="s">
        <v>329</v>
      </c>
      <c r="B23" s="1">
        <v>14137</v>
      </c>
      <c r="C23" s="1" t="s">
        <v>247</v>
      </c>
      <c r="D23" s="1">
        <v>17692</v>
      </c>
      <c r="F23" s="1" t="s">
        <v>329</v>
      </c>
      <c r="G23" s="1">
        <v>14205</v>
      </c>
      <c r="H23" s="1" t="s">
        <v>247</v>
      </c>
      <c r="I23" s="1">
        <v>3777</v>
      </c>
      <c r="P23" s="85" t="s">
        <v>269</v>
      </c>
      <c r="Q23" s="99">
        <v>1778.5102139057401</v>
      </c>
      <c r="R23" s="99">
        <f>Q22+Q30</f>
        <v>3828.9155378169603</v>
      </c>
      <c r="S23" s="85" t="s">
        <v>251</v>
      </c>
      <c r="T23" s="99">
        <v>1422.0313503290499</v>
      </c>
      <c r="U23" s="99"/>
      <c r="V23" s="103">
        <f>T23</f>
        <v>1422.0313503290499</v>
      </c>
      <c r="W23" s="85" t="s">
        <v>272</v>
      </c>
    </row>
    <row r="24" spans="1:23" x14ac:dyDescent="0.25">
      <c r="A24" s="1" t="s">
        <v>330</v>
      </c>
      <c r="B24" s="1">
        <v>6962</v>
      </c>
      <c r="C24" s="1" t="s">
        <v>334</v>
      </c>
      <c r="D24" s="1">
        <v>1195</v>
      </c>
      <c r="F24" s="1" t="s">
        <v>330</v>
      </c>
      <c r="G24" s="1">
        <v>4725</v>
      </c>
      <c r="H24" s="1" t="s">
        <v>338</v>
      </c>
      <c r="I24" s="1">
        <v>14692</v>
      </c>
      <c r="P24" t="s">
        <v>270</v>
      </c>
      <c r="Q24" s="99">
        <v>1113.63493036062</v>
      </c>
      <c r="R24" s="99">
        <f>Q33-R23</f>
        <v>14137.500462183041</v>
      </c>
      <c r="S24" s="85" t="s">
        <v>265</v>
      </c>
      <c r="T24" s="99">
        <v>0</v>
      </c>
      <c r="U24" s="99"/>
    </row>
    <row r="25" spans="1:23" x14ac:dyDescent="0.25">
      <c r="A25" s="1" t="s">
        <v>331</v>
      </c>
      <c r="B25" s="1">
        <v>67</v>
      </c>
      <c r="C25" s="1" t="s">
        <v>335</v>
      </c>
      <c r="D25" s="1">
        <v>738</v>
      </c>
      <c r="F25" s="1" t="s">
        <v>331</v>
      </c>
      <c r="G25" s="1">
        <v>67</v>
      </c>
      <c r="H25" s="1" t="s">
        <v>339</v>
      </c>
      <c r="I25" s="1">
        <v>150</v>
      </c>
      <c r="P25" s="85" t="s">
        <v>265</v>
      </c>
      <c r="Q25" s="99">
        <v>0</v>
      </c>
      <c r="R25" s="99"/>
      <c r="S25" s="85" t="s">
        <v>264</v>
      </c>
      <c r="T25" s="99">
        <v>1.7</v>
      </c>
    </row>
    <row r="26" spans="1:23" x14ac:dyDescent="0.25">
      <c r="A26" s="1" t="s">
        <v>315</v>
      </c>
      <c r="B26" s="1">
        <f>SUM(B23:B25)</f>
        <v>21166</v>
      </c>
      <c r="C26" s="1" t="s">
        <v>336</v>
      </c>
      <c r="D26" s="1">
        <v>459</v>
      </c>
      <c r="F26" s="84" t="s">
        <v>334</v>
      </c>
      <c r="G26" s="1">
        <v>855</v>
      </c>
      <c r="H26" s="1" t="s">
        <v>340</v>
      </c>
      <c r="I26" s="1">
        <v>10</v>
      </c>
      <c r="P26" s="85" t="s">
        <v>264</v>
      </c>
      <c r="Q26" s="99">
        <v>1.9319999999999999</v>
      </c>
      <c r="R26" s="99"/>
      <c r="S26" s="85" t="s">
        <v>266</v>
      </c>
      <c r="T26" s="99">
        <v>24.7</v>
      </c>
    </row>
    <row r="27" spans="1:23" x14ac:dyDescent="0.25">
      <c r="D27" s="1">
        <v>774</v>
      </c>
      <c r="F27" s="1" t="s">
        <v>315</v>
      </c>
      <c r="G27" s="1">
        <f>SUM(G23:G26)</f>
        <v>19852</v>
      </c>
      <c r="H27" s="1" t="s">
        <v>341</v>
      </c>
      <c r="I27" s="1">
        <v>24</v>
      </c>
      <c r="P27" s="85" t="s">
        <v>266</v>
      </c>
      <c r="Q27" s="99">
        <v>24.7</v>
      </c>
      <c r="R27" s="99"/>
      <c r="S27" s="85" t="s">
        <v>252</v>
      </c>
      <c r="T27" s="99">
        <v>17.696349313108701</v>
      </c>
    </row>
    <row r="28" spans="1:23" x14ac:dyDescent="0.25">
      <c r="D28" s="1">
        <v>127</v>
      </c>
      <c r="F28" s="1"/>
      <c r="H28" s="1" t="s">
        <v>342</v>
      </c>
      <c r="I28" s="1">
        <v>16</v>
      </c>
      <c r="P28" s="85" t="s">
        <v>271</v>
      </c>
      <c r="Q28" s="99">
        <v>41.1679999999999</v>
      </c>
      <c r="R28" s="99"/>
      <c r="S28" s="85" t="s">
        <v>253</v>
      </c>
      <c r="T28" s="99">
        <v>53.4</v>
      </c>
    </row>
    <row r="29" spans="1:23" ht="15.75" customHeight="1" x14ac:dyDescent="0.25">
      <c r="C29" s="1" t="s">
        <v>315</v>
      </c>
      <c r="D29" s="1">
        <f>SUM(D23:D28)</f>
        <v>20985</v>
      </c>
      <c r="F29" s="1"/>
      <c r="H29" s="1" t="s">
        <v>336</v>
      </c>
      <c r="I29" s="1">
        <v>459</v>
      </c>
      <c r="P29" s="85" t="s">
        <v>252</v>
      </c>
      <c r="Q29" s="99">
        <v>582.4</v>
      </c>
      <c r="R29" s="99"/>
      <c r="S29" s="85" t="s">
        <v>254</v>
      </c>
      <c r="T29" s="99">
        <v>450</v>
      </c>
    </row>
    <row r="30" spans="1:23" x14ac:dyDescent="0.25">
      <c r="C30" s="1" t="s">
        <v>345</v>
      </c>
      <c r="D30" s="1">
        <f>B26-D29</f>
        <v>181</v>
      </c>
      <c r="F30" s="1"/>
      <c r="H30" s="1" t="s">
        <v>343</v>
      </c>
      <c r="I30" s="1">
        <v>692</v>
      </c>
      <c r="P30" s="85" t="s">
        <v>253</v>
      </c>
      <c r="Q30" s="99">
        <v>52.9</v>
      </c>
      <c r="R30" s="99"/>
      <c r="S30" s="92" t="s">
        <v>255</v>
      </c>
      <c r="T30" s="99">
        <v>153.80000000000001</v>
      </c>
    </row>
    <row r="31" spans="1:23" x14ac:dyDescent="0.25">
      <c r="H31" s="1" t="s">
        <v>344</v>
      </c>
      <c r="I31" s="1">
        <v>154</v>
      </c>
      <c r="P31" s="85" t="s">
        <v>254</v>
      </c>
      <c r="Q31" s="99">
        <v>0</v>
      </c>
      <c r="R31" s="99"/>
      <c r="S31" s="92" t="s">
        <v>256</v>
      </c>
      <c r="T31" s="99">
        <v>3787.8381927414998</v>
      </c>
    </row>
    <row r="32" spans="1:23" x14ac:dyDescent="0.25">
      <c r="C32" s="1" t="s">
        <v>346</v>
      </c>
      <c r="D32" s="1">
        <f>D24+D30</f>
        <v>1376</v>
      </c>
      <c r="H32" s="1" t="s">
        <v>315</v>
      </c>
      <c r="I32" s="1">
        <f>SUM(I23:I31)</f>
        <v>19974</v>
      </c>
      <c r="P32" s="92" t="s">
        <v>255</v>
      </c>
      <c r="Q32" s="99">
        <v>40.4</v>
      </c>
      <c r="R32" s="99"/>
      <c r="S32" s="92" t="s">
        <v>257</v>
      </c>
      <c r="T32" s="99">
        <v>14178.5778072585</v>
      </c>
      <c r="U32" s="102">
        <f>T32+T31</f>
        <v>17966.416000000001</v>
      </c>
    </row>
    <row r="33" spans="1:21" x14ac:dyDescent="0.25">
      <c r="P33" s="92" t="s">
        <v>256</v>
      </c>
      <c r="Q33" s="99">
        <v>17966.416000000001</v>
      </c>
      <c r="R33" s="99"/>
      <c r="S33" s="92" t="s">
        <v>258</v>
      </c>
      <c r="T33" s="99">
        <v>149.87887825594299</v>
      </c>
    </row>
    <row r="34" spans="1:21" x14ac:dyDescent="0.25">
      <c r="H34" s="1" t="s">
        <v>345</v>
      </c>
      <c r="I34" s="1">
        <f>G27-I32</f>
        <v>-122</v>
      </c>
      <c r="P34" s="92" t="s">
        <v>257</v>
      </c>
      <c r="Q34" s="99">
        <v>0</v>
      </c>
      <c r="R34" s="99"/>
      <c r="S34" s="92" t="s">
        <v>263</v>
      </c>
      <c r="T34" s="99">
        <v>15.776301203169901</v>
      </c>
    </row>
    <row r="35" spans="1:21" x14ac:dyDescent="0.25">
      <c r="P35" s="92" t="s">
        <v>258</v>
      </c>
      <c r="Q35" s="99">
        <v>774.07852418565005</v>
      </c>
      <c r="R35" s="99"/>
      <c r="S35" s="92" t="s">
        <v>259</v>
      </c>
      <c r="T35" s="99">
        <v>23.359593431714298</v>
      </c>
    </row>
    <row r="36" spans="1:21" x14ac:dyDescent="0.25">
      <c r="H36" s="1" t="s">
        <v>346</v>
      </c>
      <c r="I36" s="1">
        <f>G26+I34</f>
        <v>733</v>
      </c>
      <c r="P36" s="92" t="s">
        <v>263</v>
      </c>
      <c r="Q36" s="99">
        <v>27.2739375376404</v>
      </c>
      <c r="R36" s="99"/>
      <c r="S36" s="92" t="s">
        <v>260</v>
      </c>
      <c r="T36" s="99">
        <v>3760.5205354387099</v>
      </c>
      <c r="U36" s="102">
        <f>T36+T20</f>
        <v>18019.399999999911</v>
      </c>
    </row>
    <row r="37" spans="1:21" x14ac:dyDescent="0.25">
      <c r="P37" s="92" t="s">
        <v>259</v>
      </c>
      <c r="Q37" s="99">
        <v>74.975165773371501</v>
      </c>
      <c r="R37" s="99"/>
      <c r="S37" s="92" t="s">
        <v>262</v>
      </c>
      <c r="T37" s="99">
        <v>575.07650499633201</v>
      </c>
    </row>
    <row r="38" spans="1:21" x14ac:dyDescent="0.25">
      <c r="P38" s="92" t="s">
        <v>260</v>
      </c>
      <c r="Q38" s="99">
        <v>3828.9155378169598</v>
      </c>
      <c r="R38" s="99"/>
      <c r="S38" s="92" t="s">
        <v>261</v>
      </c>
      <c r="T38" s="99">
        <v>309.65657961340997</v>
      </c>
    </row>
    <row r="39" spans="1:21" x14ac:dyDescent="0.25">
      <c r="P39" s="92"/>
    </row>
    <row r="40" spans="1:21" x14ac:dyDescent="0.25">
      <c r="B40" s="1" t="s">
        <v>347</v>
      </c>
      <c r="P40" s="92"/>
    </row>
    <row r="41" spans="1:21" x14ac:dyDescent="0.25">
      <c r="A41" s="1" t="s">
        <v>348</v>
      </c>
      <c r="B41" s="1">
        <v>582</v>
      </c>
      <c r="C41" s="62">
        <f>B41/SUM(B41:B42)</f>
        <v>0.66287015945330297</v>
      </c>
    </row>
    <row r="42" spans="1:21" x14ac:dyDescent="0.25">
      <c r="A42" s="1" t="s">
        <v>349</v>
      </c>
      <c r="B42" s="1">
        <v>296</v>
      </c>
      <c r="C42" s="62">
        <f>B42/SUM(B41:B42)</f>
        <v>0.33712984054669703</v>
      </c>
    </row>
    <row r="44" spans="1:21" x14ac:dyDescent="0.25">
      <c r="A44" s="1" t="s">
        <v>348</v>
      </c>
      <c r="B44" s="1">
        <v>20</v>
      </c>
      <c r="C44" s="62">
        <f>B44/SUM(B44:B45)</f>
        <v>0.10362694300518134</v>
      </c>
    </row>
    <row r="45" spans="1:21" x14ac:dyDescent="0.25">
      <c r="A45" s="1" t="s">
        <v>349</v>
      </c>
      <c r="B45" s="1">
        <v>173</v>
      </c>
      <c r="C45" s="62">
        <f>B45/SUM(B44:B45)</f>
        <v>0.89637305699481862</v>
      </c>
    </row>
    <row r="48" spans="1:21" x14ac:dyDescent="0.25">
      <c r="A48" s="125">
        <v>44490</v>
      </c>
    </row>
    <row r="49" spans="1:4" x14ac:dyDescent="0.25">
      <c r="A49" s="1" t="s">
        <v>273</v>
      </c>
    </row>
    <row r="50" spans="1:4" x14ac:dyDescent="0.25">
      <c r="A50" s="1" t="s">
        <v>332</v>
      </c>
      <c r="B50" s="1" t="s">
        <v>350</v>
      </c>
      <c r="C50" s="1" t="s">
        <v>351</v>
      </c>
    </row>
    <row r="51" spans="1:4" x14ac:dyDescent="0.25">
      <c r="A51" s="1">
        <v>606</v>
      </c>
      <c r="B51" s="1">
        <f>A51+A52+A53</f>
        <v>677</v>
      </c>
      <c r="C51" s="1">
        <v>776</v>
      </c>
    </row>
    <row r="52" spans="1:4" x14ac:dyDescent="0.25">
      <c r="A52" s="1">
        <v>67</v>
      </c>
      <c r="C52" s="1">
        <v>75</v>
      </c>
    </row>
    <row r="53" spans="1:4" x14ac:dyDescent="0.25">
      <c r="A53" s="1">
        <v>4</v>
      </c>
      <c r="C53" s="1">
        <v>27</v>
      </c>
    </row>
    <row r="54" spans="1:4" x14ac:dyDescent="0.25">
      <c r="A54" s="1">
        <v>294</v>
      </c>
      <c r="C54" s="1">
        <v>53</v>
      </c>
    </row>
    <row r="55" spans="1:4" x14ac:dyDescent="0.25">
      <c r="A55" s="1">
        <f>SUM(A51:A54)</f>
        <v>971</v>
      </c>
      <c r="C55" s="1">
        <v>40</v>
      </c>
    </row>
    <row r="56" spans="1:4" x14ac:dyDescent="0.25">
      <c r="C56" s="1">
        <f>SUM(C51:C55)</f>
        <v>971</v>
      </c>
    </row>
    <row r="58" spans="1:4" x14ac:dyDescent="0.25">
      <c r="A58" s="1" t="s">
        <v>353</v>
      </c>
    </row>
    <row r="59" spans="1:4" x14ac:dyDescent="0.25">
      <c r="A59" s="1" t="s">
        <v>332</v>
      </c>
      <c r="B59" s="1" t="s">
        <v>350</v>
      </c>
      <c r="C59" s="1" t="s">
        <v>351</v>
      </c>
    </row>
    <row r="60" spans="1:4" x14ac:dyDescent="0.25">
      <c r="A60" s="1">
        <v>606</v>
      </c>
      <c r="B60" s="1">
        <f>A60+A61+A62</f>
        <v>677</v>
      </c>
      <c r="C60" s="1">
        <v>450</v>
      </c>
    </row>
    <row r="61" spans="1:4" x14ac:dyDescent="0.25">
      <c r="A61" s="1">
        <v>67</v>
      </c>
      <c r="C61" s="1">
        <v>154</v>
      </c>
    </row>
    <row r="62" spans="1:4" x14ac:dyDescent="0.25">
      <c r="A62" s="1">
        <v>4</v>
      </c>
      <c r="C62" s="1">
        <v>53</v>
      </c>
      <c r="D62" s="1">
        <f>SUM(C60:C63)</f>
        <v>677</v>
      </c>
    </row>
    <row r="63" spans="1:4" x14ac:dyDescent="0.25">
      <c r="A63" s="1">
        <v>173</v>
      </c>
      <c r="C63" s="1">
        <v>20</v>
      </c>
    </row>
    <row r="64" spans="1:4" x14ac:dyDescent="0.25">
      <c r="A64" s="1">
        <f>SUM(A60:A63)</f>
        <v>850</v>
      </c>
    </row>
  </sheetData>
  <phoneticPr fontId="20" type="noConversion"/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2B59-8C46-4A8A-ACFF-089B0765FB74}">
  <dimension ref="A1:O76"/>
  <sheetViews>
    <sheetView topLeftCell="A55" zoomScale="90" zoomScaleNormal="90" workbookViewId="0">
      <selection activeCell="D18" sqref="D18"/>
    </sheetView>
  </sheetViews>
  <sheetFormatPr defaultRowHeight="13.8" x14ac:dyDescent="0.25"/>
  <cols>
    <col min="1" max="1" width="10.44140625" style="1" bestFit="1" customWidth="1"/>
    <col min="2" max="2" width="33.33203125" customWidth="1"/>
    <col min="3" max="3" width="31.6640625" bestFit="1" customWidth="1"/>
    <col min="4" max="4" width="18.88671875" customWidth="1"/>
    <col min="5" max="5" width="29.44140625" customWidth="1"/>
    <col min="6" max="7" width="12.33203125" bestFit="1" customWidth="1"/>
    <col min="8" max="8" width="12.109375" bestFit="1" customWidth="1"/>
    <col min="9" max="9" width="12.77734375" customWidth="1"/>
    <col min="10" max="10" width="16.109375" bestFit="1" customWidth="1"/>
    <col min="11" max="11" width="11.109375" bestFit="1" customWidth="1"/>
    <col min="12" max="12" width="16.77734375" customWidth="1"/>
    <col min="13" max="13" width="17.44140625" bestFit="1" customWidth="1"/>
    <col min="14" max="14" width="30.88671875" bestFit="1" customWidth="1"/>
  </cols>
  <sheetData>
    <row r="1" spans="2:15" x14ac:dyDescent="0.25">
      <c r="C1" s="1" t="s">
        <v>277</v>
      </c>
      <c r="D1" t="s">
        <v>275</v>
      </c>
    </row>
    <row r="2" spans="2:15" x14ac:dyDescent="0.25">
      <c r="B2" t="s">
        <v>208</v>
      </c>
      <c r="C2" s="20">
        <f>G3</f>
        <v>676.8</v>
      </c>
      <c r="E2" s="27"/>
      <c r="F2" s="27" t="s">
        <v>192</v>
      </c>
      <c r="G2" s="27" t="s">
        <v>193</v>
      </c>
      <c r="H2" s="27"/>
      <c r="J2" s="6" t="s">
        <v>0</v>
      </c>
      <c r="K2" s="7"/>
      <c r="L2" s="6"/>
      <c r="M2" s="6"/>
      <c r="N2" s="7"/>
    </row>
    <row r="3" spans="2:15" x14ac:dyDescent="0.25">
      <c r="B3" t="s">
        <v>209</v>
      </c>
      <c r="C3" s="20">
        <v>94.4</v>
      </c>
      <c r="D3" s="15"/>
      <c r="E3" t="s">
        <v>215</v>
      </c>
      <c r="F3" s="33">
        <f>C2</f>
        <v>676.8</v>
      </c>
      <c r="G3" s="33">
        <f>C3+C6</f>
        <v>676.8</v>
      </c>
      <c r="J3" s="7"/>
      <c r="K3" s="7" t="s">
        <v>2</v>
      </c>
      <c r="L3" s="7" t="s">
        <v>3</v>
      </c>
      <c r="M3" s="7" t="s">
        <v>274</v>
      </c>
      <c r="N3" s="7" t="s">
        <v>284</v>
      </c>
    </row>
    <row r="4" spans="2:15" x14ac:dyDescent="0.25">
      <c r="C4" s="1"/>
      <c r="E4" t="s">
        <v>214</v>
      </c>
      <c r="F4" s="33">
        <f>C5+C6</f>
        <v>876.32762749666199</v>
      </c>
      <c r="G4" s="33">
        <f>C7+C8+C9+C10</f>
        <v>878.76031414185547</v>
      </c>
      <c r="J4" s="7" t="s">
        <v>7</v>
      </c>
      <c r="K4" s="7">
        <v>407</v>
      </c>
      <c r="L4" s="7">
        <v>3542</v>
      </c>
      <c r="M4" s="7" t="s">
        <v>8</v>
      </c>
      <c r="N4" s="7" t="s">
        <v>285</v>
      </c>
    </row>
    <row r="5" spans="2:15" x14ac:dyDescent="0.25">
      <c r="B5" t="s">
        <v>99</v>
      </c>
      <c r="C5" s="20">
        <v>293.92762749666201</v>
      </c>
      <c r="D5" s="16">
        <f>C6/(C5+C6)</f>
        <v>0.66459162272870187</v>
      </c>
      <c r="J5" s="7" t="s">
        <v>7</v>
      </c>
      <c r="K5" s="8">
        <f>K4/2.2*365/1000</f>
        <v>67.524999999999991</v>
      </c>
      <c r="L5" s="8">
        <f>L4/2.2*365/1000</f>
        <v>587.64999999999986</v>
      </c>
      <c r="M5" s="7" t="s">
        <v>11</v>
      </c>
      <c r="N5" s="7" t="s">
        <v>285</v>
      </c>
      <c r="O5" s="80">
        <f>K5+L5</f>
        <v>655.17499999999984</v>
      </c>
    </row>
    <row r="6" spans="2:15" x14ac:dyDescent="0.25">
      <c r="B6" t="s">
        <v>103</v>
      </c>
      <c r="C6" s="134">
        <v>582.4</v>
      </c>
      <c r="D6" t="s">
        <v>276</v>
      </c>
      <c r="J6" s="7" t="s">
        <v>7</v>
      </c>
      <c r="K6" s="7">
        <v>4</v>
      </c>
      <c r="L6" s="7">
        <v>28.3</v>
      </c>
      <c r="M6" s="7" t="s">
        <v>14</v>
      </c>
      <c r="N6" s="7" t="s">
        <v>285</v>
      </c>
    </row>
    <row r="7" spans="2:15" x14ac:dyDescent="0.25">
      <c r="B7" t="s">
        <v>102</v>
      </c>
      <c r="C7" s="20">
        <v>27.2739375376404</v>
      </c>
      <c r="J7" s="7" t="s">
        <v>17</v>
      </c>
      <c r="K7" s="7"/>
      <c r="L7" s="56">
        <f>P_CornBiorefinery!B12</f>
        <v>6300918.1600000001</v>
      </c>
      <c r="M7" s="7" t="s">
        <v>18</v>
      </c>
      <c r="N7" s="7"/>
    </row>
    <row r="8" spans="2:15" x14ac:dyDescent="0.25">
      <c r="B8" t="s">
        <v>101</v>
      </c>
      <c r="C8" s="20">
        <v>77.407852418565</v>
      </c>
      <c r="J8" s="7" t="s">
        <v>20</v>
      </c>
      <c r="K8" s="7"/>
      <c r="L8" s="8">
        <f>L7*L6/1000000</f>
        <v>178.31598392800001</v>
      </c>
      <c r="M8" s="7" t="s">
        <v>11</v>
      </c>
      <c r="N8" s="7"/>
    </row>
    <row r="9" spans="2:15" x14ac:dyDescent="0.25">
      <c r="B9" t="s">
        <v>100</v>
      </c>
      <c r="C9" s="20">
        <v>774.07852418565005</v>
      </c>
      <c r="J9" s="7" t="s">
        <v>21</v>
      </c>
      <c r="K9" s="7"/>
      <c r="L9" s="7">
        <v>27.4</v>
      </c>
      <c r="M9" s="7" t="s">
        <v>22</v>
      </c>
      <c r="N9" s="7"/>
    </row>
    <row r="10" spans="2:15" x14ac:dyDescent="0.25">
      <c r="B10" t="s">
        <v>191</v>
      </c>
      <c r="C10" s="1">
        <v>0</v>
      </c>
      <c r="J10" s="7" t="s">
        <v>26</v>
      </c>
      <c r="K10" s="7"/>
      <c r="L10" s="7">
        <v>14.6</v>
      </c>
      <c r="M10" s="7" t="s">
        <v>14</v>
      </c>
      <c r="N10" s="7"/>
    </row>
    <row r="11" spans="2:15" x14ac:dyDescent="0.25">
      <c r="C11" s="1"/>
      <c r="J11" s="7" t="s">
        <v>26</v>
      </c>
      <c r="K11" s="7"/>
      <c r="L11" s="10">
        <f>L9*3785*365*L10/1000000</f>
        <v>552.66526099999999</v>
      </c>
      <c r="M11" s="7" t="s">
        <v>28</v>
      </c>
      <c r="N11" s="7"/>
    </row>
    <row r="12" spans="2:15" x14ac:dyDescent="0.25">
      <c r="B12" t="s">
        <v>218</v>
      </c>
      <c r="C12" s="20">
        <f>2628.19034472146*365/1000</f>
        <v>959.28947582333285</v>
      </c>
      <c r="J12" s="7" t="s">
        <v>30</v>
      </c>
      <c r="K12" s="7"/>
      <c r="L12" s="7">
        <v>16.2</v>
      </c>
      <c r="M12" s="7" t="s">
        <v>14</v>
      </c>
      <c r="N12" s="7"/>
    </row>
    <row r="13" spans="2:15" x14ac:dyDescent="0.25">
      <c r="B13" t="s">
        <v>219</v>
      </c>
      <c r="C13" s="20">
        <v>800</v>
      </c>
      <c r="D13" t="s">
        <v>224</v>
      </c>
      <c r="J13" s="7" t="s">
        <v>30</v>
      </c>
      <c r="K13" s="7"/>
      <c r="L13" s="10">
        <f>L9*3785*365*L12/1000000</f>
        <v>613.23131699999999</v>
      </c>
      <c r="M13" s="7" t="s">
        <v>31</v>
      </c>
      <c r="N13" s="7"/>
    </row>
    <row r="14" spans="2:15" x14ac:dyDescent="0.25">
      <c r="C14" s="20">
        <v>680</v>
      </c>
      <c r="D14" t="s">
        <v>225</v>
      </c>
      <c r="J14" s="7" t="s">
        <v>33</v>
      </c>
      <c r="K14" s="7"/>
      <c r="L14" s="10">
        <f>P_CornBiorefinery!C12</f>
        <v>1668546</v>
      </c>
      <c r="M14" s="7" t="s">
        <v>34</v>
      </c>
      <c r="N14" s="7"/>
    </row>
    <row r="15" spans="2:15" x14ac:dyDescent="0.25">
      <c r="J15" s="7" t="s">
        <v>33</v>
      </c>
      <c r="K15" s="7"/>
      <c r="L15" s="7">
        <v>5</v>
      </c>
      <c r="M15" s="7" t="s">
        <v>35</v>
      </c>
      <c r="N15" s="7"/>
    </row>
    <row r="16" spans="2:15" x14ac:dyDescent="0.25">
      <c r="J16" s="7" t="s">
        <v>33</v>
      </c>
      <c r="K16" s="7"/>
      <c r="L16" s="7">
        <f>L15*3785*330</f>
        <v>6245250</v>
      </c>
      <c r="M16" s="7" t="s">
        <v>36</v>
      </c>
      <c r="N16" s="8">
        <f>L16/L14</f>
        <v>3.7429294727265536</v>
      </c>
    </row>
    <row r="17" spans="2:14" x14ac:dyDescent="0.25">
      <c r="J17" s="7" t="s">
        <v>37</v>
      </c>
      <c r="K17" s="7"/>
      <c r="L17" s="10">
        <f>P_CornBiorefinery!D12</f>
        <v>3038492.16</v>
      </c>
      <c r="M17" s="7" t="s">
        <v>34</v>
      </c>
      <c r="N17" s="8"/>
    </row>
    <row r="18" spans="2:14" x14ac:dyDescent="0.25">
      <c r="J18" s="7" t="s">
        <v>37</v>
      </c>
      <c r="K18" s="7"/>
      <c r="L18" s="7">
        <v>10</v>
      </c>
      <c r="M18" s="7" t="s">
        <v>35</v>
      </c>
      <c r="N18" s="8"/>
    </row>
    <row r="19" spans="2:14" x14ac:dyDescent="0.25">
      <c r="B19" s="1" t="s">
        <v>222</v>
      </c>
      <c r="C19" s="1"/>
      <c r="D19" s="67">
        <f>($C24-D24)/$C24</f>
        <v>0.97374043298173196</v>
      </c>
      <c r="E19" s="67">
        <f>($C24-E24)/$C24</f>
        <v>0.85439867554753524</v>
      </c>
      <c r="F19" s="67">
        <f>($C24-F24)/$C24</f>
        <v>0.91337991622828141</v>
      </c>
      <c r="G19" s="67">
        <f>($C24-G24)/$C24</f>
        <v>0.96961478483326113</v>
      </c>
      <c r="J19" s="7" t="s">
        <v>37</v>
      </c>
      <c r="K19" s="7"/>
      <c r="L19" s="7">
        <f>L18*3785*330</f>
        <v>12490500</v>
      </c>
      <c r="M19" s="7" t="s">
        <v>34</v>
      </c>
      <c r="N19" s="8">
        <f>L19/L17</f>
        <v>4.1107560402591261</v>
      </c>
    </row>
    <row r="20" spans="2:14" x14ac:dyDescent="0.25">
      <c r="B20" s="1"/>
      <c r="C20" s="1" t="s">
        <v>210</v>
      </c>
      <c r="D20" s="1" t="s">
        <v>77</v>
      </c>
      <c r="E20" s="1" t="s">
        <v>211</v>
      </c>
      <c r="F20" s="1" t="s">
        <v>212</v>
      </c>
      <c r="G20" s="1" t="s">
        <v>213</v>
      </c>
      <c r="J20" t="s">
        <v>38</v>
      </c>
      <c r="L20" s="15">
        <f>(L19+L16)*L6/1000000</f>
        <v>530.22172499999999</v>
      </c>
      <c r="M20" s="7"/>
      <c r="N20" s="8"/>
    </row>
    <row r="21" spans="2:14" x14ac:dyDescent="0.25">
      <c r="B21" s="116" t="s">
        <v>226</v>
      </c>
      <c r="C21" s="76">
        <v>94.411878000000002</v>
      </c>
      <c r="D21" s="76">
        <v>992.81536249999999</v>
      </c>
      <c r="E21" s="76">
        <v>847.80181949999997</v>
      </c>
      <c r="F21" s="76">
        <v>872.90479080000011</v>
      </c>
      <c r="G21" s="76">
        <v>478.93774050000002</v>
      </c>
    </row>
    <row r="22" spans="2:14" x14ac:dyDescent="0.25">
      <c r="B22" s="115" t="s">
        <v>227</v>
      </c>
      <c r="C22" s="78">
        <f>C27-C24</f>
        <v>94.399999999999977</v>
      </c>
      <c r="D22" s="78">
        <f>D27-D24-D28</f>
        <v>661.50642816856066</v>
      </c>
      <c r="E22" s="78">
        <f>E27-E24-E28</f>
        <v>592.00178863888448</v>
      </c>
      <c r="F22" s="78">
        <f>F27-F24-F28</f>
        <v>626.35246321135105</v>
      </c>
      <c r="G22" s="78">
        <f>G27-G24-G28</f>
        <v>209.10365068689123</v>
      </c>
    </row>
    <row r="23" spans="2:14" x14ac:dyDescent="0.25">
      <c r="B23" t="s">
        <v>125</v>
      </c>
      <c r="C23" s="5">
        <v>52.938046325943937</v>
      </c>
      <c r="D23" s="5">
        <v>53.333186550731156</v>
      </c>
      <c r="E23" s="5">
        <v>54.012133425074175</v>
      </c>
      <c r="F23" s="5">
        <v>54.320569133094054</v>
      </c>
      <c r="G23" s="5">
        <v>53.376425902661893</v>
      </c>
    </row>
    <row r="24" spans="2:14" x14ac:dyDescent="0.25">
      <c r="B24" s="1" t="s">
        <v>103</v>
      </c>
      <c r="C24" s="5">
        <f>C34</f>
        <v>582.4</v>
      </c>
      <c r="D24" s="5">
        <f>D34</f>
        <v>15.2935718314393</v>
      </c>
      <c r="E24" s="5">
        <f>E34</f>
        <v>84.798211361115506</v>
      </c>
      <c r="F24" s="5">
        <f>F34</f>
        <v>50.447536788648897</v>
      </c>
      <c r="G24" s="5">
        <f>G34</f>
        <v>17.696349313108701</v>
      </c>
    </row>
    <row r="25" spans="2:14" x14ac:dyDescent="0.25">
      <c r="B25" s="1" t="s">
        <v>314</v>
      </c>
      <c r="C25" s="20">
        <f>C24+C21</f>
        <v>676.81187799999998</v>
      </c>
      <c r="D25" s="5">
        <f>D24+D21</f>
        <v>1008.1089343314393</v>
      </c>
      <c r="E25" s="5">
        <f>E24+E21</f>
        <v>932.60003086111544</v>
      </c>
      <c r="F25" s="5">
        <f>F24+F21</f>
        <v>923.35232758864902</v>
      </c>
      <c r="G25" s="5">
        <f>G24+G21+G28</f>
        <v>946.63408981310874</v>
      </c>
    </row>
    <row r="26" spans="2:14" x14ac:dyDescent="0.25">
      <c r="B26" s="1" t="s">
        <v>352</v>
      </c>
      <c r="C26" s="107">
        <f>C24+C22+C28</f>
        <v>676.8</v>
      </c>
      <c r="D26" s="107">
        <f>D24+D22+D28</f>
        <v>676.8</v>
      </c>
      <c r="E26" s="107">
        <f>E24+E22+E28</f>
        <v>676.8</v>
      </c>
      <c r="F26" s="107">
        <f>F24+F22+F28</f>
        <v>676.8</v>
      </c>
      <c r="G26" s="107">
        <f>G24+G22+G28</f>
        <v>676.8</v>
      </c>
    </row>
    <row r="27" spans="2:14" x14ac:dyDescent="0.25">
      <c r="B27" s="1" t="s">
        <v>208</v>
      </c>
      <c r="C27" s="20">
        <f>$C$2</f>
        <v>676.8</v>
      </c>
      <c r="D27" s="20">
        <f t="shared" ref="D27:G27" si="0">$C$2</f>
        <v>676.8</v>
      </c>
      <c r="E27" s="20">
        <f>$C$2</f>
        <v>676.8</v>
      </c>
      <c r="F27" s="20">
        <f t="shared" si="0"/>
        <v>676.8</v>
      </c>
      <c r="G27" s="20">
        <f>$C$2</f>
        <v>676.8</v>
      </c>
    </row>
    <row r="28" spans="2:14" x14ac:dyDescent="0.25">
      <c r="B28" t="s">
        <v>191</v>
      </c>
      <c r="C28" s="1">
        <v>0</v>
      </c>
      <c r="D28" s="20">
        <v>0</v>
      </c>
      <c r="E28" s="20">
        <v>0</v>
      </c>
      <c r="F28" s="20">
        <v>0</v>
      </c>
      <c r="G28" s="20">
        <v>450</v>
      </c>
    </row>
    <row r="31" spans="2:14" x14ac:dyDescent="0.25">
      <c r="D31" s="104"/>
    </row>
    <row r="33" spans="1:15" x14ac:dyDescent="0.25">
      <c r="B33" t="s">
        <v>99</v>
      </c>
      <c r="C33" s="20">
        <v>293.92762749666201</v>
      </c>
      <c r="D33" s="20">
        <v>293.92762749666201</v>
      </c>
      <c r="E33" s="20">
        <v>293.92762749666201</v>
      </c>
      <c r="F33" s="20">
        <v>293.92762749666201</v>
      </c>
      <c r="G33" s="20">
        <v>293.92762749666201</v>
      </c>
    </row>
    <row r="34" spans="1:15" x14ac:dyDescent="0.25">
      <c r="B34" t="s">
        <v>103</v>
      </c>
      <c r="C34" s="20">
        <v>582.4</v>
      </c>
      <c r="D34" s="20">
        <v>15.2935718314393</v>
      </c>
      <c r="E34" s="20">
        <v>84.798211361115506</v>
      </c>
      <c r="F34" s="20">
        <v>50.447536788648897</v>
      </c>
      <c r="G34" s="20">
        <v>17.696349313108701</v>
      </c>
    </row>
    <row r="35" spans="1:15" x14ac:dyDescent="0.25">
      <c r="B35" t="s">
        <v>102</v>
      </c>
      <c r="C35" s="20">
        <v>27.2739375376404</v>
      </c>
      <c r="D35" s="20">
        <v>27.2739375376404</v>
      </c>
      <c r="E35" s="20">
        <v>27.2739375376404</v>
      </c>
      <c r="F35" s="20">
        <v>27.2739375376404</v>
      </c>
      <c r="G35" s="20">
        <v>27.2739375376404</v>
      </c>
    </row>
    <row r="36" spans="1:15" x14ac:dyDescent="0.25">
      <c r="B36" s="82" t="s">
        <v>230</v>
      </c>
      <c r="C36" s="76">
        <v>77.407852418565</v>
      </c>
      <c r="D36" s="76">
        <v>24.405670218793901</v>
      </c>
      <c r="E36" s="76">
        <v>30.8654966486686</v>
      </c>
      <c r="F36" s="76">
        <v>27.707585078278001</v>
      </c>
      <c r="G36" s="76">
        <v>25.256771806008899</v>
      </c>
    </row>
    <row r="37" spans="1:15" x14ac:dyDescent="0.25">
      <c r="B37" t="s">
        <v>100</v>
      </c>
      <c r="C37" s="20">
        <v>774.07852418565005</v>
      </c>
      <c r="D37" s="20">
        <v>244.05670218793901</v>
      </c>
      <c r="E37" s="20">
        <v>308.65496648668602</v>
      </c>
      <c r="F37" s="20">
        <v>277.07585078277998</v>
      </c>
      <c r="G37" s="20">
        <v>252.56771806008899</v>
      </c>
    </row>
    <row r="38" spans="1:15" x14ac:dyDescent="0.25">
      <c r="B38" s="83" t="s">
        <v>231</v>
      </c>
      <c r="C38" s="78">
        <f>C40-C35-C37</f>
        <v>74.975165773371486</v>
      </c>
      <c r="D38" s="78">
        <f t="shared" ref="D38:G38" si="1">D40-D35-D37</f>
        <v>37.890559602521904</v>
      </c>
      <c r="E38" s="78">
        <f t="shared" si="1"/>
        <v>42.796934833451076</v>
      </c>
      <c r="F38" s="78">
        <f t="shared" si="1"/>
        <v>40.025375964890543</v>
      </c>
      <c r="G38" s="78">
        <f t="shared" si="1"/>
        <v>31.782321212041353</v>
      </c>
    </row>
    <row r="39" spans="1:15" x14ac:dyDescent="0.25">
      <c r="C39" s="20"/>
      <c r="D39" s="20"/>
      <c r="E39" s="20"/>
      <c r="F39" s="20"/>
      <c r="G39" s="20"/>
    </row>
    <row r="40" spans="1:15" x14ac:dyDescent="0.25">
      <c r="B40" s="27" t="s">
        <v>192</v>
      </c>
      <c r="C40" s="20">
        <f>C33+C34</f>
        <v>876.32762749666199</v>
      </c>
      <c r="D40" s="20">
        <f>D33+D34</f>
        <v>309.22119932810131</v>
      </c>
      <c r="E40" s="20">
        <f t="shared" ref="D40:G40" si="2">E33+E34</f>
        <v>378.72583885777749</v>
      </c>
      <c r="F40" s="20">
        <f t="shared" si="2"/>
        <v>344.37516428531092</v>
      </c>
      <c r="G40" s="20">
        <f t="shared" si="2"/>
        <v>311.62397680977074</v>
      </c>
    </row>
    <row r="41" spans="1:15" x14ac:dyDescent="0.25">
      <c r="B41" s="27" t="s">
        <v>193</v>
      </c>
      <c r="C41" s="20">
        <f>C37+C36+C35</f>
        <v>878.76031414185547</v>
      </c>
      <c r="D41" s="20">
        <f>D37+D36+D35</f>
        <v>295.73630994437332</v>
      </c>
      <c r="E41" s="20">
        <f>E37+E36+E35</f>
        <v>366.79440067299504</v>
      </c>
      <c r="F41" s="20">
        <f>F37+F36+F35</f>
        <v>332.05737339869836</v>
      </c>
      <c r="G41" s="20">
        <f>G37+G36+G35</f>
        <v>305.0984274037383</v>
      </c>
    </row>
    <row r="42" spans="1:15" x14ac:dyDescent="0.25">
      <c r="B42" s="27" t="s">
        <v>232</v>
      </c>
      <c r="C42" s="20">
        <f>C38+C37+C35</f>
        <v>876.32762749666199</v>
      </c>
      <c r="D42" s="20">
        <f>D38+D37+D35</f>
        <v>309.22119932810131</v>
      </c>
      <c r="E42" s="20">
        <f t="shared" ref="D42:G42" si="3">E38+E37+E35</f>
        <v>378.72583885777749</v>
      </c>
      <c r="F42" s="20">
        <f t="shared" si="3"/>
        <v>344.37516428531092</v>
      </c>
      <c r="G42" s="20">
        <f t="shared" si="3"/>
        <v>311.62397680977074</v>
      </c>
    </row>
    <row r="44" spans="1:15" x14ac:dyDescent="0.25">
      <c r="A44" s="105" t="s">
        <v>282</v>
      </c>
      <c r="B44" s="105" t="s">
        <v>319</v>
      </c>
      <c r="C44" s="105" t="s">
        <v>320</v>
      </c>
      <c r="D44" s="106" t="s">
        <v>321</v>
      </c>
      <c r="E44" s="105" t="s">
        <v>275</v>
      </c>
      <c r="F44" s="105" t="s">
        <v>274</v>
      </c>
      <c r="H44" t="s">
        <v>279</v>
      </c>
      <c r="L44" s="15">
        <v>2.1</v>
      </c>
      <c r="M44" t="s">
        <v>312</v>
      </c>
      <c r="N44">
        <v>5</v>
      </c>
    </row>
    <row r="45" spans="1:15" x14ac:dyDescent="0.25">
      <c r="A45" s="20">
        <f>609*0.453592*365/1000</f>
        <v>100.82669772</v>
      </c>
      <c r="B45" s="20">
        <f>2233*0.453592*365/1000</f>
        <v>369.69789163999997</v>
      </c>
      <c r="C45" s="114">
        <f>1107*0.453592*365/1000</f>
        <v>183.27611555999999</v>
      </c>
      <c r="D45" s="114">
        <f>B46-L48-N48-A45</f>
        <v>548.51390426794592</v>
      </c>
      <c r="E45" s="113" t="s">
        <v>313</v>
      </c>
      <c r="F45" s="121" t="s">
        <v>278</v>
      </c>
      <c r="H45">
        <v>0.18</v>
      </c>
      <c r="I45" s="104" t="s">
        <v>280</v>
      </c>
      <c r="L45" s="15">
        <v>82308</v>
      </c>
      <c r="M45" t="s">
        <v>309</v>
      </c>
    </row>
    <row r="46" spans="1:15" x14ac:dyDescent="0.25">
      <c r="A46" s="105" t="s">
        <v>315</v>
      </c>
      <c r="B46" s="107">
        <f>B45+C45+A45</f>
        <v>653.80070491999993</v>
      </c>
      <c r="H46">
        <v>10</v>
      </c>
      <c r="I46" s="106" t="s">
        <v>286</v>
      </c>
      <c r="L46" s="15">
        <v>11.6</v>
      </c>
      <c r="M46" t="s">
        <v>310</v>
      </c>
    </row>
    <row r="47" spans="1:15" x14ac:dyDescent="0.25">
      <c r="B47" s="105" t="s">
        <v>281</v>
      </c>
      <c r="C47" s="105" t="s">
        <v>282</v>
      </c>
      <c r="D47" s="106" t="s">
        <v>321</v>
      </c>
      <c r="E47" s="105" t="s">
        <v>275</v>
      </c>
      <c r="F47" s="105" t="s">
        <v>274</v>
      </c>
      <c r="H47">
        <f>H46*330/1000</f>
        <v>3.3</v>
      </c>
      <c r="I47" s="104" t="s">
        <v>287</v>
      </c>
      <c r="L47" s="15">
        <f>L45*3.78541/1000*365</f>
        <v>113722.8770922</v>
      </c>
      <c r="M47" t="s">
        <v>311</v>
      </c>
    </row>
    <row r="48" spans="1:15" x14ac:dyDescent="0.25">
      <c r="B48" s="20">
        <f>3542*0.453592*365/1000</f>
        <v>586.4173453599999</v>
      </c>
      <c r="C48" s="20">
        <f>407*0.453592*365/1000</f>
        <v>67.383359560000002</v>
      </c>
      <c r="D48" s="114">
        <f>B49-L48-N48-C48</f>
        <v>581.95724242794586</v>
      </c>
      <c r="E48" s="1" t="s">
        <v>283</v>
      </c>
      <c r="F48" s="121" t="s">
        <v>278</v>
      </c>
      <c r="H48">
        <f>2544*365</f>
        <v>928560</v>
      </c>
      <c r="I48" s="104" t="s">
        <v>290</v>
      </c>
      <c r="L48" s="15">
        <f>L47*L46/1000000</f>
        <v>1.3191853742695199</v>
      </c>
      <c r="M48" t="s">
        <v>278</v>
      </c>
      <c r="N48" s="15">
        <f>L48*N44/L44</f>
        <v>3.1409175577845709</v>
      </c>
      <c r="O48" t="s">
        <v>278</v>
      </c>
    </row>
    <row r="49" spans="1:11" x14ac:dyDescent="0.25">
      <c r="A49" s="105" t="s">
        <v>315</v>
      </c>
      <c r="B49" s="107">
        <f>B48+C48</f>
        <v>653.80070491999993</v>
      </c>
    </row>
    <row r="50" spans="1:11" x14ac:dyDescent="0.25">
      <c r="B50" s="104" t="s">
        <v>318</v>
      </c>
      <c r="H50" s="104" t="s">
        <v>291</v>
      </c>
      <c r="I50" s="104"/>
      <c r="J50" s="104" t="s">
        <v>289</v>
      </c>
      <c r="K50" s="104"/>
    </row>
    <row r="51" spans="1:11" x14ac:dyDescent="0.25">
      <c r="B51" s="72">
        <f>30000/39.368*330</f>
        <v>251473.27778906724</v>
      </c>
      <c r="C51" t="s">
        <v>327</v>
      </c>
      <c r="E51" s="122"/>
      <c r="H51" s="119">
        <f>H47*2.1/0.928</f>
        <v>7.4676724137931032</v>
      </c>
      <c r="I51" s="120" t="s">
        <v>287</v>
      </c>
      <c r="J51" s="119">
        <f>H47*5/0.928</f>
        <v>17.780172413793103</v>
      </c>
      <c r="K51" s="120" t="s">
        <v>287</v>
      </c>
    </row>
    <row r="52" spans="1:11" x14ac:dyDescent="0.25">
      <c r="B52" s="118">
        <f>B51*0.4138/100</f>
        <v>1040.5964234911603</v>
      </c>
      <c r="C52" t="s">
        <v>317</v>
      </c>
    </row>
    <row r="53" spans="1:11" x14ac:dyDescent="0.25">
      <c r="A53" s="67"/>
      <c r="B53" s="109">
        <f>510332916/1000</f>
        <v>510332.91600000003</v>
      </c>
      <c r="C53" t="s">
        <v>322</v>
      </c>
      <c r="H53" t="s">
        <v>288</v>
      </c>
    </row>
    <row r="54" spans="1:11" x14ac:dyDescent="0.25">
      <c r="B54" s="111">
        <f>B53*0.85*0.41/100</f>
        <v>1778.5102122600001</v>
      </c>
      <c r="C54" t="s">
        <v>325</v>
      </c>
    </row>
    <row r="55" spans="1:11" x14ac:dyDescent="0.25">
      <c r="B55" s="111">
        <f>B54-B52</f>
        <v>737.91378876883982</v>
      </c>
      <c r="C55" t="s">
        <v>326</v>
      </c>
    </row>
    <row r="56" spans="1:11" x14ac:dyDescent="0.25">
      <c r="B56" s="124">
        <f>B52-D48</f>
        <v>458.63918106321444</v>
      </c>
      <c r="C56" t="s">
        <v>328</v>
      </c>
    </row>
    <row r="57" spans="1:11" x14ac:dyDescent="0.25">
      <c r="B57" s="83" t="s">
        <v>292</v>
      </c>
      <c r="C57" s="108">
        <v>7240000</v>
      </c>
      <c r="D57" s="83" t="s">
        <v>293</v>
      </c>
    </row>
    <row r="58" spans="1:11" x14ac:dyDescent="0.25">
      <c r="B58" s="83" t="s">
        <v>294</v>
      </c>
      <c r="C58" s="108">
        <v>324000</v>
      </c>
      <c r="D58" s="83" t="s">
        <v>293</v>
      </c>
    </row>
    <row r="61" spans="1:11" x14ac:dyDescent="0.25">
      <c r="B61" t="s">
        <v>295</v>
      </c>
      <c r="C61" s="109">
        <v>599913.57999999996</v>
      </c>
      <c r="D61" t="s">
        <v>293</v>
      </c>
    </row>
    <row r="63" spans="1:11" x14ac:dyDescent="0.25">
      <c r="B63" t="s">
        <v>296</v>
      </c>
      <c r="C63" s="110">
        <f>582397.8012075/1.11</f>
        <v>524682.70379054057</v>
      </c>
      <c r="D63" t="s">
        <v>293</v>
      </c>
      <c r="E63" t="s">
        <v>297</v>
      </c>
      <c r="F63">
        <v>680</v>
      </c>
      <c r="G63" t="s">
        <v>298</v>
      </c>
    </row>
    <row r="64" spans="1:11" x14ac:dyDescent="0.25">
      <c r="B64" t="s">
        <v>299</v>
      </c>
      <c r="C64" s="16" t="e">
        <f>C61/#REF!</f>
        <v>#REF!</v>
      </c>
      <c r="F64">
        <v>940</v>
      </c>
      <c r="G64" t="s">
        <v>246</v>
      </c>
    </row>
    <row r="65" spans="2:8" x14ac:dyDescent="0.25">
      <c r="B65" t="s">
        <v>300</v>
      </c>
      <c r="C65" s="16" t="e">
        <f>C63/#REF!</f>
        <v>#REF!</v>
      </c>
      <c r="F65" s="16">
        <f>F63/F64</f>
        <v>0.72340425531914898</v>
      </c>
    </row>
    <row r="67" spans="2:8" x14ac:dyDescent="0.25">
      <c r="B67" t="s">
        <v>301</v>
      </c>
      <c r="C67" s="16">
        <f>582/(582+301)</f>
        <v>0.65911664779161949</v>
      </c>
    </row>
    <row r="68" spans="2:8" x14ac:dyDescent="0.25">
      <c r="B68" t="s">
        <v>302</v>
      </c>
      <c r="C68" s="109">
        <v>301000</v>
      </c>
      <c r="D68" t="s">
        <v>293</v>
      </c>
    </row>
    <row r="69" spans="2:8" x14ac:dyDescent="0.25">
      <c r="B69" t="s">
        <v>303</v>
      </c>
      <c r="C69" s="111">
        <f>C68-115000-76000</f>
        <v>110000</v>
      </c>
      <c r="D69" t="s">
        <v>293</v>
      </c>
    </row>
    <row r="71" spans="2:8" x14ac:dyDescent="0.25">
      <c r="B71" t="s">
        <v>304</v>
      </c>
    </row>
    <row r="72" spans="2:8" x14ac:dyDescent="0.25">
      <c r="B72" t="s">
        <v>301</v>
      </c>
      <c r="C72" s="67">
        <f>C74/(C73+C74)</f>
        <v>0.61538461538461542</v>
      </c>
    </row>
    <row r="73" spans="2:8" x14ac:dyDescent="0.25">
      <c r="B73" t="s">
        <v>305</v>
      </c>
      <c r="C73" s="1">
        <v>500</v>
      </c>
      <c r="D73" t="s">
        <v>179</v>
      </c>
    </row>
    <row r="74" spans="2:8" x14ac:dyDescent="0.25">
      <c r="B74" t="s">
        <v>306</v>
      </c>
      <c r="C74" s="1">
        <v>800</v>
      </c>
      <c r="D74" t="s">
        <v>179</v>
      </c>
    </row>
    <row r="75" spans="2:8" x14ac:dyDescent="0.25">
      <c r="B75" t="s">
        <v>307</v>
      </c>
      <c r="C75" s="1">
        <v>930</v>
      </c>
      <c r="D75" t="s">
        <v>179</v>
      </c>
    </row>
    <row r="76" spans="2:8" x14ac:dyDescent="0.25">
      <c r="B76" t="s">
        <v>308</v>
      </c>
      <c r="C76" s="1">
        <v>370</v>
      </c>
      <c r="D76" t="s">
        <v>179</v>
      </c>
      <c r="E76" s="112"/>
      <c r="F76" s="112"/>
      <c r="G76" s="112"/>
      <c r="H76" s="112"/>
    </row>
  </sheetData>
  <phoneticPr fontId="2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D6B8-49A8-4435-B740-BE5739CBAA76}">
  <dimension ref="A1:L25"/>
  <sheetViews>
    <sheetView zoomScale="90" zoomScaleNormal="90" workbookViewId="0">
      <selection activeCell="B34" sqref="B34"/>
    </sheetView>
  </sheetViews>
  <sheetFormatPr defaultColWidth="8" defaultRowHeight="13.8" x14ac:dyDescent="0.25"/>
  <cols>
    <col min="1" max="1" width="52.88671875" style="7" bestFit="1" customWidth="1"/>
    <col min="2" max="2" width="15" style="1" bestFit="1" customWidth="1"/>
    <col min="3" max="3" width="22.33203125" style="1" customWidth="1"/>
    <col min="4" max="4" width="13.21875" style="1" bestFit="1" customWidth="1"/>
    <col min="5" max="5" width="19.21875" style="1" bestFit="1" customWidth="1"/>
    <col min="6" max="6" width="8" style="1"/>
    <col min="7" max="7" width="8.44140625" style="1" bestFit="1" customWidth="1"/>
    <col min="8" max="8" width="8" style="7"/>
    <col min="9" max="9" width="18.6640625" style="7" bestFit="1" customWidth="1"/>
    <col min="10" max="16384" width="8" style="7"/>
  </cols>
  <sheetData>
    <row r="1" spans="1:12" x14ac:dyDescent="0.25">
      <c r="A1" s="6" t="s">
        <v>43</v>
      </c>
    </row>
    <row r="2" spans="1:12" x14ac:dyDescent="0.25">
      <c r="A2" s="7" t="s">
        <v>6</v>
      </c>
      <c r="B2" s="70">
        <v>8.1</v>
      </c>
      <c r="C2" s="75">
        <f>(C11+D11+E11)/1000000</f>
        <v>8.1259200000000007</v>
      </c>
      <c r="J2" s="7" t="s">
        <v>88</v>
      </c>
      <c r="K2" s="7" t="s">
        <v>130</v>
      </c>
      <c r="L2" s="7" t="s">
        <v>184</v>
      </c>
    </row>
    <row r="3" spans="1:12" x14ac:dyDescent="0.25">
      <c r="A3" s="7" t="s">
        <v>10</v>
      </c>
      <c r="B3" s="20">
        <f>B2*0.85</f>
        <v>6.8849999999999998</v>
      </c>
      <c r="I3" s="7" t="s">
        <v>180</v>
      </c>
      <c r="J3" s="7">
        <v>0.04</v>
      </c>
      <c r="K3" s="7" t="s">
        <v>183</v>
      </c>
      <c r="L3" s="7" t="s">
        <v>185</v>
      </c>
    </row>
    <row r="4" spans="1:12" x14ac:dyDescent="0.25">
      <c r="A4" s="7" t="s">
        <v>13</v>
      </c>
      <c r="B4" s="5">
        <v>17966.416000000001</v>
      </c>
      <c r="C4" s="1" t="s">
        <v>202</v>
      </c>
      <c r="D4" s="25">
        <f>B4*P_Crop!B10</f>
        <v>3794.1969393562977</v>
      </c>
      <c r="E4" s="1" t="s">
        <v>55</v>
      </c>
      <c r="I4" s="7" t="s">
        <v>67</v>
      </c>
      <c r="J4" s="7">
        <v>1</v>
      </c>
      <c r="K4" s="7" t="s">
        <v>183</v>
      </c>
      <c r="L4" s="58" t="s">
        <v>189</v>
      </c>
    </row>
    <row r="5" spans="1:12" x14ac:dyDescent="0.25">
      <c r="A5" s="9" t="s">
        <v>16</v>
      </c>
      <c r="B5" s="1" t="s">
        <v>95</v>
      </c>
      <c r="D5" s="25">
        <f>B4*(1-P_Crop!B10)</f>
        <v>14172.219060643703</v>
      </c>
      <c r="E5" s="1" t="s">
        <v>56</v>
      </c>
      <c r="I5" s="7" t="s">
        <v>194</v>
      </c>
      <c r="J5" s="69">
        <f>12/1000*100</f>
        <v>1.2</v>
      </c>
      <c r="K5" s="7" t="s">
        <v>183</v>
      </c>
      <c r="L5" s="59" t="s">
        <v>195</v>
      </c>
    </row>
    <row r="6" spans="1:12" x14ac:dyDescent="0.25">
      <c r="A6" s="2" t="s">
        <v>19</v>
      </c>
      <c r="B6" s="20">
        <v>9.31</v>
      </c>
      <c r="I6" s="7" t="s">
        <v>196</v>
      </c>
      <c r="J6" s="69">
        <f>2.5/1000*100</f>
        <v>0.25</v>
      </c>
      <c r="K6" s="7" t="s">
        <v>183</v>
      </c>
      <c r="L6" s="59" t="s">
        <v>195</v>
      </c>
    </row>
    <row r="7" spans="1:12" x14ac:dyDescent="0.25">
      <c r="I7" s="7" t="s">
        <v>181</v>
      </c>
      <c r="J7" s="7">
        <v>0.78</v>
      </c>
      <c r="K7" s="7" t="s">
        <v>183</v>
      </c>
      <c r="L7" s="60" t="s">
        <v>190</v>
      </c>
    </row>
    <row r="8" spans="1:12" x14ac:dyDescent="0.25">
      <c r="C8" s="1" t="s">
        <v>23</v>
      </c>
      <c r="D8" s="1" t="s">
        <v>24</v>
      </c>
      <c r="E8" s="1" t="s">
        <v>25</v>
      </c>
      <c r="I8" s="7" t="s">
        <v>182</v>
      </c>
      <c r="J8" s="7">
        <v>0</v>
      </c>
      <c r="K8" s="7" t="s">
        <v>183</v>
      </c>
    </row>
    <row r="9" spans="1:12" x14ac:dyDescent="0.25">
      <c r="A9" s="7" t="s">
        <v>27</v>
      </c>
      <c r="B9" s="1">
        <f>C9+D9+E9</f>
        <v>905350570</v>
      </c>
      <c r="C9" s="5">
        <v>278091000</v>
      </c>
      <c r="D9" s="5">
        <v>554724720</v>
      </c>
      <c r="E9" s="5">
        <v>72534849.999999985</v>
      </c>
      <c r="I9" s="7" t="s">
        <v>186</v>
      </c>
      <c r="J9" s="7">
        <v>0.83</v>
      </c>
      <c r="K9" s="7" t="s">
        <v>183</v>
      </c>
      <c r="L9" s="58" t="s">
        <v>189</v>
      </c>
    </row>
    <row r="10" spans="1:12" x14ac:dyDescent="0.25">
      <c r="A10" s="11" t="s">
        <v>29</v>
      </c>
      <c r="B10" s="71"/>
      <c r="C10" s="3">
        <v>0.79500000000000004</v>
      </c>
      <c r="D10" s="3">
        <v>0.60799999999999998</v>
      </c>
      <c r="E10" s="29">
        <v>1.5480574980574981</v>
      </c>
      <c r="I10" s="7" t="s">
        <v>197</v>
      </c>
      <c r="J10" s="19">
        <f>9/1000*100</f>
        <v>0.89999999999999991</v>
      </c>
      <c r="K10" s="7" t="s">
        <v>183</v>
      </c>
      <c r="L10" s="59" t="s">
        <v>195</v>
      </c>
    </row>
    <row r="11" spans="1:12" x14ac:dyDescent="0.25">
      <c r="A11" s="68" t="s">
        <v>107</v>
      </c>
      <c r="C11" s="4">
        <v>2098800</v>
      </c>
      <c r="D11" s="4">
        <v>4997520</v>
      </c>
      <c r="E11" s="4">
        <v>1029600</v>
      </c>
      <c r="I11" s="7" t="s">
        <v>198</v>
      </c>
      <c r="J11" s="7">
        <f>3.2/1000*100</f>
        <v>0.32</v>
      </c>
      <c r="K11" s="7" t="s">
        <v>183</v>
      </c>
      <c r="L11" s="59" t="s">
        <v>195</v>
      </c>
    </row>
    <row r="12" spans="1:12" x14ac:dyDescent="0.25">
      <c r="A12" s="11" t="s">
        <v>32</v>
      </c>
      <c r="B12" s="5">
        <f>C12+D12+E12</f>
        <v>6300918.1600000001</v>
      </c>
      <c r="C12" s="30">
        <f>C11*C10</f>
        <v>1668546</v>
      </c>
      <c r="D12" s="30">
        <f>D11*D10</f>
        <v>3038492.16</v>
      </c>
      <c r="E12" s="30">
        <f>E11*E10</f>
        <v>1593880</v>
      </c>
      <c r="I12" s="7" t="s">
        <v>187</v>
      </c>
      <c r="J12" s="7">
        <v>0</v>
      </c>
      <c r="K12" s="7" t="s">
        <v>183</v>
      </c>
    </row>
    <row r="13" spans="1:12" x14ac:dyDescent="0.25">
      <c r="A13" s="12" t="s">
        <v>80</v>
      </c>
      <c r="C13" s="21">
        <v>2.4620000000000002</v>
      </c>
      <c r="D13" s="21">
        <v>2.4620000000000002</v>
      </c>
      <c r="E13" s="22">
        <v>3.27</v>
      </c>
      <c r="I13" s="7" t="s">
        <v>188</v>
      </c>
      <c r="J13" s="7">
        <v>0</v>
      </c>
      <c r="K13" s="7" t="s">
        <v>183</v>
      </c>
    </row>
    <row r="14" spans="1:12" x14ac:dyDescent="0.25">
      <c r="A14" s="12" t="s">
        <v>79</v>
      </c>
      <c r="C14" s="21">
        <v>11.92</v>
      </c>
      <c r="D14" s="21">
        <v>11.89</v>
      </c>
      <c r="E14" s="22">
        <v>9.31</v>
      </c>
    </row>
    <row r="15" spans="1:12" x14ac:dyDescent="0.25">
      <c r="A15" s="9" t="s">
        <v>108</v>
      </c>
      <c r="B15" s="72">
        <f>C15+D15</f>
        <v>1128314880</v>
      </c>
      <c r="C15" s="73">
        <f>C11*0.159*1000</f>
        <v>333709200</v>
      </c>
      <c r="D15" s="73">
        <f>D11*0.159*1000</f>
        <v>794605680</v>
      </c>
      <c r="E15" s="73"/>
    </row>
    <row r="16" spans="1:12" x14ac:dyDescent="0.25">
      <c r="A16" s="9" t="s">
        <v>109</v>
      </c>
      <c r="B16" s="25">
        <f>E16</f>
        <v>297729432</v>
      </c>
      <c r="C16" s="73"/>
      <c r="D16" s="73"/>
      <c r="E16" s="73">
        <f>289.17/1000*E11*1000</f>
        <v>297729432</v>
      </c>
    </row>
    <row r="17" spans="1:7" x14ac:dyDescent="0.25">
      <c r="A17" s="7" t="s">
        <v>82</v>
      </c>
      <c r="C17" s="5">
        <f>C15*C13</f>
        <v>821592050.4000001</v>
      </c>
      <c r="D17" s="5">
        <f>D15*D13</f>
        <v>1956319184.1600001</v>
      </c>
      <c r="E17" s="5">
        <f>E16*E13</f>
        <v>973575242.63999999</v>
      </c>
    </row>
    <row r="18" spans="1:7" x14ac:dyDescent="0.25">
      <c r="A18" s="7" t="s">
        <v>81</v>
      </c>
      <c r="C18" s="5">
        <f>C15*C14</f>
        <v>3977813664</v>
      </c>
      <c r="D18" s="5">
        <f>D15*D14</f>
        <v>9447861535.2000008</v>
      </c>
      <c r="E18" s="5">
        <f>E16*E14</f>
        <v>2771861011.9200001</v>
      </c>
    </row>
    <row r="19" spans="1:7" x14ac:dyDescent="0.25">
      <c r="A19" s="7" t="s">
        <v>105</v>
      </c>
      <c r="B19" s="25">
        <f>C19+D19+E19</f>
        <v>16197.536211120001</v>
      </c>
      <c r="C19" s="5">
        <f>C18/1000000</f>
        <v>3977.8136639999998</v>
      </c>
      <c r="D19" s="5">
        <f>D18/1000000</f>
        <v>9447.8615352000015</v>
      </c>
      <c r="E19" s="5">
        <f>E18/1000000</f>
        <v>2771.8610119200002</v>
      </c>
    </row>
    <row r="20" spans="1:7" x14ac:dyDescent="0.25">
      <c r="A20" s="7" t="s">
        <v>106</v>
      </c>
      <c r="B20" s="25">
        <f>C20+D20+E20</f>
        <v>3751.4864772000001</v>
      </c>
      <c r="C20" s="5">
        <f>C17/1000000</f>
        <v>821.59205040000006</v>
      </c>
      <c r="D20" s="5">
        <f>D17/1000000</f>
        <v>1956.3191841600001</v>
      </c>
      <c r="E20" s="5">
        <f>E17/1000000</f>
        <v>973.57524263999994</v>
      </c>
    </row>
    <row r="21" spans="1:7" x14ac:dyDescent="0.25">
      <c r="A21" s="7" t="s">
        <v>57</v>
      </c>
      <c r="B21" s="62">
        <f>0.26</f>
        <v>0.26</v>
      </c>
      <c r="C21" s="1" t="s">
        <v>92</v>
      </c>
      <c r="D21" s="62">
        <v>0.3</v>
      </c>
      <c r="E21" s="1" t="s">
        <v>93</v>
      </c>
    </row>
    <row r="22" spans="1:7" x14ac:dyDescent="0.25">
      <c r="A22" s="7" t="s">
        <v>91</v>
      </c>
      <c r="B22" s="1">
        <f>SUM(C22:E22)</f>
        <v>12671259</v>
      </c>
      <c r="C22" s="17">
        <v>3265312</v>
      </c>
      <c r="D22" s="17">
        <v>7774427</v>
      </c>
      <c r="E22" s="17">
        <v>1631520</v>
      </c>
    </row>
    <row r="23" spans="1:7" x14ac:dyDescent="0.25">
      <c r="A23" s="7" t="s">
        <v>96</v>
      </c>
      <c r="B23" s="5">
        <f>B21*B22/1000</f>
        <v>3294.5273400000001</v>
      </c>
    </row>
    <row r="24" spans="1:7" x14ac:dyDescent="0.25">
      <c r="A24" s="7" t="s">
        <v>94</v>
      </c>
      <c r="B24" s="1">
        <f>SUM(C24:E24)</f>
        <v>47143747</v>
      </c>
      <c r="C24" s="17">
        <v>12385417</v>
      </c>
      <c r="D24" s="17">
        <v>29467770</v>
      </c>
      <c r="E24" s="17">
        <v>5290560</v>
      </c>
      <c r="F24" s="1" t="s">
        <v>97</v>
      </c>
      <c r="G24" s="25">
        <f>D4+D5</f>
        <v>17966.416000000001</v>
      </c>
    </row>
    <row r="25" spans="1:7" x14ac:dyDescent="0.25">
      <c r="A25" s="7" t="s">
        <v>96</v>
      </c>
      <c r="B25" s="74">
        <f>B24*D21/1000</f>
        <v>14143.124099999999</v>
      </c>
      <c r="F25" s="1" t="s">
        <v>98</v>
      </c>
      <c r="G25" s="25">
        <f>B20+B25</f>
        <v>17894.610577200001</v>
      </c>
    </row>
  </sheetData>
  <phoneticPr fontId="20" type="noConversion"/>
  <hyperlinks>
    <hyperlink ref="L4" r:id="rId1" xr:uid="{98CFC68D-5CF1-4081-8B8D-C42CF9619A41}"/>
    <hyperlink ref="L9" r:id="rId2" xr:uid="{42156EAF-D4C9-4A8D-96D3-3CB7F938B82A}"/>
    <hyperlink ref="L7" r:id="rId3" xr:uid="{2425123C-3AD5-4D14-B505-DF7B1940F2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3BF1-1EA2-4BEC-B91B-5699AE2739EF}">
  <dimension ref="A1:L37"/>
  <sheetViews>
    <sheetView topLeftCell="A10" workbookViewId="0">
      <selection activeCell="B2" sqref="B2"/>
    </sheetView>
  </sheetViews>
  <sheetFormatPr defaultRowHeight="13.8" x14ac:dyDescent="0.25"/>
  <cols>
    <col min="1" max="1" width="29.6640625" customWidth="1"/>
    <col min="2" max="2" width="32.44140625" style="1" customWidth="1"/>
    <col min="3" max="3" width="28.88671875" customWidth="1"/>
    <col min="4" max="4" width="13" customWidth="1"/>
    <col min="5" max="5" width="36.5546875" customWidth="1"/>
    <col min="6" max="6" width="10.5546875" bestFit="1" customWidth="1"/>
    <col min="8" max="8" width="28.44140625" bestFit="1" customWidth="1"/>
    <col min="9" max="9" width="13.88671875" customWidth="1"/>
    <col min="10" max="10" width="15.5546875" customWidth="1"/>
    <col min="11" max="11" width="8.5546875" bestFit="1" customWidth="1"/>
  </cols>
  <sheetData>
    <row r="1" spans="1:12" x14ac:dyDescent="0.25">
      <c r="A1" s="7"/>
      <c r="B1" s="23" t="s">
        <v>1</v>
      </c>
      <c r="C1" s="7"/>
      <c r="D1" s="7"/>
      <c r="E1" s="7"/>
      <c r="F1" s="7"/>
    </row>
    <row r="2" spans="1:12" s="27" customFormat="1" ht="42" x14ac:dyDescent="0.3">
      <c r="A2" s="6" t="s">
        <v>4</v>
      </c>
      <c r="B2" s="64" t="s">
        <v>5</v>
      </c>
      <c r="C2" s="6"/>
      <c r="D2" s="65" t="s">
        <v>112</v>
      </c>
      <c r="E2" s="64" t="s">
        <v>41</v>
      </c>
      <c r="F2" s="6"/>
      <c r="H2" s="23" t="s">
        <v>114</v>
      </c>
      <c r="I2" s="65" t="s">
        <v>113</v>
      </c>
      <c r="J2" s="7"/>
      <c r="K2" s="7"/>
      <c r="L2" s="7"/>
    </row>
    <row r="3" spans="1:12" x14ac:dyDescent="0.25">
      <c r="A3" s="7" t="s">
        <v>9</v>
      </c>
      <c r="B3" s="24">
        <f>8296*9/1000000</f>
        <v>7.4663999999999994E-2</v>
      </c>
      <c r="C3" t="s">
        <v>201</v>
      </c>
      <c r="D3" s="7" t="s">
        <v>9</v>
      </c>
      <c r="E3" s="24">
        <f>8296*6/1000000</f>
        <v>4.9776000000000001E-2</v>
      </c>
      <c r="F3" s="7"/>
      <c r="H3" s="1" t="s">
        <v>115</v>
      </c>
      <c r="I3" s="5">
        <v>1890.1423700042501</v>
      </c>
      <c r="J3" s="7"/>
      <c r="K3" s="7"/>
      <c r="L3" s="7"/>
    </row>
    <row r="4" spans="1:12" x14ac:dyDescent="0.25">
      <c r="A4" s="7" t="s">
        <v>12</v>
      </c>
      <c r="B4" s="24">
        <f>8296*27/1000000</f>
        <v>0.223992</v>
      </c>
      <c r="C4" s="7"/>
      <c r="D4" s="7" t="s">
        <v>12</v>
      </c>
      <c r="E4" s="20">
        <f>8296*27/1000000</f>
        <v>0.223992</v>
      </c>
      <c r="F4" s="7"/>
      <c r="H4" s="1" t="s">
        <v>116</v>
      </c>
      <c r="I4" s="5">
        <v>1657.5349720617501</v>
      </c>
      <c r="J4" s="7"/>
      <c r="K4" s="7"/>
      <c r="L4" s="7"/>
    </row>
    <row r="5" spans="1:12" x14ac:dyDescent="0.25">
      <c r="A5" s="7" t="s">
        <v>15</v>
      </c>
      <c r="B5" s="5">
        <v>908</v>
      </c>
      <c r="C5" s="7"/>
      <c r="D5" s="7" t="s">
        <v>15</v>
      </c>
      <c r="E5" s="20">
        <v>908</v>
      </c>
      <c r="F5" s="7"/>
      <c r="H5" s="7" t="s">
        <v>117</v>
      </c>
      <c r="I5" s="5">
        <f>I3-I4</f>
        <v>232.60739794250003</v>
      </c>
      <c r="J5" s="26">
        <f>I5/I7</f>
        <v>3.1412525844961295E-4</v>
      </c>
      <c r="K5" s="7"/>
      <c r="L5" s="7"/>
    </row>
    <row r="6" spans="1:12" x14ac:dyDescent="0.25">
      <c r="A6" s="7" t="s">
        <v>39</v>
      </c>
      <c r="B6" s="61">
        <f>B3*B5</f>
        <v>67.794911999999997</v>
      </c>
      <c r="C6" t="s">
        <v>11</v>
      </c>
      <c r="D6" s="7" t="s">
        <v>39</v>
      </c>
      <c r="E6" s="61">
        <f>E3*E5</f>
        <v>45.196607999999998</v>
      </c>
      <c r="F6" s="7"/>
      <c r="H6" s="7" t="s">
        <v>118</v>
      </c>
      <c r="I6" s="5">
        <f>I5*F23</f>
        <v>121688.29236245922</v>
      </c>
      <c r="J6" s="7"/>
      <c r="K6" s="7"/>
      <c r="L6" s="7"/>
    </row>
    <row r="7" spans="1:12" x14ac:dyDescent="0.25">
      <c r="A7" s="7" t="s">
        <v>40</v>
      </c>
      <c r="B7" s="24">
        <f>B4*B5</f>
        <v>203.384736</v>
      </c>
      <c r="C7" s="7"/>
      <c r="D7" s="7" t="s">
        <v>40</v>
      </c>
      <c r="E7" s="20">
        <f>E4*E5</f>
        <v>203.384736</v>
      </c>
      <c r="F7" s="7"/>
      <c r="H7" s="7" t="s">
        <v>119</v>
      </c>
      <c r="I7" s="5">
        <f>11847880/16</f>
        <v>740492.5</v>
      </c>
      <c r="J7" s="7"/>
      <c r="K7" s="7"/>
      <c r="L7" s="7"/>
    </row>
    <row r="8" spans="1:12" x14ac:dyDescent="0.25">
      <c r="A8" s="7" t="s">
        <v>84</v>
      </c>
      <c r="B8" s="24">
        <f>B5*8296/1000</f>
        <v>7532.768</v>
      </c>
      <c r="C8" s="7" t="s">
        <v>85</v>
      </c>
      <c r="D8" s="7"/>
      <c r="E8" s="7"/>
      <c r="F8" s="7"/>
      <c r="H8" s="7"/>
      <c r="I8" s="62">
        <f>I6/I7</f>
        <v>0.16433426721061892</v>
      </c>
      <c r="J8" s="7"/>
      <c r="K8" s="7"/>
      <c r="L8" s="7"/>
    </row>
    <row r="9" spans="1:12" x14ac:dyDescent="0.25">
      <c r="A9" s="7"/>
      <c r="C9" s="7"/>
      <c r="D9" s="7"/>
      <c r="E9" s="7"/>
      <c r="F9" s="7"/>
      <c r="H9" s="7"/>
      <c r="I9" s="63">
        <f>I5/P_Manure!B23</f>
        <v>8.5332756730254547E-2</v>
      </c>
      <c r="J9" s="7" t="s">
        <v>120</v>
      </c>
      <c r="K9" s="7"/>
      <c r="L9" s="7"/>
    </row>
    <row r="10" spans="1:12" x14ac:dyDescent="0.25">
      <c r="A10" s="7"/>
      <c r="C10" s="7"/>
      <c r="D10" s="7"/>
      <c r="E10" s="7"/>
      <c r="F10" s="7"/>
      <c r="H10" s="7"/>
      <c r="I10" s="1"/>
      <c r="J10" s="7"/>
      <c r="K10" s="7"/>
      <c r="L10" s="7"/>
    </row>
    <row r="11" spans="1:12" x14ac:dyDescent="0.25">
      <c r="A11" s="7" t="s">
        <v>83</v>
      </c>
      <c r="C11" s="7"/>
      <c r="D11" s="7"/>
      <c r="E11" s="7"/>
      <c r="F11" s="7"/>
      <c r="H11" s="7"/>
      <c r="I11" s="1"/>
      <c r="J11" s="7"/>
      <c r="K11" s="7"/>
      <c r="L11" s="7"/>
    </row>
    <row r="12" spans="1:12" x14ac:dyDescent="0.25">
      <c r="H12" s="7" t="s">
        <v>99</v>
      </c>
      <c r="I12" s="20">
        <v>300880.18568026199</v>
      </c>
      <c r="J12" s="7" t="s">
        <v>122</v>
      </c>
      <c r="K12" s="8">
        <f>I12+I13</f>
        <v>883277.98688776209</v>
      </c>
      <c r="L12" s="7"/>
    </row>
    <row r="13" spans="1:12" x14ac:dyDescent="0.25">
      <c r="A13" t="s">
        <v>199</v>
      </c>
      <c r="B13" s="20">
        <f>2726*12/1000</f>
        <v>32.712000000000003</v>
      </c>
      <c r="C13" t="s">
        <v>11</v>
      </c>
      <c r="H13" s="7" t="s">
        <v>103</v>
      </c>
      <c r="I13" s="20">
        <v>582397.80120750004</v>
      </c>
      <c r="J13" s="7"/>
      <c r="K13" s="7"/>
      <c r="L13" s="7"/>
    </row>
    <row r="14" spans="1:12" x14ac:dyDescent="0.25">
      <c r="A14" t="s">
        <v>200</v>
      </c>
      <c r="B14" s="20">
        <f>2726*2.5/1000</f>
        <v>6.8150000000000004</v>
      </c>
      <c r="C14" t="s">
        <v>11</v>
      </c>
      <c r="H14" s="7" t="s">
        <v>102</v>
      </c>
      <c r="I14" s="20">
        <v>103326.61220437</v>
      </c>
      <c r="J14" s="7" t="s">
        <v>123</v>
      </c>
      <c r="K14" s="8">
        <f>I14+I15+I16</f>
        <v>877805.61857775389</v>
      </c>
      <c r="L14" s="7"/>
    </row>
    <row r="15" spans="1:12" x14ac:dyDescent="0.25">
      <c r="H15" s="7" t="s">
        <v>101</v>
      </c>
      <c r="I15" s="20">
        <v>76750.1718027678</v>
      </c>
      <c r="J15" s="7"/>
      <c r="K15" s="7"/>
      <c r="L15" s="7"/>
    </row>
    <row r="16" spans="1:12" x14ac:dyDescent="0.25">
      <c r="H16" s="7" t="s">
        <v>100</v>
      </c>
      <c r="I16" s="20">
        <v>697728.83457061602</v>
      </c>
      <c r="J16" s="7" t="s">
        <v>124</v>
      </c>
      <c r="K16" s="8">
        <f>K12-K14</f>
        <v>5472.368310008198</v>
      </c>
      <c r="L16" s="7"/>
    </row>
    <row r="17" spans="1:7" x14ac:dyDescent="0.25">
      <c r="A17" s="6" t="s">
        <v>58</v>
      </c>
      <c r="B17" s="7"/>
      <c r="C17" s="7"/>
      <c r="D17" s="7"/>
      <c r="E17" s="7"/>
      <c r="F17" s="7"/>
      <c r="G17" s="7"/>
    </row>
    <row r="18" spans="1:7" x14ac:dyDescent="0.25">
      <c r="A18" t="s">
        <v>59</v>
      </c>
      <c r="B18" s="66">
        <f>B19*B20</f>
        <v>24.09090909090909</v>
      </c>
      <c r="C18" t="s">
        <v>60</v>
      </c>
      <c r="D18" s="7"/>
      <c r="E18" s="7"/>
      <c r="F18" s="7"/>
      <c r="G18" s="7"/>
    </row>
    <row r="19" spans="1:7" x14ac:dyDescent="0.25">
      <c r="A19" t="s">
        <v>61</v>
      </c>
      <c r="B19" s="20">
        <f>1450/2.2</f>
        <v>659.09090909090901</v>
      </c>
      <c r="C19" t="s">
        <v>62</v>
      </c>
      <c r="D19" s="7"/>
      <c r="E19" s="7"/>
      <c r="F19" s="7"/>
      <c r="G19" s="7"/>
    </row>
    <row r="20" spans="1:7" x14ac:dyDescent="0.25">
      <c r="A20" t="s">
        <v>63</v>
      </c>
      <c r="B20" s="67">
        <f>53/1450</f>
        <v>3.6551724137931035E-2</v>
      </c>
      <c r="D20" s="7"/>
      <c r="E20" s="7"/>
      <c r="F20" s="7"/>
      <c r="G20" s="7"/>
    </row>
    <row r="21" spans="1:7" x14ac:dyDescent="0.25">
      <c r="A21" t="s">
        <v>64</v>
      </c>
      <c r="B21" s="20">
        <v>0.1</v>
      </c>
      <c r="C21" t="s">
        <v>65</v>
      </c>
      <c r="D21" s="7"/>
      <c r="E21" s="7"/>
      <c r="F21" s="7"/>
      <c r="G21" s="7"/>
    </row>
    <row r="22" spans="1:7" x14ac:dyDescent="0.25">
      <c r="A22" s="7" t="s">
        <v>58</v>
      </c>
      <c r="B22" s="1">
        <v>3100</v>
      </c>
      <c r="C22" s="7" t="s">
        <v>66</v>
      </c>
      <c r="D22" s="7"/>
      <c r="E22" s="7" t="s">
        <v>110</v>
      </c>
      <c r="F22" s="13">
        <f>(P_CornBiorefinery!B15+P_CornBiorefinery!B16)/1000</f>
        <v>1426044.3119999999</v>
      </c>
      <c r="G22" s="7"/>
    </row>
    <row r="23" spans="1:7" x14ac:dyDescent="0.25">
      <c r="A23" s="7"/>
      <c r="B23" s="5">
        <f>B21*B18*B22*365/1000</f>
        <v>2725.886363636364</v>
      </c>
      <c r="C23" s="7" t="s">
        <v>104</v>
      </c>
      <c r="D23" s="7"/>
      <c r="E23" s="7" t="s">
        <v>111</v>
      </c>
      <c r="F23" s="13">
        <f>F22/B23</f>
        <v>523.14884839793558</v>
      </c>
      <c r="G23" s="7"/>
    </row>
    <row r="24" spans="1:7" x14ac:dyDescent="0.25">
      <c r="A24" t="s">
        <v>67</v>
      </c>
      <c r="B24" s="20">
        <v>12</v>
      </c>
      <c r="C24" t="s">
        <v>68</v>
      </c>
      <c r="D24" s="7"/>
      <c r="E24" s="7"/>
      <c r="F24" s="7"/>
      <c r="G24" s="7"/>
    </row>
    <row r="25" spans="1:7" x14ac:dyDescent="0.25">
      <c r="A25" t="s">
        <v>67</v>
      </c>
      <c r="B25" s="20">
        <v>3</v>
      </c>
      <c r="C25" t="s">
        <v>68</v>
      </c>
      <c r="D25" s="7"/>
      <c r="E25" s="7"/>
      <c r="F25" s="7"/>
      <c r="G25" s="7"/>
    </row>
    <row r="26" spans="1:7" x14ac:dyDescent="0.25">
      <c r="A26" t="s">
        <v>67</v>
      </c>
      <c r="B26" s="20">
        <v>5</v>
      </c>
      <c r="C26" t="s">
        <v>69</v>
      </c>
      <c r="D26" s="7"/>
      <c r="E26" s="7"/>
      <c r="F26" s="7"/>
      <c r="G26" s="7"/>
    </row>
    <row r="27" spans="1:7" x14ac:dyDescent="0.25">
      <c r="A27" s="7"/>
      <c r="B27" s="20">
        <f>B24*B23/1000000</f>
        <v>3.2710636363636365E-2</v>
      </c>
      <c r="C27" s="7" t="s">
        <v>70</v>
      </c>
      <c r="D27" s="7"/>
      <c r="E27" s="7"/>
      <c r="F27" s="7"/>
      <c r="G27" s="7"/>
    </row>
    <row r="28" spans="1:7" x14ac:dyDescent="0.25">
      <c r="A28" s="7"/>
      <c r="B28" s="63">
        <f>B25*B23/1000000</f>
        <v>8.1776590909090913E-3</v>
      </c>
      <c r="C28" s="7" t="s">
        <v>70</v>
      </c>
      <c r="D28" s="7"/>
      <c r="E28" s="7"/>
      <c r="F28" s="7"/>
      <c r="G28" s="7"/>
    </row>
    <row r="29" spans="1:7" x14ac:dyDescent="0.25">
      <c r="A29" s="7"/>
      <c r="B29" s="7"/>
      <c r="C29" s="7"/>
      <c r="D29" s="7"/>
      <c r="E29" s="7"/>
      <c r="F29" s="7"/>
      <c r="G29" s="7"/>
    </row>
    <row r="30" spans="1:7" x14ac:dyDescent="0.25">
      <c r="A30" s="6" t="s">
        <v>75</v>
      </c>
      <c r="B30" s="7"/>
      <c r="C30" s="7"/>
      <c r="D30" s="7"/>
      <c r="E30" s="7"/>
      <c r="F30" s="7"/>
      <c r="G30" s="7"/>
    </row>
    <row r="31" spans="1:7" x14ac:dyDescent="0.25">
      <c r="A31" s="1">
        <v>0.34</v>
      </c>
      <c r="B31" s="1" t="s">
        <v>71</v>
      </c>
      <c r="C31" s="7"/>
      <c r="D31" s="7"/>
      <c r="E31" s="7"/>
      <c r="F31" s="7"/>
      <c r="G31" s="7"/>
    </row>
    <row r="32" spans="1:7" x14ac:dyDescent="0.25">
      <c r="A32" s="1">
        <v>200</v>
      </c>
      <c r="B32" s="1" t="s">
        <v>72</v>
      </c>
      <c r="C32" s="7"/>
      <c r="D32" s="7"/>
      <c r="E32" s="7"/>
      <c r="F32" s="7"/>
      <c r="G32" s="7"/>
    </row>
    <row r="33" spans="1:7" x14ac:dyDescent="0.25">
      <c r="A33" s="1">
        <f>A32*A31</f>
        <v>68</v>
      </c>
      <c r="B33" s="1" t="s">
        <v>73</v>
      </c>
      <c r="C33" s="7"/>
      <c r="D33" s="7"/>
      <c r="E33" s="7"/>
      <c r="F33" s="7"/>
      <c r="G33" s="7"/>
    </row>
    <row r="34" spans="1:7" x14ac:dyDescent="0.25">
      <c r="A34" s="1">
        <f>A33*56000</f>
        <v>3808000</v>
      </c>
      <c r="B34" s="1" t="s">
        <v>73</v>
      </c>
      <c r="C34" s="7"/>
      <c r="D34" s="7"/>
      <c r="E34" s="7"/>
      <c r="F34" s="7"/>
      <c r="G34" s="7"/>
    </row>
    <row r="35" spans="1:7" x14ac:dyDescent="0.25">
      <c r="A35" s="24">
        <f>A34/2.22/1000</f>
        <v>1715.3153153153153</v>
      </c>
      <c r="B35" s="1" t="s">
        <v>74</v>
      </c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6333-CCFF-4595-B6EF-8642DADF92CB}">
  <dimension ref="A1:AA26"/>
  <sheetViews>
    <sheetView topLeftCell="A34" zoomScaleNormal="100" workbookViewId="0">
      <selection activeCell="D2" sqref="D2"/>
    </sheetView>
  </sheetViews>
  <sheetFormatPr defaultRowHeight="13.8" x14ac:dyDescent="0.25"/>
  <cols>
    <col min="1" max="1" width="27.88671875" bestFit="1" customWidth="1"/>
    <col min="2" max="2" width="26.109375" bestFit="1" customWidth="1"/>
    <col min="3" max="3" width="22.21875" customWidth="1"/>
    <col min="4" max="4" width="18.33203125" customWidth="1"/>
    <col min="5" max="5" width="22.109375" customWidth="1"/>
    <col min="6" max="6" width="21.6640625" bestFit="1" customWidth="1"/>
    <col min="7" max="7" width="16.88671875" bestFit="1" customWidth="1"/>
    <col min="8" max="8" width="19.5546875" bestFit="1" customWidth="1"/>
    <col min="10" max="10" width="19" bestFit="1" customWidth="1"/>
    <col min="13" max="13" width="11.109375" customWidth="1"/>
    <col min="17" max="17" width="10.21875" customWidth="1"/>
    <col min="19" max="19" width="18.88671875" bestFit="1" customWidth="1"/>
  </cols>
  <sheetData>
    <row r="1" spans="1:27" ht="14.4" x14ac:dyDescent="0.25">
      <c r="B1" s="135" t="s">
        <v>217</v>
      </c>
      <c r="C1" s="23"/>
      <c r="D1" s="135" t="s">
        <v>229</v>
      </c>
      <c r="E1" s="135" t="s">
        <v>228</v>
      </c>
      <c r="F1" s="135" t="s">
        <v>132</v>
      </c>
      <c r="G1" s="135" t="s">
        <v>125</v>
      </c>
      <c r="H1" s="135" t="s">
        <v>126</v>
      </c>
      <c r="I1" s="23" t="s">
        <v>130</v>
      </c>
      <c r="L1" s="126" t="s">
        <v>141</v>
      </c>
      <c r="M1" s="126"/>
      <c r="N1" s="126"/>
      <c r="O1" s="126"/>
      <c r="P1" s="126"/>
      <c r="Q1" s="126"/>
      <c r="R1" s="126"/>
      <c r="T1" s="43" t="s">
        <v>155</v>
      </c>
      <c r="U1" s="131" t="s">
        <v>141</v>
      </c>
      <c r="V1" s="132"/>
      <c r="W1" s="132"/>
      <c r="X1" s="132"/>
      <c r="Y1" s="132"/>
      <c r="Z1" s="132"/>
      <c r="AA1" s="133"/>
    </row>
    <row r="2" spans="1:27" ht="14.4" x14ac:dyDescent="0.25">
      <c r="A2" t="s">
        <v>150</v>
      </c>
      <c r="B2" s="20">
        <f>247.958806386245*365/1000</f>
        <v>90.504964330979419</v>
      </c>
      <c r="C2" s="20"/>
      <c r="D2" s="20">
        <v>94.399999999999977</v>
      </c>
      <c r="E2" s="20">
        <f>G22*$K$16/1000</f>
        <v>94.411878000000016</v>
      </c>
      <c r="F2" s="20">
        <f>D2-G2-H2</f>
        <v>40.383056715643413</v>
      </c>
      <c r="G2" s="20">
        <f>H22*$K$16/1000</f>
        <v>52.938046325943937</v>
      </c>
      <c r="H2" s="20">
        <f>F22*$K$16/1000</f>
        <v>1.0788969584126293</v>
      </c>
      <c r="I2" t="s">
        <v>131</v>
      </c>
      <c r="L2" s="35">
        <v>55</v>
      </c>
      <c r="M2" s="35">
        <v>56</v>
      </c>
      <c r="N2" s="35">
        <v>57</v>
      </c>
      <c r="O2" s="35">
        <v>58</v>
      </c>
      <c r="P2" s="35">
        <v>59</v>
      </c>
      <c r="Q2" s="35">
        <v>60</v>
      </c>
      <c r="R2" s="35">
        <v>61</v>
      </c>
      <c r="T2" s="44" t="s">
        <v>155</v>
      </c>
      <c r="U2" s="45">
        <v>55</v>
      </c>
      <c r="V2" s="45">
        <v>56</v>
      </c>
      <c r="W2" s="45">
        <v>57</v>
      </c>
      <c r="X2" s="45">
        <v>58</v>
      </c>
      <c r="Y2" s="45">
        <v>59</v>
      </c>
      <c r="Z2" s="45">
        <v>60</v>
      </c>
      <c r="AA2" s="45">
        <v>61</v>
      </c>
    </row>
    <row r="3" spans="1:27" s="7" customFormat="1" ht="14.4" x14ac:dyDescent="0.25">
      <c r="A3" t="s">
        <v>77</v>
      </c>
      <c r="B3" s="20">
        <f>2665.64688085358*365/1000</f>
        <v>972.96111151155674</v>
      </c>
      <c r="C3" s="20"/>
      <c r="D3" s="20">
        <v>661.506428168561</v>
      </c>
      <c r="E3" s="20">
        <f t="shared" ref="E3:E6" si="0">G23*$K$16/1000</f>
        <v>992.81536249999999</v>
      </c>
      <c r="F3" s="20">
        <f>D3-G3-H3</f>
        <v>604.89393178948512</v>
      </c>
      <c r="G3" s="20">
        <f>H23*$K$16/1000</f>
        <v>53.333186550731156</v>
      </c>
      <c r="H3" s="20">
        <f t="shared" ref="H3:H6" si="1">F23*$K$16/1000</f>
        <v>3.279309828344755</v>
      </c>
      <c r="I3" t="s">
        <v>131</v>
      </c>
      <c r="J3"/>
      <c r="K3" s="7" t="s">
        <v>142</v>
      </c>
      <c r="L3" s="7">
        <v>15369.416855272893</v>
      </c>
      <c r="M3" s="7">
        <v>15671.786288429976</v>
      </c>
      <c r="N3" s="7">
        <v>15722.694526811494</v>
      </c>
      <c r="O3" s="7">
        <v>18884.192476108787</v>
      </c>
      <c r="P3" s="7">
        <v>18567.025109050213</v>
      </c>
      <c r="Q3" s="7">
        <v>18626.813735290561</v>
      </c>
      <c r="R3" s="7">
        <v>17158.0253869103</v>
      </c>
      <c r="T3" s="44" t="s">
        <v>155</v>
      </c>
      <c r="U3" s="48" t="s">
        <v>78</v>
      </c>
      <c r="V3" s="49" t="s">
        <v>149</v>
      </c>
      <c r="W3" s="49" t="s">
        <v>150</v>
      </c>
      <c r="X3" s="49" t="s">
        <v>77</v>
      </c>
      <c r="Y3" s="49" t="s">
        <v>151</v>
      </c>
      <c r="Z3" s="49" t="s">
        <v>152</v>
      </c>
      <c r="AA3" s="49" t="s">
        <v>153</v>
      </c>
    </row>
    <row r="4" spans="1:27" ht="14.4" x14ac:dyDescent="0.25">
      <c r="A4" s="7" t="s">
        <v>129</v>
      </c>
      <c r="B4" s="20">
        <f>2258.59381243518*365/1000</f>
        <v>824.38674153884074</v>
      </c>
      <c r="C4" s="20"/>
      <c r="D4" s="20">
        <v>592.00178863888448</v>
      </c>
      <c r="E4" s="20">
        <f t="shared" si="0"/>
        <v>847.80181949999997</v>
      </c>
      <c r="F4" s="20">
        <f t="shared" ref="F3:F6" si="2">D4-G4-H4</f>
        <v>534.9526952832108</v>
      </c>
      <c r="G4" s="20">
        <f>H24*$K$16/1000</f>
        <v>54.012133425074175</v>
      </c>
      <c r="H4" s="20">
        <f t="shared" si="1"/>
        <v>3.0369599305994965</v>
      </c>
      <c r="I4" s="7" t="s">
        <v>131</v>
      </c>
      <c r="J4" s="7"/>
      <c r="K4" s="36" t="s">
        <v>143</v>
      </c>
      <c r="L4">
        <v>0.90728369853694102</v>
      </c>
      <c r="M4">
        <v>0.79129478162211897</v>
      </c>
      <c r="N4">
        <v>0.80701395647589902</v>
      </c>
      <c r="O4">
        <v>2.4529208080969069</v>
      </c>
      <c r="P4">
        <v>2.2716433021164608</v>
      </c>
      <c r="Q4">
        <v>2.374188078362157</v>
      </c>
      <c r="R4">
        <v>1.4535739009015189</v>
      </c>
      <c r="T4" s="46" t="s">
        <v>156</v>
      </c>
      <c r="U4" s="50">
        <v>2366.941241</v>
      </c>
      <c r="V4" s="50">
        <v>2535.0477500000002</v>
      </c>
      <c r="W4" s="50">
        <v>2525.9955660000001</v>
      </c>
      <c r="X4" s="50">
        <v>2515.8058540000002</v>
      </c>
      <c r="Y4" s="50">
        <v>2511.0052030000002</v>
      </c>
      <c r="Z4" s="50">
        <v>2444.9710239999999</v>
      </c>
      <c r="AA4" s="50">
        <v>2520.8648830000002</v>
      </c>
    </row>
    <row r="5" spans="1:27" ht="14.4" x14ac:dyDescent="0.25">
      <c r="A5" t="s">
        <v>127</v>
      </c>
      <c r="B5" s="20">
        <f>2350.20319601805*365/1000</f>
        <v>857.82416654658834</v>
      </c>
      <c r="C5" s="20"/>
      <c r="D5" s="20">
        <v>626.35246321135105</v>
      </c>
      <c r="E5" s="20">
        <f t="shared" si="0"/>
        <v>872.90479080000011</v>
      </c>
      <c r="F5" s="20">
        <f t="shared" si="2"/>
        <v>568.85784203629464</v>
      </c>
      <c r="G5" s="20">
        <f>H25*$K$16/1000</f>
        <v>54.320569133094054</v>
      </c>
      <c r="H5" s="20">
        <f t="shared" si="1"/>
        <v>3.1740520419623675</v>
      </c>
      <c r="I5" t="s">
        <v>131</v>
      </c>
      <c r="K5" s="36" t="s">
        <v>144</v>
      </c>
      <c r="L5">
        <v>41.814</v>
      </c>
      <c r="M5">
        <v>61.65</v>
      </c>
      <c r="N5">
        <v>70.62</v>
      </c>
      <c r="O5">
        <v>742.625</v>
      </c>
      <c r="P5">
        <v>634.15499999999997</v>
      </c>
      <c r="Q5">
        <v>652.93200000000002</v>
      </c>
      <c r="R5">
        <v>358.245</v>
      </c>
      <c r="T5" s="46" t="s">
        <v>157</v>
      </c>
      <c r="U5" s="50">
        <v>1727.93381</v>
      </c>
      <c r="V5" s="50">
        <v>1754.6410310000001</v>
      </c>
      <c r="W5" s="50">
        <v>1767.004872</v>
      </c>
      <c r="X5" s="50">
        <v>2390.7835049999999</v>
      </c>
      <c r="Y5" s="50">
        <v>2344.4037629999998</v>
      </c>
      <c r="Z5" s="50">
        <v>2362.8994039999998</v>
      </c>
      <c r="AA5" s="50">
        <v>2071.4448619999998</v>
      </c>
    </row>
    <row r="6" spans="1:27" ht="14.4" x14ac:dyDescent="0.25">
      <c r="A6" t="s">
        <v>128</v>
      </c>
      <c r="B6" s="20">
        <f>1256.60387617374*365/1000</f>
        <v>458.66041480341505</v>
      </c>
      <c r="C6" s="20"/>
      <c r="D6" s="20">
        <v>209.1</v>
      </c>
      <c r="E6" s="20">
        <f t="shared" si="0"/>
        <v>478.93774050000002</v>
      </c>
      <c r="F6" s="20">
        <f t="shared" si="2"/>
        <v>153.78029114922285</v>
      </c>
      <c r="G6" s="20">
        <f>H26*$K$16/1000</f>
        <v>53.376425902661893</v>
      </c>
      <c r="H6" s="20">
        <f t="shared" si="1"/>
        <v>1.9432829481152407</v>
      </c>
      <c r="I6" t="s">
        <v>131</v>
      </c>
      <c r="K6" s="36" t="s">
        <v>145</v>
      </c>
      <c r="L6">
        <v>38.897296394852901</v>
      </c>
      <c r="M6">
        <v>40.595052120770902</v>
      </c>
      <c r="N6">
        <v>39.597611134672697</v>
      </c>
      <c r="O6">
        <v>39.893175668136102</v>
      </c>
      <c r="P6">
        <v>40.401027320722697</v>
      </c>
      <c r="Q6">
        <v>40.631736953470003</v>
      </c>
      <c r="R6">
        <v>39.925518664568699</v>
      </c>
      <c r="T6" s="46" t="s">
        <v>158</v>
      </c>
      <c r="U6" s="50">
        <v>10576.288689999999</v>
      </c>
      <c r="V6" s="50">
        <v>10666.570369999999</v>
      </c>
      <c r="W6" s="50">
        <v>10708.345799999999</v>
      </c>
      <c r="X6" s="50">
        <v>12729.2315</v>
      </c>
      <c r="Y6" s="50">
        <v>12545.920410000001</v>
      </c>
      <c r="Z6" s="50">
        <v>12620.5507</v>
      </c>
      <c r="AA6" s="50">
        <v>11663.766589999999</v>
      </c>
    </row>
    <row r="7" spans="1:27" ht="14.4" x14ac:dyDescent="0.25">
      <c r="B7" s="1"/>
      <c r="C7" s="1"/>
      <c r="D7" s="1"/>
      <c r="E7" s="1"/>
      <c r="F7" s="79"/>
      <c r="G7" s="79"/>
      <c r="H7" s="79"/>
      <c r="T7" s="46" t="s">
        <v>159</v>
      </c>
      <c r="U7" s="50">
        <v>683.7382642</v>
      </c>
      <c r="V7" s="50">
        <v>693.83458729999995</v>
      </c>
      <c r="W7" s="50">
        <v>698.69307089999995</v>
      </c>
      <c r="X7" s="50">
        <v>1143.3869</v>
      </c>
      <c r="Y7" s="50">
        <v>1076.240693</v>
      </c>
      <c r="Z7" s="50">
        <v>1105.700049</v>
      </c>
      <c r="AA7" s="50">
        <v>845.27630829999998</v>
      </c>
    </row>
    <row r="8" spans="1:27" ht="14.4" x14ac:dyDescent="0.25">
      <c r="A8" t="s">
        <v>220</v>
      </c>
      <c r="B8" s="20">
        <f>2705.19071542811*365/1000</f>
        <v>987.39461113126004</v>
      </c>
      <c r="C8" s="20"/>
      <c r="D8" s="1"/>
      <c r="E8" s="1"/>
      <c r="F8" s="1"/>
      <c r="G8" s="1"/>
      <c r="H8" s="1"/>
      <c r="T8" s="46" t="s">
        <v>160</v>
      </c>
      <c r="U8" s="50">
        <v>14.51485432</v>
      </c>
      <c r="V8" s="50">
        <v>21.692553140000001</v>
      </c>
      <c r="W8" s="50">
        <v>22.655215559999998</v>
      </c>
      <c r="X8" s="50">
        <v>104.98471979999999</v>
      </c>
      <c r="Y8" s="50">
        <v>89.455041690000002</v>
      </c>
      <c r="Z8" s="50">
        <v>92.692560909999997</v>
      </c>
      <c r="AA8" s="50">
        <v>56.672739870000001</v>
      </c>
    </row>
    <row r="9" spans="1:27" ht="14.4" x14ac:dyDescent="0.25">
      <c r="A9" t="s">
        <v>221</v>
      </c>
      <c r="B9" s="20">
        <f>2628.19034472146*365/1000</f>
        <v>959.28947582333285</v>
      </c>
      <c r="C9" s="20"/>
      <c r="D9" s="1"/>
      <c r="E9" s="1"/>
      <c r="F9" s="1"/>
      <c r="G9" s="1"/>
      <c r="H9" s="1"/>
      <c r="K9" s="77" t="s">
        <v>147</v>
      </c>
      <c r="L9" s="127" t="s">
        <v>148</v>
      </c>
      <c r="M9" s="127"/>
      <c r="N9" s="127"/>
      <c r="O9" s="127"/>
      <c r="P9" s="127"/>
      <c r="Q9" s="127"/>
      <c r="R9" s="127"/>
      <c r="T9" s="46" t="s">
        <v>161</v>
      </c>
      <c r="U9" s="50">
        <v>0.46665456599999999</v>
      </c>
      <c r="V9" s="50">
        <v>0.45798031299999997</v>
      </c>
      <c r="W9" s="50">
        <v>0.46201041799999998</v>
      </c>
      <c r="X9" s="50">
        <v>0.984225719</v>
      </c>
      <c r="Y9" s="50">
        <v>0.95507856800000002</v>
      </c>
      <c r="Z9" s="50">
        <v>0.99326101700000002</v>
      </c>
      <c r="AA9" s="50">
        <v>0.71407222100000001</v>
      </c>
    </row>
    <row r="10" spans="1:27" ht="14.4" x14ac:dyDescent="0.25">
      <c r="J10" s="51"/>
      <c r="K10" s="38">
        <v>0</v>
      </c>
      <c r="L10" s="38">
        <v>56</v>
      </c>
      <c r="M10" s="38">
        <v>57</v>
      </c>
      <c r="N10" s="38">
        <v>58</v>
      </c>
      <c r="O10" s="38">
        <v>59</v>
      </c>
      <c r="P10" s="38">
        <v>60</v>
      </c>
      <c r="Q10" s="38">
        <v>61</v>
      </c>
      <c r="S10" s="46" t="s">
        <v>162</v>
      </c>
      <c r="T10" s="50">
        <v>0.22031456599999999</v>
      </c>
      <c r="U10" s="50">
        <v>0.16665723399999999</v>
      </c>
      <c r="V10" s="50">
        <v>0.172501769</v>
      </c>
      <c r="W10" s="50">
        <v>0.73434754499999999</v>
      </c>
      <c r="X10" s="50">
        <v>0.65828236699999998</v>
      </c>
      <c r="Y10" s="50">
        <v>0.69046353100000002</v>
      </c>
      <c r="Z10" s="50">
        <v>0.36975084000000003</v>
      </c>
    </row>
    <row r="11" spans="1:27" ht="41.4" x14ac:dyDescent="0.25">
      <c r="D11" t="s">
        <v>135</v>
      </c>
      <c r="E11" t="s">
        <v>136</v>
      </c>
      <c r="F11" t="s">
        <v>137</v>
      </c>
      <c r="J11" s="52"/>
      <c r="K11" s="39" t="s">
        <v>78</v>
      </c>
      <c r="L11" s="40" t="s">
        <v>149</v>
      </c>
      <c r="M11" s="40" t="s">
        <v>150</v>
      </c>
      <c r="N11" s="40" t="s">
        <v>77</v>
      </c>
      <c r="O11" s="40" t="s">
        <v>151</v>
      </c>
      <c r="P11" s="40" t="s">
        <v>152</v>
      </c>
      <c r="Q11" s="40" t="s">
        <v>153</v>
      </c>
      <c r="S11" s="46" t="s">
        <v>163</v>
      </c>
      <c r="T11" s="50">
        <v>0.177445458</v>
      </c>
      <c r="U11" s="50">
        <v>0.25285122399999999</v>
      </c>
      <c r="V11" s="50">
        <v>0.25859606899999998</v>
      </c>
      <c r="W11" s="50">
        <v>1.0677494869999999</v>
      </c>
      <c r="X11" s="50">
        <v>0.90832323299999995</v>
      </c>
      <c r="Y11" s="50">
        <v>0.938206133</v>
      </c>
      <c r="Z11" s="50">
        <v>0.58968931800000002</v>
      </c>
    </row>
    <row r="12" spans="1:27" ht="14.4" x14ac:dyDescent="0.25">
      <c r="C12" t="s">
        <v>133</v>
      </c>
      <c r="D12" s="31">
        <v>0.85</v>
      </c>
      <c r="E12" s="32">
        <v>2.5999999999999999E-3</v>
      </c>
      <c r="F12" t="s">
        <v>138</v>
      </c>
      <c r="J12" s="41" t="s">
        <v>142</v>
      </c>
      <c r="K12" s="41">
        <v>15369.416855272893</v>
      </c>
      <c r="L12" s="41">
        <v>15671.786288429976</v>
      </c>
      <c r="M12" s="41">
        <v>15722.694526811494</v>
      </c>
      <c r="N12" s="41">
        <v>18884.192476108787</v>
      </c>
      <c r="O12" s="41">
        <v>18567.025109050213</v>
      </c>
      <c r="P12" s="41">
        <v>18626.813735290561</v>
      </c>
      <c r="Q12" s="41">
        <v>17158.0253869103</v>
      </c>
      <c r="S12" s="47" t="s">
        <v>164</v>
      </c>
      <c r="T12" s="50">
        <v>14671.16374</v>
      </c>
      <c r="U12" s="50">
        <v>14956.25915</v>
      </c>
      <c r="V12" s="50">
        <v>15001.346240000001</v>
      </c>
      <c r="W12" s="50">
        <v>17635.82086</v>
      </c>
      <c r="X12" s="50">
        <v>17401.329369999999</v>
      </c>
      <c r="Y12" s="50">
        <v>17428.421129999999</v>
      </c>
      <c r="Z12" s="50">
        <v>16256.07634</v>
      </c>
    </row>
    <row r="13" spans="1:27" ht="15.6" x14ac:dyDescent="0.3">
      <c r="C13" t="s">
        <v>134</v>
      </c>
      <c r="D13" s="31">
        <v>0.85</v>
      </c>
      <c r="E13" s="37">
        <v>4.1380000000000002E-3</v>
      </c>
      <c r="F13" s="34" t="s">
        <v>146</v>
      </c>
      <c r="G13" s="117" t="s">
        <v>316</v>
      </c>
      <c r="J13" s="42" t="s">
        <v>143</v>
      </c>
      <c r="K13" s="41">
        <v>0.90728369853694102</v>
      </c>
      <c r="L13" s="41">
        <v>0.79129478162211897</v>
      </c>
      <c r="M13" s="41">
        <v>0.80701395647589902</v>
      </c>
      <c r="N13" s="41">
        <v>2.4529208080969069</v>
      </c>
      <c r="O13" s="41">
        <v>2.2716433021164608</v>
      </c>
      <c r="P13" s="41">
        <v>2.374188078362157</v>
      </c>
      <c r="Q13" s="41">
        <v>1.4535739009015189</v>
      </c>
      <c r="S13" s="47" t="s">
        <v>165</v>
      </c>
      <c r="T13" s="50">
        <v>698.25311859999999</v>
      </c>
      <c r="U13" s="50">
        <v>715.52714049999997</v>
      </c>
      <c r="V13" s="50">
        <v>721.34828640000001</v>
      </c>
      <c r="W13" s="50">
        <v>1248.3716199999999</v>
      </c>
      <c r="X13" s="50">
        <v>1165.695735</v>
      </c>
      <c r="Y13" s="50">
        <v>1198.3926100000001</v>
      </c>
      <c r="Z13" s="50">
        <v>901.94904810000003</v>
      </c>
    </row>
    <row r="14" spans="1:27" ht="14.4" x14ac:dyDescent="0.25">
      <c r="E14">
        <v>0.4</v>
      </c>
      <c r="F14" t="s">
        <v>139</v>
      </c>
      <c r="J14" s="42" t="s">
        <v>144</v>
      </c>
      <c r="K14" s="41">
        <v>41.814</v>
      </c>
      <c r="L14" s="41">
        <v>61.65</v>
      </c>
      <c r="M14" s="41">
        <v>70.62</v>
      </c>
      <c r="N14" s="41">
        <v>742.625</v>
      </c>
      <c r="O14" s="41">
        <v>634.15499999999997</v>
      </c>
      <c r="P14" s="41">
        <v>652.93200000000002</v>
      </c>
      <c r="Q14" s="41">
        <v>358.245</v>
      </c>
      <c r="S14" s="47" t="s">
        <v>166</v>
      </c>
      <c r="T14" s="50">
        <v>0.68696913199999998</v>
      </c>
      <c r="U14" s="50">
        <v>0.62463754699999996</v>
      </c>
      <c r="V14" s="50">
        <v>0.63451218700000001</v>
      </c>
      <c r="W14" s="50">
        <v>1.7185732629999999</v>
      </c>
      <c r="X14" s="50">
        <v>1.613360935</v>
      </c>
      <c r="Y14" s="50">
        <v>1.683724548</v>
      </c>
      <c r="Z14" s="50">
        <v>1.0838230609999999</v>
      </c>
    </row>
    <row r="15" spans="1:27" ht="14.4" x14ac:dyDescent="0.25">
      <c r="E15" s="33" t="s">
        <v>140</v>
      </c>
      <c r="J15" s="42" t="s">
        <v>145</v>
      </c>
      <c r="K15" s="41">
        <v>38.897296394852901</v>
      </c>
      <c r="L15" s="41">
        <v>40.595052120770902</v>
      </c>
      <c r="M15" s="41">
        <v>39.597611134672697</v>
      </c>
      <c r="N15" s="41">
        <v>39.893175668136102</v>
      </c>
      <c r="O15" s="41">
        <v>40.401027320722697</v>
      </c>
      <c r="P15" s="41">
        <v>40.631736953470003</v>
      </c>
      <c r="Q15" s="41">
        <v>39.925518664568699</v>
      </c>
      <c r="S15" s="47" t="s">
        <v>167</v>
      </c>
      <c r="T15" s="50">
        <v>0.22031456599999999</v>
      </c>
      <c r="U15" s="50">
        <v>0.16665723399999999</v>
      </c>
      <c r="V15" s="50">
        <v>0.172501769</v>
      </c>
      <c r="W15" s="50">
        <v>0.73434754499999999</v>
      </c>
      <c r="X15" s="50">
        <v>0.65828236699999998</v>
      </c>
      <c r="Y15" s="50">
        <v>0.69046353100000002</v>
      </c>
      <c r="Z15" s="50">
        <v>0.36975084000000003</v>
      </c>
    </row>
    <row r="16" spans="1:27" ht="14.4" x14ac:dyDescent="0.25">
      <c r="J16" s="41" t="s">
        <v>154</v>
      </c>
      <c r="K16" s="128">
        <v>1336.9</v>
      </c>
      <c r="L16" s="129"/>
      <c r="M16" s="129"/>
      <c r="N16" s="129"/>
      <c r="O16" s="129"/>
      <c r="P16" s="129"/>
      <c r="Q16" s="130"/>
      <c r="S16" s="47" t="s">
        <v>168</v>
      </c>
      <c r="T16" s="50">
        <v>41.814</v>
      </c>
      <c r="U16" s="50">
        <v>61.65</v>
      </c>
      <c r="V16" s="50">
        <v>70.62</v>
      </c>
      <c r="W16" s="50">
        <v>742.625</v>
      </c>
      <c r="X16" s="50">
        <v>634.15499999999997</v>
      </c>
      <c r="Y16" s="50">
        <v>652.93200000000002</v>
      </c>
      <c r="Z16" s="50">
        <v>358.245</v>
      </c>
    </row>
    <row r="17" spans="3:26" ht="14.4" x14ac:dyDescent="0.25">
      <c r="S17" s="46" t="s">
        <v>169</v>
      </c>
      <c r="T17" s="50">
        <v>9674.2151919999997</v>
      </c>
      <c r="U17" s="50">
        <v>10365.207469999999</v>
      </c>
      <c r="V17" s="50">
        <v>9984.4429739999996</v>
      </c>
      <c r="W17" s="50">
        <v>10095.995919999999</v>
      </c>
      <c r="X17" s="50">
        <v>10288.65624</v>
      </c>
      <c r="Y17" s="50">
        <v>10383.912619999999</v>
      </c>
      <c r="Z17" s="50">
        <v>10108.25822</v>
      </c>
    </row>
    <row r="18" spans="3:26" ht="14.4" x14ac:dyDescent="0.25">
      <c r="S18" s="46" t="s">
        <v>170</v>
      </c>
      <c r="T18" s="50">
        <v>3352.2772920000002</v>
      </c>
      <c r="U18" s="50">
        <v>3328.1738300000002</v>
      </c>
      <c r="V18" s="50">
        <v>3326.3559519999999</v>
      </c>
      <c r="W18" s="50">
        <v>3327.7039709999999</v>
      </c>
      <c r="X18" s="50">
        <v>3329.3953919999999</v>
      </c>
      <c r="Y18" s="50">
        <v>3325.2595470000001</v>
      </c>
      <c r="Z18" s="50">
        <v>3327.8164099999999</v>
      </c>
    </row>
    <row r="19" spans="3:26" ht="14.4" x14ac:dyDescent="0.25">
      <c r="C19" s="81" t="s">
        <v>148</v>
      </c>
      <c r="D19" s="81"/>
      <c r="E19" s="41" t="s">
        <v>142</v>
      </c>
      <c r="F19" s="42" t="s">
        <v>143</v>
      </c>
      <c r="G19" s="42" t="s">
        <v>144</v>
      </c>
      <c r="H19" s="42" t="s">
        <v>145</v>
      </c>
      <c r="I19" s="41" t="s">
        <v>154</v>
      </c>
      <c r="S19" s="46" t="s">
        <v>171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</row>
    <row r="20" spans="3:26" ht="14.4" x14ac:dyDescent="0.25">
      <c r="C20" s="38">
        <v>0</v>
      </c>
      <c r="D20" s="39" t="s">
        <v>78</v>
      </c>
      <c r="E20" s="41">
        <v>15369.416855272893</v>
      </c>
      <c r="F20" s="41">
        <v>0.90728369853694102</v>
      </c>
      <c r="G20" s="41">
        <v>41.814</v>
      </c>
      <c r="H20" s="41">
        <v>38.897296394852901</v>
      </c>
      <c r="I20" s="128">
        <v>1336.9</v>
      </c>
      <c r="S20" s="46" t="s">
        <v>172</v>
      </c>
      <c r="T20" s="50">
        <v>25.152959500000001</v>
      </c>
      <c r="U20" s="50">
        <v>26.949539420000001</v>
      </c>
      <c r="V20" s="50">
        <v>25.959551730000001</v>
      </c>
      <c r="W20" s="50">
        <v>26.249589390000001</v>
      </c>
      <c r="X20" s="50">
        <v>26.750506219999998</v>
      </c>
      <c r="Y20" s="50">
        <v>26.99817281</v>
      </c>
      <c r="Z20" s="50">
        <v>26.281471379999999</v>
      </c>
    </row>
    <row r="21" spans="3:26" ht="14.4" x14ac:dyDescent="0.25">
      <c r="C21" s="38">
        <v>56</v>
      </c>
      <c r="D21" s="40" t="s">
        <v>149</v>
      </c>
      <c r="E21" s="41">
        <v>15671.786288429976</v>
      </c>
      <c r="F21" s="41">
        <v>0.79129478162211897</v>
      </c>
      <c r="G21" s="41">
        <v>61.65</v>
      </c>
      <c r="H21" s="41">
        <v>40.595052120770902</v>
      </c>
      <c r="I21" s="129"/>
      <c r="S21" s="46" t="s">
        <v>173</v>
      </c>
      <c r="T21" s="50">
        <v>13.7443369</v>
      </c>
      <c r="U21" s="50">
        <v>13.645512699999999</v>
      </c>
      <c r="V21" s="50">
        <v>13.638059399999999</v>
      </c>
      <c r="W21" s="50">
        <v>13.643586279999999</v>
      </c>
      <c r="X21" s="50">
        <v>13.65052111</v>
      </c>
      <c r="Y21" s="50">
        <v>13.633564140000001</v>
      </c>
      <c r="Z21" s="50">
        <v>13.644047280000001</v>
      </c>
    </row>
    <row r="22" spans="3:26" ht="14.4" x14ac:dyDescent="0.25">
      <c r="C22" s="38">
        <v>57</v>
      </c>
      <c r="D22" s="40" t="s">
        <v>150</v>
      </c>
      <c r="E22" s="41">
        <v>15722.694526811494</v>
      </c>
      <c r="F22" s="41">
        <v>0.80701395647589902</v>
      </c>
      <c r="G22" s="41">
        <v>70.62</v>
      </c>
      <c r="H22" s="41">
        <v>39.597611134672697</v>
      </c>
      <c r="I22" s="129"/>
      <c r="S22" s="46" t="s">
        <v>174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</row>
    <row r="23" spans="3:26" ht="14.4" x14ac:dyDescent="0.25">
      <c r="C23" s="38">
        <v>58</v>
      </c>
      <c r="D23" s="40" t="s">
        <v>77</v>
      </c>
      <c r="E23" s="41">
        <v>18884.192476108787</v>
      </c>
      <c r="F23" s="41">
        <v>2.4529208080969069</v>
      </c>
      <c r="G23" s="41">
        <v>742.625</v>
      </c>
      <c r="H23" s="41">
        <v>39.893175668136102</v>
      </c>
      <c r="I23" s="129"/>
      <c r="S23" s="47" t="s">
        <v>175</v>
      </c>
      <c r="T23" s="50">
        <v>38.897296390000001</v>
      </c>
      <c r="U23" s="50">
        <v>40.595052119999998</v>
      </c>
      <c r="V23" s="50">
        <v>39.597611129999997</v>
      </c>
      <c r="W23" s="50">
        <v>39.893175669999998</v>
      </c>
      <c r="X23" s="50">
        <v>40.401027319999997</v>
      </c>
      <c r="Y23" s="50">
        <v>40.631736949999997</v>
      </c>
      <c r="Z23" s="50">
        <v>39.925518660000002</v>
      </c>
    </row>
    <row r="24" spans="3:26" x14ac:dyDescent="0.25">
      <c r="C24" s="38">
        <v>59</v>
      </c>
      <c r="D24" s="40" t="s">
        <v>151</v>
      </c>
      <c r="E24" s="41">
        <v>18567.025109050213</v>
      </c>
      <c r="F24" s="41">
        <v>2.2716433021164608</v>
      </c>
      <c r="G24" s="41">
        <v>634.15499999999997</v>
      </c>
      <c r="H24" s="41">
        <v>40.401027320722697</v>
      </c>
      <c r="I24" s="129"/>
    </row>
    <row r="25" spans="3:26" x14ac:dyDescent="0.25">
      <c r="C25" s="38">
        <v>60</v>
      </c>
      <c r="D25" s="40" t="s">
        <v>152</v>
      </c>
      <c r="E25" s="41">
        <v>18626.813735290561</v>
      </c>
      <c r="F25" s="41">
        <v>2.374188078362157</v>
      </c>
      <c r="G25" s="41">
        <v>652.93200000000002</v>
      </c>
      <c r="H25" s="41">
        <v>40.631736953470003</v>
      </c>
      <c r="I25" s="129"/>
      <c r="T25">
        <f>T21/(T20+T21)</f>
        <v>0.35334941427960015</v>
      </c>
    </row>
    <row r="26" spans="3:26" x14ac:dyDescent="0.25">
      <c r="C26" s="38">
        <v>61</v>
      </c>
      <c r="D26" s="40" t="s">
        <v>153</v>
      </c>
      <c r="E26" s="41">
        <v>17158.0253869103</v>
      </c>
      <c r="F26" s="41">
        <v>1.4535739009015189</v>
      </c>
      <c r="G26" s="41">
        <v>358.245</v>
      </c>
      <c r="H26" s="41">
        <v>39.925518664568699</v>
      </c>
      <c r="I26" s="130"/>
    </row>
  </sheetData>
  <mergeCells count="5">
    <mergeCell ref="L1:R1"/>
    <mergeCell ref="L9:R9"/>
    <mergeCell ref="K16:Q16"/>
    <mergeCell ref="U1:AA1"/>
    <mergeCell ref="I20:I26"/>
  </mergeCells>
  <phoneticPr fontId="20" type="noConversion"/>
  <hyperlinks>
    <hyperlink ref="F13" r:id="rId1" display="https://crops.extension.iastate.edu/encyclopedia/nutrient-requirements-soybean" xr:uid="{D90D32C0-8134-445E-9D2B-5252ACC95412}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7909-5ABE-4266-9E39-3EC30C2CC7B6}">
  <dimension ref="A1:G17"/>
  <sheetViews>
    <sheetView workbookViewId="0">
      <selection activeCell="B16" sqref="B16"/>
    </sheetView>
  </sheetViews>
  <sheetFormatPr defaultRowHeight="13.8" x14ac:dyDescent="0.25"/>
  <cols>
    <col min="1" max="1" width="35" bestFit="1" customWidth="1"/>
    <col min="2" max="2" width="8.5546875" bestFit="1" customWidth="1"/>
    <col min="3" max="3" width="20.21875" customWidth="1"/>
    <col min="4" max="4" width="20.6640625" bestFit="1" customWidth="1"/>
    <col min="5" max="5" width="12.77734375" bestFit="1" customWidth="1"/>
  </cols>
  <sheetData>
    <row r="1" spans="1:7" x14ac:dyDescent="0.25">
      <c r="A1" s="6" t="s">
        <v>42</v>
      </c>
      <c r="B1" s="7"/>
      <c r="C1" s="7"/>
      <c r="D1" s="7"/>
    </row>
    <row r="2" spans="1:7" x14ac:dyDescent="0.25">
      <c r="A2" s="7" t="s">
        <v>44</v>
      </c>
      <c r="B2" s="7">
        <v>10284</v>
      </c>
      <c r="C2" s="7" t="s">
        <v>45</v>
      </c>
      <c r="D2" s="7"/>
      <c r="E2" s="7">
        <v>2500</v>
      </c>
      <c r="F2" s="7" t="s">
        <v>323</v>
      </c>
      <c r="G2" s="7"/>
    </row>
    <row r="3" spans="1:7" x14ac:dyDescent="0.25">
      <c r="A3" s="7" t="s">
        <v>48</v>
      </c>
      <c r="B3" s="10">
        <v>173904.12830000001</v>
      </c>
      <c r="C3" s="7" t="s">
        <v>46</v>
      </c>
      <c r="D3" s="7"/>
      <c r="F3" s="7"/>
      <c r="G3" s="7"/>
    </row>
    <row r="4" spans="1:7" x14ac:dyDescent="0.25">
      <c r="A4" s="7" t="s">
        <v>47</v>
      </c>
      <c r="B4" s="10">
        <v>158764.13020000001</v>
      </c>
      <c r="C4" s="7" t="s">
        <v>46</v>
      </c>
      <c r="D4" s="7"/>
      <c r="G4" s="7"/>
    </row>
    <row r="5" spans="1:7" x14ac:dyDescent="0.25">
      <c r="A5" s="7" t="s">
        <v>51</v>
      </c>
      <c r="B5" s="10">
        <f>B3*B2/1000</f>
        <v>1788430.0554372</v>
      </c>
      <c r="C5" s="7" t="s">
        <v>49</v>
      </c>
      <c r="D5" s="123">
        <f>B2*(B3+B4)/1000</f>
        <v>3421160.370414</v>
      </c>
      <c r="E5" s="109">
        <f>B4*E2/1000</f>
        <v>396910.32550000004</v>
      </c>
      <c r="F5" s="7" t="s">
        <v>324</v>
      </c>
      <c r="G5" s="7"/>
    </row>
    <row r="6" spans="1:7" x14ac:dyDescent="0.25">
      <c r="A6" s="7" t="s">
        <v>52</v>
      </c>
      <c r="B6" s="10">
        <f>B4*B2/1000</f>
        <v>1632730.3149768002</v>
      </c>
      <c r="C6" s="7" t="s">
        <v>49</v>
      </c>
      <c r="D6" s="7"/>
      <c r="F6" s="7"/>
      <c r="G6" s="7"/>
    </row>
    <row r="7" spans="1:7" x14ac:dyDescent="0.25">
      <c r="A7" s="7" t="s">
        <v>50</v>
      </c>
      <c r="B7" s="14">
        <f>(B5+B6)/2/1000000</f>
        <v>1.7105801852069999</v>
      </c>
      <c r="C7" s="7" t="s">
        <v>53</v>
      </c>
      <c r="D7" s="7"/>
      <c r="F7" s="7"/>
      <c r="G7" s="7"/>
    </row>
    <row r="8" spans="1:7" x14ac:dyDescent="0.25">
      <c r="A8" s="7"/>
      <c r="B8" s="8">
        <f>3224232171.8842/1000000000</f>
        <v>3.2242321718842</v>
      </c>
      <c r="C8" s="7"/>
      <c r="D8" s="7"/>
      <c r="F8" s="7"/>
      <c r="G8" s="7"/>
    </row>
    <row r="9" spans="1:7" x14ac:dyDescent="0.25">
      <c r="A9" s="7" t="s">
        <v>121</v>
      </c>
      <c r="B9" s="7">
        <v>8.1</v>
      </c>
      <c r="C9" s="7" t="s">
        <v>53</v>
      </c>
      <c r="D9" s="7"/>
      <c r="F9" s="7"/>
      <c r="G9" s="7"/>
    </row>
    <row r="10" spans="1:7" x14ac:dyDescent="0.25">
      <c r="A10" s="7"/>
      <c r="B10" s="55">
        <f>B7/B9</f>
        <v>0.21118273891444445</v>
      </c>
      <c r="C10" s="7" t="s">
        <v>54</v>
      </c>
      <c r="D10" s="7"/>
      <c r="F10" s="7"/>
      <c r="G10" s="7"/>
    </row>
    <row r="11" spans="1:7" x14ac:dyDescent="0.25">
      <c r="A11" s="7"/>
      <c r="B11" s="18"/>
      <c r="C11" s="7"/>
      <c r="D11" s="7"/>
      <c r="F11" s="7"/>
      <c r="G11" s="7"/>
    </row>
    <row r="12" spans="1:7" x14ac:dyDescent="0.25">
      <c r="A12" s="7"/>
      <c r="B12" s="7"/>
      <c r="C12" s="7"/>
      <c r="D12" s="7"/>
      <c r="F12" s="7"/>
      <c r="G12" s="7"/>
    </row>
    <row r="13" spans="1:7" x14ac:dyDescent="0.25">
      <c r="A13" s="7" t="s">
        <v>86</v>
      </c>
      <c r="B13" s="7">
        <v>207</v>
      </c>
      <c r="C13" s="7" t="s">
        <v>87</v>
      </c>
      <c r="D13" s="7"/>
      <c r="F13" s="7"/>
      <c r="G13" s="7"/>
    </row>
    <row r="14" spans="1:7" x14ac:dyDescent="0.25">
      <c r="A14" s="7" t="s">
        <v>88</v>
      </c>
      <c r="B14" s="7">
        <f>B13*0.2</f>
        <v>41.400000000000006</v>
      </c>
      <c r="C14" s="7" t="s">
        <v>89</v>
      </c>
      <c r="D14" s="7"/>
      <c r="F14" s="7"/>
      <c r="G14" s="7"/>
    </row>
    <row r="15" spans="1:7" x14ac:dyDescent="0.25">
      <c r="A15" s="7" t="s">
        <v>78</v>
      </c>
      <c r="B15" s="10">
        <f>B14*B3/1000</f>
        <v>7199.6309116200009</v>
      </c>
      <c r="C15" s="7" t="s">
        <v>85</v>
      </c>
      <c r="D15" s="7"/>
      <c r="F15" s="7"/>
      <c r="G15" s="7"/>
    </row>
    <row r="16" spans="1:7" x14ac:dyDescent="0.25">
      <c r="A16" s="7" t="s">
        <v>76</v>
      </c>
      <c r="B16" s="10">
        <f>B15*0.7</f>
        <v>5039.7416381339999</v>
      </c>
      <c r="C16" s="7" t="s">
        <v>90</v>
      </c>
      <c r="D16" s="7"/>
      <c r="F16" s="7"/>
      <c r="G16" s="7"/>
    </row>
    <row r="17" spans="6:7" x14ac:dyDescent="0.25">
      <c r="F17" s="7"/>
      <c r="G17" s="7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P_flow</vt:lpstr>
      <vt:lpstr>P_SDD</vt:lpstr>
      <vt:lpstr>P_CornBiorefinery</vt:lpstr>
      <vt:lpstr>P_Manure</vt:lpstr>
      <vt:lpstr>P_Biosolid</vt:lpstr>
      <vt:lpstr>P_Crop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Li, Shaobin</cp:lastModifiedBy>
  <dcterms:created xsi:type="dcterms:W3CDTF">2015-06-05T18:17:20Z</dcterms:created>
  <dcterms:modified xsi:type="dcterms:W3CDTF">2021-10-21T16:22:03Z</dcterms:modified>
</cp:coreProperties>
</file>