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harat/Documents/Masters@Syracuse/"/>
    </mc:Choice>
  </mc:AlternateContent>
  <xr:revisionPtr revIDLastSave="0" documentId="13_ncr:1_{DCA71803-E4ED-B849-A937-B74F25936D31}" xr6:coauthVersionLast="45" xr6:coauthVersionMax="45" xr10:uidLastSave="{00000000-0000-0000-0000-000000000000}"/>
  <bookViews>
    <workbookView xWindow="33660" yWindow="460" windowWidth="30820" windowHeight="18540" activeTab="4" xr2:uid="{CCD40ABD-C476-A949-B88E-246163FFF35D}"/>
  </bookViews>
  <sheets>
    <sheet name="Quiz-2" sheetId="1" r:id="rId1"/>
    <sheet name="Practice" sheetId="4" r:id="rId2"/>
    <sheet name="Assignments" sheetId="2" r:id="rId3"/>
    <sheet name="Regression-result" sheetId="3" r:id="rId4"/>
    <sheet name="Final" sheetId="5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5" l="1"/>
  <c r="A4" i="5"/>
  <c r="A3" i="5"/>
  <c r="A2" i="5"/>
  <c r="U17" i="4"/>
  <c r="U18" i="4"/>
  <c r="U16" i="4"/>
  <c r="U15" i="4"/>
  <c r="U14" i="4"/>
  <c r="U13" i="4"/>
  <c r="U12" i="4"/>
  <c r="U11" i="4"/>
  <c r="U10" i="4"/>
  <c r="U9" i="4"/>
  <c r="U8" i="4"/>
  <c r="T17" i="4"/>
  <c r="T16" i="4"/>
  <c r="T15" i="4"/>
  <c r="T14" i="4"/>
  <c r="T13" i="4"/>
  <c r="T12" i="4"/>
  <c r="T11" i="4"/>
  <c r="T10" i="4"/>
  <c r="T9" i="4"/>
  <c r="T8" i="4"/>
  <c r="D25" i="4"/>
  <c r="L22" i="4"/>
  <c r="D20" i="4"/>
  <c r="L21" i="4"/>
  <c r="I32" i="4"/>
  <c r="I31" i="4"/>
  <c r="I30" i="4"/>
  <c r="I24" i="4"/>
  <c r="I25" i="4"/>
  <c r="I29" i="4"/>
  <c r="D23" i="4"/>
  <c r="I21" i="4"/>
  <c r="I22" i="4"/>
  <c r="J13" i="4"/>
  <c r="J14" i="4"/>
  <c r="K13" i="4"/>
  <c r="L13" i="4"/>
  <c r="L14" i="4"/>
  <c r="K14" i="4"/>
  <c r="K16" i="4"/>
  <c r="K17" i="4"/>
  <c r="M9" i="4"/>
  <c r="D14" i="4"/>
  <c r="D18" i="4"/>
  <c r="D19" i="4"/>
  <c r="D15" i="4"/>
  <c r="D16" i="4"/>
  <c r="B7" i="4"/>
  <c r="B6" i="4"/>
  <c r="B5" i="4"/>
  <c r="B4" i="4"/>
  <c r="S4" i="2"/>
  <c r="S5" i="2"/>
  <c r="S6" i="2"/>
  <c r="S7" i="2"/>
  <c r="T7" i="2"/>
  <c r="U7" i="2"/>
  <c r="S8" i="2"/>
  <c r="T8" i="2"/>
  <c r="U8" i="2"/>
  <c r="S9" i="2"/>
  <c r="T9" i="2"/>
  <c r="U9" i="2"/>
  <c r="S10" i="2"/>
  <c r="T10" i="2"/>
  <c r="U10" i="2"/>
  <c r="S11" i="2"/>
  <c r="T11" i="2"/>
  <c r="U11" i="2"/>
  <c r="S12" i="2"/>
  <c r="S13" i="2"/>
  <c r="S3" i="2"/>
  <c r="T4" i="2"/>
  <c r="U4" i="2"/>
  <c r="T5" i="2"/>
  <c r="U5" i="2"/>
  <c r="T6" i="2"/>
  <c r="U6" i="2"/>
  <c r="T12" i="2"/>
  <c r="U12" i="2"/>
  <c r="T13" i="2"/>
  <c r="U13" i="2"/>
  <c r="T3" i="2"/>
  <c r="U3" i="2"/>
  <c r="L3" i="2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N11" i="2"/>
  <c r="D25" i="3"/>
  <c r="D26" i="3"/>
  <c r="D27" i="3"/>
  <c r="D28" i="3"/>
  <c r="D29" i="3"/>
  <c r="D30" i="3"/>
  <c r="D31" i="3"/>
  <c r="D32" i="3"/>
  <c r="D33" i="3"/>
  <c r="G4" i="2"/>
  <c r="U14" i="2"/>
  <c r="N59" i="1"/>
  <c r="N58" i="1"/>
  <c r="J62" i="1"/>
  <c r="J63" i="1"/>
  <c r="J55" i="1"/>
  <c r="J56" i="1"/>
  <c r="J57" i="1"/>
  <c r="J58" i="1"/>
  <c r="J59" i="1"/>
  <c r="J60" i="1"/>
  <c r="M52" i="1"/>
  <c r="M37" i="1"/>
  <c r="J40" i="1"/>
  <c r="M38" i="1"/>
  <c r="M39" i="1"/>
  <c r="M40" i="1"/>
  <c r="J43" i="1"/>
  <c r="J47" i="1"/>
  <c r="K40" i="1"/>
  <c r="K43" i="1"/>
  <c r="K47" i="1"/>
  <c r="L40" i="1"/>
  <c r="L43" i="1"/>
  <c r="L47" i="1"/>
  <c r="M47" i="1"/>
  <c r="J44" i="1"/>
  <c r="J48" i="1"/>
  <c r="K44" i="1"/>
  <c r="K48" i="1"/>
  <c r="L44" i="1"/>
  <c r="L48" i="1"/>
  <c r="M48" i="1"/>
  <c r="J45" i="1"/>
  <c r="J49" i="1"/>
  <c r="K45" i="1"/>
  <c r="K49" i="1"/>
  <c r="L45" i="1"/>
  <c r="L49" i="1"/>
  <c r="M49" i="1"/>
  <c r="M50" i="1"/>
  <c r="K31" i="1"/>
  <c r="J30" i="1"/>
  <c r="J29" i="1"/>
  <c r="J26" i="1"/>
  <c r="K21" i="1"/>
  <c r="J11" i="1"/>
  <c r="M8" i="1"/>
  <c r="M7" i="1"/>
  <c r="M9" i="1"/>
  <c r="M10" i="1"/>
  <c r="M11" i="1"/>
  <c r="J15" i="1"/>
  <c r="J21" i="1"/>
  <c r="L21" i="1"/>
  <c r="M21" i="1"/>
  <c r="J17" i="1"/>
  <c r="J23" i="1"/>
  <c r="K23" i="1"/>
  <c r="L23" i="1"/>
  <c r="M23" i="1"/>
  <c r="J16" i="1"/>
  <c r="J22" i="1"/>
  <c r="K22" i="1"/>
  <c r="L22" i="1"/>
  <c r="M22" i="1"/>
  <c r="J14" i="1"/>
  <c r="J20" i="1"/>
  <c r="K11" i="1"/>
  <c r="K14" i="1"/>
  <c r="K20" i="1"/>
  <c r="L11" i="1"/>
  <c r="L14" i="1"/>
  <c r="L20" i="1"/>
  <c r="M20" i="1"/>
  <c r="M24" i="1"/>
  <c r="D22" i="1"/>
  <c r="D20" i="1"/>
  <c r="D18" i="1"/>
  <c r="D17" i="1"/>
  <c r="D14" i="1"/>
  <c r="E8" i="1"/>
  <c r="G8" i="1"/>
  <c r="E10" i="1"/>
  <c r="D5" i="1"/>
  <c r="E5" i="1"/>
  <c r="G5" i="1"/>
  <c r="F5" i="1"/>
  <c r="F8" i="1"/>
</calcChain>
</file>

<file path=xl/sharedStrings.xml><?xml version="1.0" encoding="utf-8"?>
<sst xmlns="http://schemas.openxmlformats.org/spreadsheetml/2006/main" count="82" uniqueCount="69">
  <si>
    <t>Error</t>
  </si>
  <si>
    <t>p-hat</t>
  </si>
  <si>
    <t>lower</t>
  </si>
  <si>
    <t>upper</t>
  </si>
  <si>
    <t>Observed frequency</t>
  </si>
  <si>
    <t>Expected frequency</t>
  </si>
  <si>
    <t>Chi-sq</t>
  </si>
  <si>
    <t>Total</t>
  </si>
  <si>
    <t>error</t>
  </si>
  <si>
    <t>Observation</t>
  </si>
  <si>
    <t>Weight(lbs)</t>
  </si>
  <si>
    <t>Miles(mpg)</t>
  </si>
  <si>
    <t>Exam grade(Y)</t>
  </si>
  <si>
    <t>Hours studied(X)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</si>
  <si>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</si>
  <si>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</si>
  <si>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</si>
  <si>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</si>
  <si>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</si>
  <si>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</si>
  <si>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</si>
  <si>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</si>
  <si>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</si>
  <si>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</si>
  <si>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</si>
  <si>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</si>
  <si>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</si>
  <si>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</si>
  <si>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</si>
  <si>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</si>
  <si>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</si>
  <si>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</si>
  <si>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</si>
  <si>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</si>
  <si>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</si>
  <si>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</si>
  <si>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</si>
  <si>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</si>
  <si>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Predicted Exam grade(Y)</t>
  </si>
  <si>
    <t>Residuals</t>
  </si>
  <si>
    <t>Residuals-sq</t>
  </si>
  <si>
    <t>y-y(cap)</t>
  </si>
  <si>
    <t>y(cap)=60.418+10.127*x</t>
  </si>
  <si>
    <t>y-y(cap)^2</t>
  </si>
  <si>
    <t>x</t>
  </si>
  <si>
    <t>y</t>
  </si>
  <si>
    <t>y(cap)=-0.41x+4.02</t>
  </si>
  <si>
    <t>Male</t>
  </si>
  <si>
    <t>Female</t>
  </si>
  <si>
    <t>Living with parents</t>
  </si>
  <si>
    <t>Living with partner</t>
  </si>
  <si>
    <t>All other arrangements</t>
  </si>
  <si>
    <t>Living arrangements</t>
  </si>
  <si>
    <t>Expected Frequency</t>
  </si>
  <si>
    <t xml:space="preserve">X^2 = </t>
  </si>
  <si>
    <t>p-value</t>
  </si>
  <si>
    <t>binom</t>
  </si>
  <si>
    <t>norm-s-dist</t>
  </si>
  <si>
    <t>example-1</t>
  </si>
  <si>
    <t>example-2</t>
  </si>
  <si>
    <t>confidence-problems</t>
  </si>
  <si>
    <t>z-interval</t>
  </si>
  <si>
    <t>t-interval</t>
  </si>
  <si>
    <t>Student</t>
  </si>
  <si>
    <t>Time to memorize</t>
  </si>
  <si>
    <t>Short-term memory score</t>
  </si>
  <si>
    <t>Predicted score (y-hat)</t>
  </si>
  <si>
    <t>SSE (y-y-hat)^2</t>
  </si>
  <si>
    <r>
      <t>&lt;-</t>
    </r>
    <r>
      <rPr>
        <b/>
        <sz val="12"/>
        <color theme="1"/>
        <rFont val="Calibri"/>
        <family val="2"/>
        <scheme val="minor"/>
      </rPr>
      <t>SSE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</si>
</sst>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Practice!$S$7</c:f>
              <c:strCache>
                <c:ptCount val="1"/>
                <c:pt idx="0">
                  <c:v>Short-term memory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578740157480313E-2"/>
                  <c:y val="-5.99114173228346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Practice!$R$8:$R$17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Practice!$S$8:$S$17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19</c:v>
                </c:pt>
                <c:pt idx="7">
                  <c:v>17</c:v>
                </c:pt>
                <c:pt idx="8">
                  <c:v>21</c:v>
                </c:pt>
                <c:pt idx="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4-F445-8FE9-9FACB7B5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163856"/>
        <c:axId val="736258128"/>
      </c:scatterChart>
      <c:valAx>
        <c:axId val="74116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58128"/>
        <c:crosses val="autoZero"/>
        <c:crossBetween val="midCat"/>
      </c:valAx>
      <c:valAx>
        <c:axId val="7362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6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Assignments!$K$2</c:f>
              <c:strCache>
                <c:ptCount val="1"/>
                <c:pt idx="0">
                  <c:v>Exam grade(Y)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Assignments!$J$3:$J$10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</c:numCache>
            </c:numRef>
          </c:xVal>
          <c:yVal>
            <c:numRef>
              <c:f>Assignments!$K$3:$K$10</c:f>
              <c:numCache>
                <c:formatCode>General</c:formatCode>
                <c:ptCount val="8"/>
                <c:pt idx="0">
                  <c:v>60</c:v>
                </c:pt>
                <c:pt idx="1">
                  <c:v>68</c:v>
                </c:pt>
                <c:pt idx="2">
                  <c:v>75</c:v>
                </c:pt>
                <c:pt idx="3">
                  <c:v>69</c:v>
                </c:pt>
                <c:pt idx="4">
                  <c:v>82</c:v>
                </c:pt>
                <c:pt idx="5">
                  <c:v>87</c:v>
                </c:pt>
                <c:pt idx="6">
                  <c:v>85</c:v>
                </c:pt>
                <c:pt idx="7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E-9349-94DC-7D7AB13D8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517343"/>
        <c:axId val="703111375"/>
      </c:scatterChart>
      <c:valAx>
        <c:axId val="75851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11375"/>
        <c:crosses val="autoZero"/>
        <c:crossBetween val="midCat"/>
      </c:valAx>
      <c:valAx>
        <c:axId val="70311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1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806450</xdr:colOff>
      <xdr:row>5</xdr:row>
      <xdr:rowOff>635000</xdr:rowOff>
    </xdr:from>
    <xdr:to>
      <xdr:col>28</xdr:col>
      <xdr:colOff>425450</xdr:colOff>
      <xdr:row>17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3345AF-E48E-3C47-8E9B-8C66E0BFE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184150</xdr:rowOff>
    </xdr:from>
    <xdr:to>
      <xdr:col>14</xdr:col>
      <xdr:colOff>12700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325E1-7FB9-CB48-B29A-A9833A517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F496-3C8C-BD46-B03B-606F59462DFA}">
  <dimension ref="D4:N63"/>
  <sheetViews>
    <sheetView workbookViewId="0">
      <selection activeCell="M52" sqref="M52"/>
    </sheetView>
  </sheetViews>
  <sheetFormatPr baseColWidth="10" defaultRowHeight="16" x14ac:dyDescent="0.2"/>
  <cols>
    <col min="10" max="10" width="12.1640625" bestFit="1" customWidth="1"/>
  </cols>
  <sheetData>
    <row r="4" spans="4:13" x14ac:dyDescent="0.2">
      <c r="D4" t="s">
        <v>1</v>
      </c>
      <c r="E4" t="s">
        <v>0</v>
      </c>
      <c r="F4" t="s">
        <v>2</v>
      </c>
      <c r="G4" t="s">
        <v>3</v>
      </c>
    </row>
    <row r="5" spans="4:13" x14ac:dyDescent="0.2">
      <c r="D5">
        <f>90/300</f>
        <v>0.3</v>
      </c>
      <c r="E5">
        <f>((90/300)*(1-(90/300))/300)^0.5*2.576</f>
        <v>6.8154553773023846E-2</v>
      </c>
      <c r="F5">
        <f>D5-E5</f>
        <v>0.23184544622697614</v>
      </c>
      <c r="G5">
        <f>D5+E5</f>
        <v>0.36815455377302386</v>
      </c>
    </row>
    <row r="6" spans="4:13" x14ac:dyDescent="0.2">
      <c r="J6" s="8" t="s">
        <v>4</v>
      </c>
      <c r="K6" s="8"/>
      <c r="L6" s="8"/>
      <c r="M6" s="8"/>
    </row>
    <row r="7" spans="4:13" x14ac:dyDescent="0.2">
      <c r="J7">
        <v>185</v>
      </c>
      <c r="K7">
        <v>175</v>
      </c>
      <c r="L7">
        <v>170</v>
      </c>
      <c r="M7">
        <f>SUM(J7:L7)</f>
        <v>530</v>
      </c>
    </row>
    <row r="8" spans="4:13" x14ac:dyDescent="0.2">
      <c r="D8">
        <v>245</v>
      </c>
      <c r="E8">
        <f>1.833*(35/(10)^0.5)</f>
        <v>20.287592328810238</v>
      </c>
      <c r="F8">
        <f>D8-E8</f>
        <v>224.71240767118977</v>
      </c>
      <c r="G8">
        <f>D8+E8</f>
        <v>265.28759232881026</v>
      </c>
      <c r="J8">
        <v>55</v>
      </c>
      <c r="K8">
        <v>60</v>
      </c>
      <c r="L8">
        <v>65</v>
      </c>
      <c r="M8">
        <f>SUM(J8:L8)</f>
        <v>180</v>
      </c>
    </row>
    <row r="9" spans="4:13" x14ac:dyDescent="0.2">
      <c r="J9">
        <v>15</v>
      </c>
      <c r="K9">
        <v>15</v>
      </c>
      <c r="L9">
        <v>15</v>
      </c>
      <c r="M9">
        <f>SUM(J9:L9)</f>
        <v>45</v>
      </c>
    </row>
    <row r="10" spans="4:13" x14ac:dyDescent="0.2">
      <c r="E10">
        <f>(29-26.5)*10/1.645</f>
        <v>15.19756838905775</v>
      </c>
      <c r="J10">
        <v>10</v>
      </c>
      <c r="K10">
        <v>15</v>
      </c>
      <c r="L10">
        <v>15</v>
      </c>
      <c r="M10">
        <f>SUM(J10:L10)</f>
        <v>40</v>
      </c>
    </row>
    <row r="11" spans="4:13" x14ac:dyDescent="0.2">
      <c r="J11">
        <f>SUM(J7:J10)</f>
        <v>265</v>
      </c>
      <c r="K11">
        <f>SUM(K7:K10)</f>
        <v>265</v>
      </c>
      <c r="L11">
        <f>SUM(L7:L10)</f>
        <v>265</v>
      </c>
      <c r="M11">
        <f>SUM(M7:M10)</f>
        <v>795</v>
      </c>
    </row>
    <row r="13" spans="4:13" x14ac:dyDescent="0.2">
      <c r="J13" s="8" t="s">
        <v>5</v>
      </c>
      <c r="K13" s="8"/>
      <c r="L13" s="8"/>
      <c r="M13" s="8"/>
    </row>
    <row r="14" spans="4:13" x14ac:dyDescent="0.2">
      <c r="D14">
        <f>_xlfn.NORM.INV(0.9,80,7)</f>
        <v>88.97086095881221</v>
      </c>
      <c r="J14">
        <f>J11*M7/M11</f>
        <v>176.66666666666666</v>
      </c>
      <c r="K14">
        <f>K11*M7/M11</f>
        <v>176.66666666666666</v>
      </c>
      <c r="L14">
        <f>L11*M7/M11</f>
        <v>176.66666666666666</v>
      </c>
    </row>
    <row r="15" spans="4:13" x14ac:dyDescent="0.2">
      <c r="J15">
        <f>J11*M8/M11</f>
        <v>60</v>
      </c>
      <c r="K15">
        <v>60</v>
      </c>
      <c r="L15">
        <v>60</v>
      </c>
    </row>
    <row r="16" spans="4:13" x14ac:dyDescent="0.2">
      <c r="J16">
        <f>J11*M9/M11</f>
        <v>15</v>
      </c>
      <c r="K16">
        <v>15</v>
      </c>
      <c r="L16">
        <v>15</v>
      </c>
    </row>
    <row r="17" spans="4:13" x14ac:dyDescent="0.2">
      <c r="D17">
        <f>(94-100)/(10/4)</f>
        <v>-2.4</v>
      </c>
      <c r="J17">
        <f>J11*M10/M11</f>
        <v>13.333333333333334</v>
      </c>
      <c r="K17">
        <v>13.33</v>
      </c>
      <c r="L17">
        <v>13.33</v>
      </c>
    </row>
    <row r="18" spans="4:13" x14ac:dyDescent="0.2">
      <c r="D18">
        <f>2*(_xlfn.NORM.S.DIST(-2.4,TRUE))</f>
        <v>1.6395071849192262E-2</v>
      </c>
    </row>
    <row r="19" spans="4:13" x14ac:dyDescent="0.2">
      <c r="J19" s="8" t="s">
        <v>6</v>
      </c>
      <c r="K19" s="8"/>
      <c r="L19" s="8"/>
      <c r="M19" s="8"/>
    </row>
    <row r="20" spans="4:13" x14ac:dyDescent="0.2">
      <c r="D20">
        <f>(3000-3012)/((112/60^0.5))</f>
        <v>-0.82992500275873227</v>
      </c>
      <c r="J20">
        <f t="shared" ref="J20:L23" si="0">(J14-J7)^2/J14</f>
        <v>0.39308176100629022</v>
      </c>
      <c r="K20">
        <f t="shared" si="0"/>
        <v>1.5723270440251395E-2</v>
      </c>
      <c r="L20">
        <f t="shared" si="0"/>
        <v>0.25157232704402444</v>
      </c>
      <c r="M20">
        <f>SUM(J20:L20)</f>
        <v>0.66037735849056611</v>
      </c>
    </row>
    <row r="21" spans="4:13" x14ac:dyDescent="0.2">
      <c r="J21">
        <f t="shared" si="0"/>
        <v>0.41666666666666669</v>
      </c>
      <c r="K21">
        <f t="shared" si="0"/>
        <v>0</v>
      </c>
      <c r="L21">
        <f t="shared" si="0"/>
        <v>0.41666666666666669</v>
      </c>
      <c r="M21">
        <f>SUM(J21:L21)</f>
        <v>0.83333333333333337</v>
      </c>
    </row>
    <row r="22" spans="4:13" x14ac:dyDescent="0.2">
      <c r="D22">
        <f>1-(_xlfn.NORM.S.DIST(0.8299,TRUE))</f>
        <v>0.20329766244944125</v>
      </c>
      <c r="J22">
        <f t="shared" si="0"/>
        <v>0</v>
      </c>
      <c r="K22">
        <f t="shared" si="0"/>
        <v>0</v>
      </c>
      <c r="L22">
        <f t="shared" si="0"/>
        <v>0</v>
      </c>
      <c r="M22">
        <f>SUM(J22:L22)</f>
        <v>0</v>
      </c>
    </row>
    <row r="23" spans="4:13" x14ac:dyDescent="0.2">
      <c r="J23">
        <f t="shared" si="0"/>
        <v>0.83333333333333348</v>
      </c>
      <c r="K23">
        <f t="shared" si="0"/>
        <v>0.20921980495123779</v>
      </c>
      <c r="L23">
        <f t="shared" si="0"/>
        <v>0.20921980495123779</v>
      </c>
      <c r="M23">
        <f>SUM(J23:L23)</f>
        <v>1.2517729432358089</v>
      </c>
    </row>
    <row r="24" spans="4:13" x14ac:dyDescent="0.2">
      <c r="M24" s="1">
        <f>SUM(M20:M23)</f>
        <v>2.7454836350597085</v>
      </c>
    </row>
    <row r="26" spans="4:13" x14ac:dyDescent="0.2">
      <c r="J26">
        <f>(3012-3000)/(112/60^0.5)</f>
        <v>0.82992500275873227</v>
      </c>
    </row>
    <row r="29" spans="4:13" x14ac:dyDescent="0.2">
      <c r="J29">
        <f>-5/55</f>
        <v>-9.0909090909090912E-2</v>
      </c>
      <c r="K29">
        <v>0.4602</v>
      </c>
    </row>
    <row r="30" spans="4:13" x14ac:dyDescent="0.2">
      <c r="J30">
        <f>15/55</f>
        <v>0.27272727272727271</v>
      </c>
      <c r="K30">
        <v>0.60640000000000005</v>
      </c>
    </row>
    <row r="31" spans="4:13" x14ac:dyDescent="0.2">
      <c r="K31">
        <f>K30-K29</f>
        <v>0.14620000000000005</v>
      </c>
    </row>
    <row r="36" spans="10:13" x14ac:dyDescent="0.2">
      <c r="J36" s="9" t="s">
        <v>4</v>
      </c>
      <c r="K36" s="9"/>
      <c r="L36" s="9"/>
      <c r="M36" s="9"/>
    </row>
    <row r="37" spans="10:13" x14ac:dyDescent="0.2">
      <c r="J37">
        <v>55</v>
      </c>
      <c r="K37">
        <v>25</v>
      </c>
      <c r="L37">
        <v>20</v>
      </c>
      <c r="M37">
        <f>SUM(J37:L37)</f>
        <v>100</v>
      </c>
    </row>
    <row r="38" spans="10:13" x14ac:dyDescent="0.2">
      <c r="J38">
        <v>44</v>
      </c>
      <c r="K38">
        <v>37</v>
      </c>
      <c r="L38">
        <v>31</v>
      </c>
      <c r="M38">
        <f>SUM(J38:L38)</f>
        <v>112</v>
      </c>
    </row>
    <row r="39" spans="10:13" x14ac:dyDescent="0.2">
      <c r="J39">
        <v>42</v>
      </c>
      <c r="K39">
        <v>18</v>
      </c>
      <c r="L39">
        <v>33</v>
      </c>
      <c r="M39">
        <f>SUM(J39:L39)</f>
        <v>93</v>
      </c>
    </row>
    <row r="40" spans="10:13" x14ac:dyDescent="0.2">
      <c r="J40">
        <f>SUM(J37:J39)</f>
        <v>141</v>
      </c>
      <c r="K40">
        <f>SUM(K37:K39)</f>
        <v>80</v>
      </c>
      <c r="L40">
        <f>SUM(L37:L39)</f>
        <v>84</v>
      </c>
      <c r="M40">
        <f>SUM(M37:M39)</f>
        <v>305</v>
      </c>
    </row>
    <row r="42" spans="10:13" x14ac:dyDescent="0.2">
      <c r="J42" s="10" t="s">
        <v>5</v>
      </c>
      <c r="K42" s="10"/>
      <c r="L42" s="10"/>
      <c r="M42" s="10"/>
    </row>
    <row r="43" spans="10:13" x14ac:dyDescent="0.2">
      <c r="J43">
        <f>M37*J40/M40</f>
        <v>46.229508196721312</v>
      </c>
      <c r="K43">
        <f>M37*K40/M40</f>
        <v>26.229508196721312</v>
      </c>
      <c r="L43">
        <f>M37*L40/M40</f>
        <v>27.540983606557376</v>
      </c>
    </row>
    <row r="44" spans="10:13" x14ac:dyDescent="0.2">
      <c r="J44">
        <f>M38*J40/M40</f>
        <v>51.777049180327872</v>
      </c>
      <c r="K44">
        <f>K40*M38/M40</f>
        <v>29.377049180327869</v>
      </c>
      <c r="L44">
        <f>L40*M38/M40</f>
        <v>30.845901639344262</v>
      </c>
    </row>
    <row r="45" spans="10:13" x14ac:dyDescent="0.2">
      <c r="J45">
        <f>M39*J40/M40</f>
        <v>42.993442622950816</v>
      </c>
      <c r="K45">
        <f>K40*M39/M40</f>
        <v>24.393442622950818</v>
      </c>
      <c r="L45">
        <f>L40*M39/M40</f>
        <v>25.613114754098362</v>
      </c>
    </row>
    <row r="46" spans="10:13" x14ac:dyDescent="0.2">
      <c r="J46" s="8" t="s">
        <v>6</v>
      </c>
      <c r="K46" s="8"/>
      <c r="L46" s="8"/>
      <c r="M46" s="8"/>
    </row>
    <row r="47" spans="10:13" x14ac:dyDescent="0.2">
      <c r="J47">
        <f t="shared" ref="J47:L49" si="1">(J43-J37)^2/J43</f>
        <v>1.6639053598418787</v>
      </c>
      <c r="K47">
        <f t="shared" si="1"/>
        <v>5.7633196721311536E-2</v>
      </c>
      <c r="L47">
        <f t="shared" si="1"/>
        <v>2.0647931303669003</v>
      </c>
      <c r="M47">
        <f>SUM(J47:L47)</f>
        <v>3.7863316869300903</v>
      </c>
    </row>
    <row r="48" spans="10:13" x14ac:dyDescent="0.2">
      <c r="J48">
        <f t="shared" si="1"/>
        <v>1.1681332735396224</v>
      </c>
      <c r="K48">
        <f t="shared" si="1"/>
        <v>1.9780536446135828</v>
      </c>
      <c r="L48">
        <f t="shared" si="1"/>
        <v>7.6983662317385831E-4</v>
      </c>
      <c r="M48">
        <f>SUM(J48:L48)</f>
        <v>3.146956754776379</v>
      </c>
    </row>
    <row r="49" spans="10:14" x14ac:dyDescent="0.2">
      <c r="J49">
        <f t="shared" si="1"/>
        <v>2.2955320274086501E-2</v>
      </c>
      <c r="K49">
        <f t="shared" si="1"/>
        <v>1.6757006874669482</v>
      </c>
      <c r="L49">
        <f t="shared" si="1"/>
        <v>2.1303958600891435</v>
      </c>
      <c r="M49">
        <f>SUM(J49:L49)</f>
        <v>3.8290518678301781</v>
      </c>
    </row>
    <row r="50" spans="10:14" x14ac:dyDescent="0.2">
      <c r="M50">
        <f>SUM(M47:M49)</f>
        <v>10.762340309536647</v>
      </c>
    </row>
    <row r="52" spans="10:14" x14ac:dyDescent="0.2">
      <c r="M52">
        <f>_xlfn.CHISQ.DIST.RT(10.7623,4)</f>
        <v>2.9369408660645357E-2</v>
      </c>
    </row>
    <row r="55" spans="10:14" x14ac:dyDescent="0.2">
      <c r="J55">
        <f>_xlfn.BINOM.DIST(8,12,0.25,FALSE)</f>
        <v>2.3898482322692893E-3</v>
      </c>
    </row>
    <row r="56" spans="10:14" x14ac:dyDescent="0.2">
      <c r="J56">
        <f>_xlfn.BINOM.DIST(9,12,0.25,FALSE)</f>
        <v>3.540515899658202E-4</v>
      </c>
    </row>
    <row r="57" spans="10:14" x14ac:dyDescent="0.2">
      <c r="J57">
        <f>_xlfn.BINOM.DIST(10,12,0.25,FALSE)</f>
        <v>3.5405158996582038E-5</v>
      </c>
    </row>
    <row r="58" spans="10:14" x14ac:dyDescent="0.2">
      <c r="J58">
        <f>_xlfn.BINOM.DIST(11,12,0.25,FALSE)</f>
        <v>2.1457672119140625E-6</v>
      </c>
      <c r="M58" t="s">
        <v>8</v>
      </c>
      <c r="N58">
        <f>_xlfn.CONFIDENCE.NORM(0.01,10,30)</f>
        <v>4.7027993794551817</v>
      </c>
    </row>
    <row r="59" spans="10:14" x14ac:dyDescent="0.2">
      <c r="J59">
        <f>_xlfn.BINOM.DIST(12,12,0.25,FALSE)</f>
        <v>5.9604644775390718E-8</v>
      </c>
      <c r="M59" t="s">
        <v>8</v>
      </c>
      <c r="N59">
        <f>_xlfn.CONFIDENCE.NORM(0.01,10,50)</f>
        <v>3.6427727354368979</v>
      </c>
    </row>
    <row r="60" spans="10:14" x14ac:dyDescent="0.2">
      <c r="J60">
        <f>SUM(J55:J59)</f>
        <v>2.7815103530883811E-3</v>
      </c>
    </row>
    <row r="62" spans="10:14" x14ac:dyDescent="0.2">
      <c r="J62">
        <f>(0.173-0.17)/(0.0183/(32^0.5))</f>
        <v>0.92735315565448095</v>
      </c>
    </row>
    <row r="63" spans="10:14" x14ac:dyDescent="0.2">
      <c r="J63">
        <f>1-_xlfn.NORM.S.DIST(J62,TRUE)</f>
        <v>0.1768716019999691</v>
      </c>
    </row>
  </sheetData>
  <mergeCells count="6">
    <mergeCell ref="J46:M46"/>
    <mergeCell ref="J6:M6"/>
    <mergeCell ref="J13:M13"/>
    <mergeCell ref="J19:M19"/>
    <mergeCell ref="J36:M36"/>
    <mergeCell ref="J42:M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5E53C-4D9E-F24D-9781-E6AF3306EBC5}">
  <dimension ref="B4:V32"/>
  <sheetViews>
    <sheetView workbookViewId="0">
      <selection activeCell="U20" sqref="U20"/>
    </sheetView>
  </sheetViews>
  <sheetFormatPr baseColWidth="10" defaultRowHeight="16" x14ac:dyDescent="0.2"/>
  <cols>
    <col min="17" max="19" width="10.83203125" style="2"/>
  </cols>
  <sheetData>
    <row r="4" spans="2:21" x14ac:dyDescent="0.2">
      <c r="B4">
        <f>_xlfn.T.DIST(-3,24,TRUE)</f>
        <v>3.1028683082623722E-3</v>
      </c>
      <c r="D4">
        <v>3.86</v>
      </c>
    </row>
    <row r="5" spans="2:21" x14ac:dyDescent="0.2">
      <c r="B5">
        <f>1-_xlfn.NORM.S.DIST(1,TRUE)</f>
        <v>0.15865525393145696</v>
      </c>
      <c r="D5">
        <v>3.82</v>
      </c>
      <c r="J5" s="9" t="s">
        <v>52</v>
      </c>
      <c r="K5" s="9"/>
      <c r="L5" s="9"/>
    </row>
    <row r="6" spans="2:21" ht="51" x14ac:dyDescent="0.2">
      <c r="B6">
        <f>_xlfn.NORM.S.DIST(-1.5,TRUE)</f>
        <v>6.6807201268858057E-2</v>
      </c>
      <c r="D6">
        <v>3.74</v>
      </c>
      <c r="J6" s="2" t="s">
        <v>49</v>
      </c>
      <c r="K6" s="2" t="s">
        <v>50</v>
      </c>
      <c r="L6" s="2" t="s">
        <v>51</v>
      </c>
      <c r="M6" t="s">
        <v>7</v>
      </c>
    </row>
    <row r="7" spans="2:21" ht="51" x14ac:dyDescent="0.2">
      <c r="B7">
        <f>2*(1-(_xlfn.NORM.S.DIST(0.9548,TRUE)))</f>
        <v>0.33967884741025944</v>
      </c>
      <c r="D7">
        <v>3.7</v>
      </c>
      <c r="I7" t="s">
        <v>48</v>
      </c>
      <c r="J7">
        <v>51</v>
      </c>
      <c r="K7">
        <v>22</v>
      </c>
      <c r="L7">
        <v>28</v>
      </c>
      <c r="M7">
        <v>101</v>
      </c>
      <c r="Q7" s="2" t="s">
        <v>63</v>
      </c>
      <c r="R7" s="2" t="s">
        <v>64</v>
      </c>
      <c r="S7" s="2" t="s">
        <v>65</v>
      </c>
      <c r="T7" s="2" t="s">
        <v>66</v>
      </c>
      <c r="U7" s="2" t="s">
        <v>67</v>
      </c>
    </row>
    <row r="8" spans="2:21" x14ac:dyDescent="0.2">
      <c r="D8">
        <v>3.6</v>
      </c>
      <c r="I8" t="s">
        <v>47</v>
      </c>
      <c r="J8">
        <v>58</v>
      </c>
      <c r="K8">
        <v>14</v>
      </c>
      <c r="L8">
        <v>27</v>
      </c>
      <c r="M8">
        <v>99</v>
      </c>
      <c r="Q8" s="2">
        <v>1</v>
      </c>
      <c r="R8" s="2">
        <v>1</v>
      </c>
      <c r="S8" s="2">
        <v>9</v>
      </c>
      <c r="T8">
        <f>(2*R8)+7</f>
        <v>9</v>
      </c>
      <c r="U8">
        <f>(T8-S8)^2</f>
        <v>0</v>
      </c>
    </row>
    <row r="9" spans="2:21" x14ac:dyDescent="0.2">
      <c r="D9">
        <v>3.78</v>
      </c>
      <c r="I9" t="s">
        <v>7</v>
      </c>
      <c r="J9">
        <v>109</v>
      </c>
      <c r="K9">
        <v>36</v>
      </c>
      <c r="L9">
        <v>55</v>
      </c>
      <c r="M9">
        <f>SUM(M7:M8)</f>
        <v>200</v>
      </c>
      <c r="Q9" s="2">
        <v>2</v>
      </c>
      <c r="R9" s="2">
        <v>1</v>
      </c>
      <c r="S9" s="2">
        <v>10</v>
      </c>
      <c r="T9">
        <f>(2*R9)+7</f>
        <v>9</v>
      </c>
      <c r="U9">
        <f>(T9-S9)^2</f>
        <v>1</v>
      </c>
    </row>
    <row r="10" spans="2:21" x14ac:dyDescent="0.2">
      <c r="D10">
        <v>3.61</v>
      </c>
      <c r="Q10" s="2">
        <v>3</v>
      </c>
      <c r="R10" s="2">
        <v>2</v>
      </c>
      <c r="S10" s="2">
        <v>11</v>
      </c>
      <c r="T10">
        <f>(2*R10)+7</f>
        <v>11</v>
      </c>
      <c r="U10">
        <f>(T10-S10)^2</f>
        <v>0</v>
      </c>
    </row>
    <row r="11" spans="2:21" x14ac:dyDescent="0.2">
      <c r="D11">
        <v>3.72</v>
      </c>
      <c r="Q11" s="2">
        <v>4</v>
      </c>
      <c r="R11" s="2">
        <v>3</v>
      </c>
      <c r="S11" s="2">
        <v>12</v>
      </c>
      <c r="T11">
        <f>(2*R11)+7</f>
        <v>13</v>
      </c>
      <c r="U11">
        <f>(T11-S11)^2</f>
        <v>1</v>
      </c>
    </row>
    <row r="12" spans="2:21" x14ac:dyDescent="0.2">
      <c r="D12">
        <v>3.65</v>
      </c>
      <c r="J12" s="9" t="s">
        <v>53</v>
      </c>
      <c r="K12" s="9"/>
      <c r="L12" s="9"/>
      <c r="M12" s="9"/>
      <c r="Q12" s="2">
        <v>5</v>
      </c>
      <c r="R12" s="2">
        <v>3</v>
      </c>
      <c r="S12" s="2">
        <v>13</v>
      </c>
      <c r="T12">
        <f>(2*R12)+7</f>
        <v>13</v>
      </c>
      <c r="U12">
        <f>(T12-S12)^2</f>
        <v>0</v>
      </c>
    </row>
    <row r="13" spans="2:21" x14ac:dyDescent="0.2">
      <c r="D13">
        <v>3.66</v>
      </c>
      <c r="J13">
        <f>(101*109)/(200)</f>
        <v>55.045000000000002</v>
      </c>
      <c r="K13">
        <f>(101*36)/200</f>
        <v>18.18</v>
      </c>
      <c r="L13">
        <f>(101*55)/200</f>
        <v>27.774999999999999</v>
      </c>
      <c r="Q13" s="2">
        <v>6</v>
      </c>
      <c r="R13" s="2">
        <v>4</v>
      </c>
      <c r="S13" s="2">
        <v>14</v>
      </c>
      <c r="T13">
        <f>(2*R13)+7</f>
        <v>15</v>
      </c>
      <c r="U13">
        <f>(T13-S13)^2</f>
        <v>1</v>
      </c>
    </row>
    <row r="14" spans="2:21" x14ac:dyDescent="0.2">
      <c r="D14">
        <f>AVERAGE(D4:D13)</f>
        <v>3.714</v>
      </c>
      <c r="J14">
        <f>(99*109)/200</f>
        <v>53.954999999999998</v>
      </c>
      <c r="K14">
        <f>(99*36)/200</f>
        <v>17.82</v>
      </c>
      <c r="L14">
        <f>(99*55)/200</f>
        <v>27.225000000000001</v>
      </c>
      <c r="Q14" s="2">
        <v>7</v>
      </c>
      <c r="R14" s="2">
        <v>5</v>
      </c>
      <c r="S14" s="2">
        <v>19</v>
      </c>
      <c r="T14">
        <f>(2*R14)+7</f>
        <v>17</v>
      </c>
      <c r="U14">
        <f>(T14-S14)^2</f>
        <v>4</v>
      </c>
    </row>
    <row r="15" spans="2:21" x14ac:dyDescent="0.2">
      <c r="D15">
        <f>VAR(D4:D13)</f>
        <v>7.6266666666666583E-3</v>
      </c>
      <c r="Q15" s="2">
        <v>8</v>
      </c>
      <c r="R15" s="2">
        <v>6</v>
      </c>
      <c r="S15" s="2">
        <v>17</v>
      </c>
      <c r="T15">
        <f>(2*R15)+7</f>
        <v>19</v>
      </c>
      <c r="U15">
        <f>(T15-S15)^2</f>
        <v>4</v>
      </c>
    </row>
    <row r="16" spans="2:21" x14ac:dyDescent="0.2">
      <c r="D16">
        <f>D15^0.5</f>
        <v>8.7330788767001635E-2</v>
      </c>
      <c r="J16" t="s">
        <v>54</v>
      </c>
      <c r="K16">
        <f>((J13-J7)^2/J13)+((J14-J8)^2/J14)+((K13-K7)^2/K13)+((L13-L7)^2/L13)+((L14-L8)^2/L14)+((K14-K8)^2/K14)</f>
        <v>2.2257234527085372</v>
      </c>
      <c r="Q16" s="2">
        <v>9</v>
      </c>
      <c r="R16" s="2">
        <v>7</v>
      </c>
      <c r="S16" s="2">
        <v>21</v>
      </c>
      <c r="T16">
        <f>(2*R16)+7</f>
        <v>21</v>
      </c>
      <c r="U16">
        <f>(T16-S16)^2</f>
        <v>0</v>
      </c>
    </row>
    <row r="17" spans="4:22" x14ac:dyDescent="0.2">
      <c r="J17" t="s">
        <v>55</v>
      </c>
      <c r="K17">
        <f>_xlfn.CHISQ.DIST.RT(K16,2)</f>
        <v>0.32861720168254116</v>
      </c>
      <c r="Q17" s="2">
        <v>10</v>
      </c>
      <c r="R17" s="2">
        <v>8</v>
      </c>
      <c r="S17" s="2">
        <v>24</v>
      </c>
      <c r="T17">
        <f>(2*R17)+7</f>
        <v>23</v>
      </c>
      <c r="U17">
        <f>(T17-S17)^2</f>
        <v>1</v>
      </c>
    </row>
    <row r="18" spans="4:22" x14ac:dyDescent="0.2">
      <c r="D18">
        <f>(D14-3.65)/(0.087/(10^0.5))</f>
        <v>2.3262732212732926</v>
      </c>
      <c r="T18" s="1"/>
      <c r="U18">
        <f>SUM(U8:U17)</f>
        <v>12</v>
      </c>
      <c r="V18" t="s">
        <v>68</v>
      </c>
    </row>
    <row r="19" spans="4:22" x14ac:dyDescent="0.2">
      <c r="D19">
        <f>_xlfn.T.DIST.RT(D18,9)</f>
        <v>2.2510511873726675E-2</v>
      </c>
    </row>
    <row r="20" spans="4:22" x14ac:dyDescent="0.2">
      <c r="D20">
        <f>(1.645*(100/5))</f>
        <v>32.9</v>
      </c>
      <c r="I20" t="s">
        <v>57</v>
      </c>
      <c r="L20" t="s">
        <v>60</v>
      </c>
    </row>
    <row r="21" spans="4:22" x14ac:dyDescent="0.2">
      <c r="H21" s="9" t="s">
        <v>58</v>
      </c>
      <c r="I21">
        <f>(0.173-0.17)/(0.0183/(32^0.5))</f>
        <v>0.92735315565448095</v>
      </c>
      <c r="K21" t="s">
        <v>61</v>
      </c>
      <c r="L21">
        <f>_xlfn.CONFIDENCE.NORM(0.1,100,25)</f>
        <v>32.897072539029431</v>
      </c>
    </row>
    <row r="22" spans="4:22" x14ac:dyDescent="0.2">
      <c r="H22" s="9"/>
      <c r="I22">
        <f>(1-(_xlfn.NORM.S.DIST(I21,TRUE)))</f>
        <v>0.1768716019999691</v>
      </c>
      <c r="K22" t="s">
        <v>62</v>
      </c>
      <c r="L22">
        <f>_xlfn.CONFIDENCE.T(0.01,56.8,16)</f>
        <v>41.843322945348376</v>
      </c>
    </row>
    <row r="23" spans="4:22" x14ac:dyDescent="0.2">
      <c r="D23">
        <f>_xlfn.NORM.S.DIST(-1.6,TRUE)</f>
        <v>5.4799291699557967E-2</v>
      </c>
    </row>
    <row r="24" spans="4:22" x14ac:dyDescent="0.2">
      <c r="H24" s="9" t="s">
        <v>59</v>
      </c>
      <c r="I24">
        <f>(3012-3000)/(112/(60)^0.5)</f>
        <v>0.82992500275873227</v>
      </c>
    </row>
    <row r="25" spans="4:22" x14ac:dyDescent="0.2">
      <c r="D25">
        <f>(638/1012)*5</f>
        <v>3.1521739130434785</v>
      </c>
      <c r="H25" s="9"/>
      <c r="I25">
        <f>1-_xlfn.NORM.S.DIST(I24,TRUE)</f>
        <v>0.20329059379420422</v>
      </c>
    </row>
    <row r="28" spans="4:22" x14ac:dyDescent="0.2">
      <c r="I28" t="s">
        <v>56</v>
      </c>
    </row>
    <row r="29" spans="4:22" x14ac:dyDescent="0.2">
      <c r="H29" s="11" t="s">
        <v>58</v>
      </c>
      <c r="I29">
        <f>_xlfn.BINOM.DIST(2,5,0.2,FALSE)</f>
        <v>0.20480000000000001</v>
      </c>
    </row>
    <row r="30" spans="4:22" x14ac:dyDescent="0.2">
      <c r="H30" s="11" t="s">
        <v>59</v>
      </c>
      <c r="I30">
        <f>_xlfn.BINOM.DIST(0,4,0.2,FALSE)</f>
        <v>0.40959999999999996</v>
      </c>
    </row>
    <row r="31" spans="4:22" x14ac:dyDescent="0.2">
      <c r="H31" s="11"/>
      <c r="I31">
        <f>_xlfn.BINOM.DIST(4,4,0.2,FALSE)</f>
        <v>1.6000000000000005E-3</v>
      </c>
    </row>
    <row r="32" spans="4:22" x14ac:dyDescent="0.2">
      <c r="I32">
        <f>1-SUM(I30:I31)</f>
        <v>0.58879999999999999</v>
      </c>
    </row>
  </sheetData>
  <mergeCells count="4">
    <mergeCell ref="J5:L5"/>
    <mergeCell ref="J12:M12"/>
    <mergeCell ref="H21:H22"/>
    <mergeCell ref="H24:H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E986-034D-794B-84D9-6F685B67B792}">
  <dimension ref="A2:U14"/>
  <sheetViews>
    <sheetView workbookViewId="0">
      <selection activeCell="T3" sqref="T3"/>
    </sheetView>
  </sheetViews>
  <sheetFormatPr baseColWidth="10" defaultRowHeight="16" x14ac:dyDescent="0.2"/>
  <cols>
    <col min="10" max="10" width="14.5" bestFit="1" customWidth="1"/>
    <col min="11" max="11" width="13.1640625" bestFit="1" customWidth="1"/>
    <col min="12" max="12" width="21.6640625" customWidth="1"/>
    <col min="19" max="19" width="16" bestFit="1" customWidth="1"/>
  </cols>
  <sheetData>
    <row r="2" spans="1:21" ht="17" x14ac:dyDescent="0.2">
      <c r="A2" t="s">
        <v>9</v>
      </c>
      <c r="B2" t="s">
        <v>10</v>
      </c>
      <c r="C2" t="s">
        <v>11</v>
      </c>
      <c r="J2" t="s">
        <v>13</v>
      </c>
      <c r="K2" t="s">
        <v>12</v>
      </c>
      <c r="L2" s="2" t="s">
        <v>42</v>
      </c>
      <c r="M2" t="s">
        <v>41</v>
      </c>
      <c r="N2" t="s">
        <v>43</v>
      </c>
      <c r="Q2" t="s">
        <v>44</v>
      </c>
      <c r="R2" t="s">
        <v>45</v>
      </c>
      <c r="S2" t="s">
        <v>46</v>
      </c>
      <c r="T2" t="s">
        <v>41</v>
      </c>
      <c r="U2" t="s">
        <v>43</v>
      </c>
    </row>
    <row r="3" spans="1:21" x14ac:dyDescent="0.2">
      <c r="A3">
        <v>1</v>
      </c>
      <c r="B3">
        <v>3000</v>
      </c>
      <c r="C3">
        <v>18</v>
      </c>
      <c r="J3">
        <v>0.5</v>
      </c>
      <c r="K3">
        <v>60</v>
      </c>
      <c r="L3">
        <f>60.418+10.127*J3</f>
        <v>65.481499999999997</v>
      </c>
      <c r="M3">
        <f>K3-L3</f>
        <v>-5.4814999999999969</v>
      </c>
      <c r="N3">
        <f>M3^2</f>
        <v>30.046842249999965</v>
      </c>
      <c r="Q3">
        <v>1</v>
      </c>
      <c r="R3">
        <v>4</v>
      </c>
      <c r="S3">
        <f>-0.41*Q3+4.02</f>
        <v>3.6099999999999994</v>
      </c>
      <c r="T3">
        <f>(R3-S3)</f>
        <v>0.39000000000000057</v>
      </c>
      <c r="U3">
        <f>T3^2</f>
        <v>0.15210000000000046</v>
      </c>
    </row>
    <row r="4" spans="1:21" x14ac:dyDescent="0.2">
      <c r="A4">
        <v>2</v>
      </c>
      <c r="B4">
        <v>2800</v>
      </c>
      <c r="C4">
        <v>21</v>
      </c>
      <c r="G4">
        <f>(29.7/(16-2))^0.5</f>
        <v>1.4565124686828368</v>
      </c>
      <c r="J4">
        <v>0.5</v>
      </c>
      <c r="K4">
        <v>68</v>
      </c>
      <c r="L4">
        <f t="shared" ref="L4:L10" si="0">60.418+10.127*J4</f>
        <v>65.481499999999997</v>
      </c>
      <c r="M4">
        <f t="shared" ref="M4:M10" si="1">K4-L4</f>
        <v>2.5185000000000031</v>
      </c>
      <c r="N4">
        <f t="shared" ref="N4:N10" si="2">M4^2</f>
        <v>6.3428422500000154</v>
      </c>
      <c r="Q4">
        <v>1</v>
      </c>
      <c r="R4">
        <v>3</v>
      </c>
      <c r="S4">
        <f t="shared" ref="S4:S13" si="3">-0.41*Q4+4.02</f>
        <v>3.6099999999999994</v>
      </c>
      <c r="T4">
        <f t="shared" ref="T4:T13" si="4">(R4-S4)</f>
        <v>-0.60999999999999943</v>
      </c>
      <c r="U4">
        <f t="shared" ref="U4:U13" si="5">T4^2</f>
        <v>0.37209999999999932</v>
      </c>
    </row>
    <row r="5" spans="1:21" x14ac:dyDescent="0.2">
      <c r="A5">
        <v>3</v>
      </c>
      <c r="B5">
        <v>2100</v>
      </c>
      <c r="C5">
        <v>32</v>
      </c>
      <c r="J5">
        <v>1</v>
      </c>
      <c r="K5">
        <v>75</v>
      </c>
      <c r="L5">
        <f t="shared" si="0"/>
        <v>70.545000000000002</v>
      </c>
      <c r="M5">
        <f t="shared" si="1"/>
        <v>4.4549999999999983</v>
      </c>
      <c r="N5">
        <f t="shared" si="2"/>
        <v>19.847024999999984</v>
      </c>
      <c r="Q5">
        <v>2</v>
      </c>
      <c r="R5">
        <v>4</v>
      </c>
      <c r="S5">
        <f t="shared" si="3"/>
        <v>3.1999999999999997</v>
      </c>
      <c r="T5">
        <f t="shared" si="4"/>
        <v>0.80000000000000027</v>
      </c>
      <c r="U5">
        <f t="shared" si="5"/>
        <v>0.64000000000000046</v>
      </c>
    </row>
    <row r="6" spans="1:21" x14ac:dyDescent="0.2">
      <c r="A6">
        <v>4</v>
      </c>
      <c r="B6">
        <v>2900</v>
      </c>
      <c r="C6">
        <v>17</v>
      </c>
      <c r="J6">
        <v>1</v>
      </c>
      <c r="K6">
        <v>69</v>
      </c>
      <c r="L6">
        <f t="shared" si="0"/>
        <v>70.545000000000002</v>
      </c>
      <c r="M6">
        <f t="shared" si="1"/>
        <v>-1.5450000000000017</v>
      </c>
      <c r="N6">
        <f t="shared" si="2"/>
        <v>2.3870250000000053</v>
      </c>
      <c r="Q6">
        <v>2</v>
      </c>
      <c r="R6">
        <v>3.5</v>
      </c>
      <c r="S6">
        <f t="shared" si="3"/>
        <v>3.1999999999999997</v>
      </c>
      <c r="T6">
        <f t="shared" si="4"/>
        <v>0.30000000000000027</v>
      </c>
      <c r="U6">
        <f t="shared" si="5"/>
        <v>9.0000000000000163E-2</v>
      </c>
    </row>
    <row r="7" spans="1:21" x14ac:dyDescent="0.2">
      <c r="A7">
        <v>5</v>
      </c>
      <c r="B7">
        <v>2400</v>
      </c>
      <c r="C7">
        <v>31</v>
      </c>
      <c r="J7">
        <v>2</v>
      </c>
      <c r="K7">
        <v>82</v>
      </c>
      <c r="L7">
        <f t="shared" si="0"/>
        <v>80.671999999999997</v>
      </c>
      <c r="M7">
        <f t="shared" si="1"/>
        <v>1.328000000000003</v>
      </c>
      <c r="N7">
        <f t="shared" si="2"/>
        <v>1.7635840000000078</v>
      </c>
      <c r="Q7">
        <v>2</v>
      </c>
      <c r="R7">
        <v>2.5</v>
      </c>
      <c r="S7">
        <f t="shared" si="3"/>
        <v>3.1999999999999997</v>
      </c>
      <c r="T7">
        <f t="shared" si="4"/>
        <v>-0.69999999999999973</v>
      </c>
      <c r="U7">
        <f t="shared" si="5"/>
        <v>0.4899999999999996</v>
      </c>
    </row>
    <row r="8" spans="1:21" x14ac:dyDescent="0.2">
      <c r="A8">
        <v>6</v>
      </c>
      <c r="B8">
        <v>3300</v>
      </c>
      <c r="C8">
        <v>14</v>
      </c>
      <c r="J8">
        <v>2.5</v>
      </c>
      <c r="K8">
        <v>87</v>
      </c>
      <c r="L8">
        <f t="shared" si="0"/>
        <v>85.735500000000002</v>
      </c>
      <c r="M8">
        <f t="shared" si="1"/>
        <v>1.2644999999999982</v>
      </c>
      <c r="N8">
        <f t="shared" si="2"/>
        <v>1.5989602499999953</v>
      </c>
      <c r="Q8">
        <v>3</v>
      </c>
      <c r="R8">
        <v>3.1</v>
      </c>
      <c r="S8">
        <f t="shared" si="3"/>
        <v>2.7899999999999996</v>
      </c>
      <c r="T8">
        <f t="shared" si="4"/>
        <v>0.3100000000000005</v>
      </c>
      <c r="U8">
        <f t="shared" si="5"/>
        <v>9.610000000000031E-2</v>
      </c>
    </row>
    <row r="9" spans="1:21" x14ac:dyDescent="0.2">
      <c r="A9">
        <v>7</v>
      </c>
      <c r="B9">
        <v>2700</v>
      </c>
      <c r="C9">
        <v>21</v>
      </c>
      <c r="J9">
        <v>2.5</v>
      </c>
      <c r="K9">
        <v>85</v>
      </c>
      <c r="L9">
        <f t="shared" si="0"/>
        <v>85.735500000000002</v>
      </c>
      <c r="M9">
        <f t="shared" si="1"/>
        <v>-0.73550000000000182</v>
      </c>
      <c r="N9">
        <f t="shared" si="2"/>
        <v>0.5409602500000027</v>
      </c>
      <c r="Q9">
        <v>3</v>
      </c>
      <c r="R9">
        <v>2.4</v>
      </c>
      <c r="S9">
        <f t="shared" si="3"/>
        <v>2.7899999999999996</v>
      </c>
      <c r="T9">
        <f t="shared" si="4"/>
        <v>-0.38999999999999968</v>
      </c>
      <c r="U9">
        <f t="shared" si="5"/>
        <v>0.15209999999999976</v>
      </c>
    </row>
    <row r="10" spans="1:21" x14ac:dyDescent="0.2">
      <c r="A10">
        <v>8</v>
      </c>
      <c r="B10">
        <v>3500</v>
      </c>
      <c r="C10">
        <v>12</v>
      </c>
      <c r="J10">
        <v>3</v>
      </c>
      <c r="K10">
        <v>89</v>
      </c>
      <c r="L10">
        <f t="shared" si="0"/>
        <v>90.799000000000007</v>
      </c>
      <c r="M10">
        <f t="shared" si="1"/>
        <v>-1.7990000000000066</v>
      </c>
      <c r="N10">
        <f t="shared" si="2"/>
        <v>3.2364010000000238</v>
      </c>
      <c r="Q10">
        <v>4</v>
      </c>
      <c r="R10">
        <v>1.5</v>
      </c>
      <c r="S10">
        <f t="shared" si="3"/>
        <v>2.38</v>
      </c>
      <c r="T10">
        <f t="shared" si="4"/>
        <v>-0.87999999999999989</v>
      </c>
      <c r="U10">
        <f t="shared" si="5"/>
        <v>0.77439999999999987</v>
      </c>
    </row>
    <row r="11" spans="1:21" x14ac:dyDescent="0.2">
      <c r="A11">
        <v>9</v>
      </c>
      <c r="B11">
        <v>2500</v>
      </c>
      <c r="C11">
        <v>23</v>
      </c>
      <c r="N11">
        <f>SUM(N3:N10)</f>
        <v>65.763640000000009</v>
      </c>
      <c r="Q11">
        <v>4</v>
      </c>
      <c r="R11">
        <v>3.4</v>
      </c>
      <c r="S11">
        <f t="shared" si="3"/>
        <v>2.38</v>
      </c>
      <c r="T11">
        <f t="shared" si="4"/>
        <v>1.02</v>
      </c>
      <c r="U11">
        <f t="shared" si="5"/>
        <v>1.0404</v>
      </c>
    </row>
    <row r="12" spans="1:21" x14ac:dyDescent="0.2">
      <c r="A12">
        <v>10</v>
      </c>
      <c r="B12">
        <v>3200</v>
      </c>
      <c r="C12">
        <v>14</v>
      </c>
      <c r="Q12">
        <v>4</v>
      </c>
      <c r="R12">
        <v>2.1</v>
      </c>
      <c r="S12">
        <f t="shared" si="3"/>
        <v>2.38</v>
      </c>
      <c r="T12">
        <f t="shared" si="4"/>
        <v>-0.2799999999999998</v>
      </c>
      <c r="U12">
        <f t="shared" si="5"/>
        <v>7.8399999999999886E-2</v>
      </c>
    </row>
    <row r="13" spans="1:21" x14ac:dyDescent="0.2">
      <c r="Q13">
        <v>4</v>
      </c>
      <c r="R13">
        <v>2.5</v>
      </c>
      <c r="S13">
        <f t="shared" si="3"/>
        <v>2.38</v>
      </c>
      <c r="T13">
        <f t="shared" si="4"/>
        <v>0.12000000000000011</v>
      </c>
      <c r="U13">
        <f t="shared" si="5"/>
        <v>1.4400000000000026E-2</v>
      </c>
    </row>
    <row r="14" spans="1:21" x14ac:dyDescent="0.2">
      <c r="U14">
        <f>SUM(U3:U13)</f>
        <v>3.8999999999999995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E9BAF-CCFE-D145-85B5-F743EB126581}">
  <dimension ref="A1:I33"/>
  <sheetViews>
    <sheetView workbookViewId="0">
      <selection activeCell="H23" sqref="H23"/>
    </sheetView>
  </sheetViews>
  <sheetFormatPr baseColWidth="10" defaultRowHeight="16" x14ac:dyDescent="0.2"/>
  <cols>
    <col min="1" max="1" width="17.83203125" bestFit="1" customWidth="1"/>
    <col min="2" max="2" width="22.1640625" bestFit="1" customWidth="1"/>
    <col min="3" max="3" width="13.5" bestFit="1" customWidth="1"/>
  </cols>
  <sheetData>
    <row r="1" spans="1:9" x14ac:dyDescent="0.2">
      <c r="A1" t="s">
        <v>14</v>
      </c>
    </row>
    <row r="2" spans="1:9" ht="17" thickBot="1" x14ac:dyDescent="0.25"/>
    <row r="3" spans="1:9" x14ac:dyDescent="0.2">
      <c r="A3" s="6" t="s">
        <v>15</v>
      </c>
      <c r="B3" s="6"/>
    </row>
    <row r="4" spans="1:9" x14ac:dyDescent="0.2">
      <c r="A4" s="3" t="s">
        <v>16</v>
      </c>
      <c r="B4" s="3">
        <v>0.95639407341153393</v>
      </c>
    </row>
    <row r="5" spans="1:9" x14ac:dyDescent="0.2">
      <c r="A5" s="3" t="s">
        <v>17</v>
      </c>
      <c r="B5" s="3">
        <v>0.91468962365670659</v>
      </c>
    </row>
    <row r="6" spans="1:9" x14ac:dyDescent="0.2">
      <c r="A6" s="3" t="s">
        <v>18</v>
      </c>
      <c r="B6" s="3">
        <v>0.90047122759949094</v>
      </c>
    </row>
    <row r="7" spans="1:9" x14ac:dyDescent="0.2">
      <c r="A7" s="3" t="s">
        <v>19</v>
      </c>
      <c r="B7" s="3">
        <v>3.3106806038345136</v>
      </c>
    </row>
    <row r="8" spans="1:9" ht="17" thickBot="1" x14ac:dyDescent="0.25">
      <c r="A8" s="4" t="s">
        <v>20</v>
      </c>
      <c r="B8" s="4">
        <v>8</v>
      </c>
    </row>
    <row r="10" spans="1:9" ht="17" thickBot="1" x14ac:dyDescent="0.25">
      <c r="A10" t="s">
        <v>21</v>
      </c>
    </row>
    <row r="11" spans="1:9" x14ac:dyDescent="0.2">
      <c r="A11" s="5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</row>
    <row r="12" spans="1:9" x14ac:dyDescent="0.2">
      <c r="A12" s="3" t="s">
        <v>22</v>
      </c>
      <c r="B12" s="3">
        <v>1</v>
      </c>
      <c r="C12" s="3">
        <v>705.11136363636365</v>
      </c>
      <c r="D12" s="3">
        <v>705.11136363636365</v>
      </c>
      <c r="E12" s="3">
        <v>64.33142106718276</v>
      </c>
      <c r="F12" s="3">
        <v>2.0056899484110379E-4</v>
      </c>
    </row>
    <row r="13" spans="1:9" x14ac:dyDescent="0.2">
      <c r="A13" s="3" t="s">
        <v>23</v>
      </c>
      <c r="B13" s="3">
        <v>6</v>
      </c>
      <c r="C13" s="3">
        <v>65.763636363636351</v>
      </c>
      <c r="D13" s="3">
        <v>10.960606060606059</v>
      </c>
      <c r="E13" s="3"/>
      <c r="F13" s="3"/>
    </row>
    <row r="14" spans="1:9" ht="17" thickBot="1" x14ac:dyDescent="0.25">
      <c r="A14" s="4" t="s">
        <v>7</v>
      </c>
      <c r="B14" s="4">
        <v>7</v>
      </c>
      <c r="C14" s="4">
        <v>770.875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30</v>
      </c>
      <c r="C16" s="5" t="s">
        <v>19</v>
      </c>
      <c r="D16" s="5" t="s">
        <v>31</v>
      </c>
      <c r="E16" s="5" t="s">
        <v>32</v>
      </c>
      <c r="F16" s="5" t="s">
        <v>33</v>
      </c>
      <c r="G16" s="5" t="s">
        <v>34</v>
      </c>
      <c r="H16" s="5" t="s">
        <v>35</v>
      </c>
      <c r="I16" s="5" t="s">
        <v>36</v>
      </c>
    </row>
    <row r="17" spans="1:9" x14ac:dyDescent="0.2">
      <c r="A17" s="3" t="s">
        <v>24</v>
      </c>
      <c r="B17" s="3">
        <v>60.418181818181814</v>
      </c>
      <c r="C17" s="3">
        <v>2.3621907000877949</v>
      </c>
      <c r="D17" s="3">
        <v>25.577182153810135</v>
      </c>
      <c r="E17" s="3">
        <v>2.3538468888092228E-7</v>
      </c>
      <c r="F17" s="3">
        <v>54.638109399472555</v>
      </c>
      <c r="G17" s="3">
        <v>66.198254236891074</v>
      </c>
      <c r="H17" s="3">
        <v>54.638109399472555</v>
      </c>
      <c r="I17" s="3">
        <v>66.198254236891074</v>
      </c>
    </row>
    <row r="18" spans="1:9" ht="17" thickBot="1" x14ac:dyDescent="0.25">
      <c r="A18" s="4" t="s">
        <v>13</v>
      </c>
      <c r="B18" s="4">
        <v>10.127272727272729</v>
      </c>
      <c r="C18" s="4">
        <v>1.2626440402788865</v>
      </c>
      <c r="D18" s="4">
        <v>8.0206870695210881</v>
      </c>
      <c r="E18" s="4">
        <v>2.0056899484110344E-4</v>
      </c>
      <c r="F18" s="4">
        <v>7.0376940613367545</v>
      </c>
      <c r="G18" s="4">
        <v>13.216851393208703</v>
      </c>
      <c r="H18" s="4">
        <v>7.0376940613367545</v>
      </c>
      <c r="I18" s="4">
        <v>13.216851393208703</v>
      </c>
    </row>
    <row r="22" spans="1:9" x14ac:dyDescent="0.2">
      <c r="A22" t="s">
        <v>37</v>
      </c>
    </row>
    <row r="23" spans="1:9" ht="17" thickBot="1" x14ac:dyDescent="0.25"/>
    <row r="24" spans="1:9" x14ac:dyDescent="0.2">
      <c r="A24" s="5" t="s">
        <v>9</v>
      </c>
      <c r="B24" s="5" t="s">
        <v>38</v>
      </c>
      <c r="C24" s="5" t="s">
        <v>39</v>
      </c>
      <c r="D24" s="7" t="s">
        <v>40</v>
      </c>
    </row>
    <row r="25" spans="1:9" x14ac:dyDescent="0.2">
      <c r="A25" s="3">
        <v>1</v>
      </c>
      <c r="B25" s="3">
        <v>65.481818181818184</v>
      </c>
      <c r="C25" s="3">
        <v>-5.4818181818181841</v>
      </c>
      <c r="D25">
        <f>(C25)^2</f>
        <v>30.050330578512423</v>
      </c>
    </row>
    <row r="26" spans="1:9" x14ac:dyDescent="0.2">
      <c r="A26" s="3">
        <v>2</v>
      </c>
      <c r="B26" s="3">
        <v>65.481818181818184</v>
      </c>
      <c r="C26" s="3">
        <v>2.5181818181818159</v>
      </c>
      <c r="D26">
        <f t="shared" ref="D26:D32" si="0">(C26)^2</f>
        <v>6.3412396694214763</v>
      </c>
    </row>
    <row r="27" spans="1:9" x14ac:dyDescent="0.2">
      <c r="A27" s="3">
        <v>3</v>
      </c>
      <c r="B27" s="3">
        <v>70.545454545454547</v>
      </c>
      <c r="C27" s="3">
        <v>4.4545454545454533</v>
      </c>
      <c r="D27">
        <f t="shared" si="0"/>
        <v>19.842975206611559</v>
      </c>
    </row>
    <row r="28" spans="1:9" x14ac:dyDescent="0.2">
      <c r="A28" s="3">
        <v>4</v>
      </c>
      <c r="B28" s="3">
        <v>70.545454545454547</v>
      </c>
      <c r="C28" s="3">
        <v>-1.5454545454545467</v>
      </c>
      <c r="D28">
        <f t="shared" si="0"/>
        <v>2.3884297520661195</v>
      </c>
    </row>
    <row r="29" spans="1:9" x14ac:dyDescent="0.2">
      <c r="A29" s="3">
        <v>5</v>
      </c>
      <c r="B29" s="3">
        <v>80.672727272727272</v>
      </c>
      <c r="C29" s="3">
        <v>1.327272727272728</v>
      </c>
      <c r="D29">
        <f t="shared" si="0"/>
        <v>1.7616528925619854</v>
      </c>
    </row>
    <row r="30" spans="1:9" x14ac:dyDescent="0.2">
      <c r="A30" s="3">
        <v>6</v>
      </c>
      <c r="B30" s="3">
        <v>85.736363636363635</v>
      </c>
      <c r="C30" s="3">
        <v>1.2636363636363654</v>
      </c>
      <c r="D30">
        <f t="shared" si="0"/>
        <v>1.5967768595041367</v>
      </c>
    </row>
    <row r="31" spans="1:9" x14ac:dyDescent="0.2">
      <c r="A31" s="3">
        <v>7</v>
      </c>
      <c r="B31" s="3">
        <v>85.736363636363635</v>
      </c>
      <c r="C31" s="3">
        <v>-0.73636363636363455</v>
      </c>
      <c r="D31">
        <f t="shared" si="0"/>
        <v>0.54223140495867506</v>
      </c>
    </row>
    <row r="32" spans="1:9" ht="17" thickBot="1" x14ac:dyDescent="0.25">
      <c r="A32" s="4">
        <v>8</v>
      </c>
      <c r="B32" s="4">
        <v>90.8</v>
      </c>
      <c r="C32" s="4">
        <v>-1.7999999999999972</v>
      </c>
      <c r="D32">
        <f t="shared" si="0"/>
        <v>3.2399999999999896</v>
      </c>
    </row>
    <row r="33" spans="4:4" x14ac:dyDescent="0.2">
      <c r="D33">
        <f>SUM(D25:D32)</f>
        <v>65.763636363636365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4A865-4925-EE49-A1AA-741D2313EDC6}">
  <dimension ref="A2:C18"/>
  <sheetViews>
    <sheetView tabSelected="1" workbookViewId="0">
      <selection activeCell="C19" sqref="C19"/>
    </sheetView>
  </sheetViews>
  <sheetFormatPr baseColWidth="10" defaultRowHeight="16" x14ac:dyDescent="0.2"/>
  <cols>
    <col min="1" max="1" width="12.1640625" bestFit="1" customWidth="1"/>
  </cols>
  <sheetData>
    <row r="2" spans="1:3" x14ac:dyDescent="0.2">
      <c r="A2">
        <f>_xlfn.NORM.S.DIST(-4,TRUE)*100</f>
        <v>3.1671241833119857E-3</v>
      </c>
    </row>
    <row r="3" spans="1:3" x14ac:dyDescent="0.2">
      <c r="A3">
        <f>_xlfn.NORM.S.DIST(1,TRUE)*100</f>
        <v>84.134474606854297</v>
      </c>
    </row>
    <row r="4" spans="1:3" x14ac:dyDescent="0.2">
      <c r="A4">
        <f>(A3-A2)</f>
        <v>84.131307482670991</v>
      </c>
    </row>
    <row r="6" spans="1:3" x14ac:dyDescent="0.2">
      <c r="C6">
        <v>15</v>
      </c>
    </row>
    <row r="7" spans="1:3" x14ac:dyDescent="0.2">
      <c r="C7">
        <v>13</v>
      </c>
    </row>
    <row r="8" spans="1:3" x14ac:dyDescent="0.2">
      <c r="C8">
        <v>10</v>
      </c>
    </row>
    <row r="9" spans="1:3" x14ac:dyDescent="0.2">
      <c r="C9">
        <v>15</v>
      </c>
    </row>
    <row r="10" spans="1:3" x14ac:dyDescent="0.2">
      <c r="C10">
        <v>6</v>
      </c>
    </row>
    <row r="11" spans="1:3" x14ac:dyDescent="0.2">
      <c r="C11">
        <v>12</v>
      </c>
    </row>
    <row r="12" spans="1:3" x14ac:dyDescent="0.2">
      <c r="C12">
        <v>12</v>
      </c>
    </row>
    <row r="13" spans="1:3" x14ac:dyDescent="0.2">
      <c r="C13">
        <v>7</v>
      </c>
    </row>
    <row r="14" spans="1:3" x14ac:dyDescent="0.2">
      <c r="C14">
        <v>8</v>
      </c>
    </row>
    <row r="15" spans="1:3" x14ac:dyDescent="0.2">
      <c r="C15">
        <v>3</v>
      </c>
    </row>
    <row r="16" spans="1:3" x14ac:dyDescent="0.2">
      <c r="C16">
        <v>15</v>
      </c>
    </row>
    <row r="17" spans="3:3" x14ac:dyDescent="0.2">
      <c r="C17">
        <v>15</v>
      </c>
    </row>
    <row r="18" spans="3:3" x14ac:dyDescent="0.2">
      <c r="C18">
        <f>VAR(C6:C17)</f>
        <v>16.810606060606066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Quiz-2</vt:lpstr>
      <vt:lpstr>Practice</vt:lpstr>
      <vt:lpstr>Assignments</vt:lpstr>
      <vt:lpstr>Regression-result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 Sripada (c)</dc:creator>
  <cp:lastModifiedBy>Sharat Sripada (c)</cp:lastModifiedBy>
  <dcterms:created xsi:type="dcterms:W3CDTF">2019-11-02T21:04:10Z</dcterms:created>
  <dcterms:modified xsi:type="dcterms:W3CDTF">2019-12-11T20:07:54Z</dcterms:modified>
</cp:coreProperties>
</file>