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Schedule'!$A$1:$AA$6131</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6130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3" t="inlineStr">
        <is>
          <t>CHECK</t>
        </is>
      </c>
      <c r="C3" s="12" t="n">
        <v>20</v>
      </c>
      <c r="D3" s="10" t="inlineStr">
        <is>
          <t>GB-1.1: modular gas genset 500 kW, 480 V (block GB; GB-1.2: modular gas genset 500 kW, 480 V (block GB; GB-1.3: modular gas genset 500 kW, 480 V (block GB; GB-1.4: modular gas genset 500 kW, 480 V (block GB</t>
        </is>
      </c>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2</v>
      </c>
      <c r="D6" s="10" t="inlineStr">
        <is>
          <t>EDG-1 480 V output to EMCC 3.1%; EDG-2 480 V output to EMCC 3.3%</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6130</v>
      </c>
      <c r="D8" s="10" t="inlineStr">
        <is>
          <t>0 estimated (build-out bays D4-D6 and utilities without drawn trench / bank)</t>
        </is>
      </c>
    </row>
    <row r="9">
      <c r="A9" s="10" t="inlineStr">
        <is>
          <t>Copper runs &gt; 3,000 ft</t>
        </is>
      </c>
      <c r="B9" s="14" t="inlineStr">
        <is>
          <t>INFO</t>
        </is>
      </c>
      <c r="C9" s="12" t="n">
        <v>9</v>
      </c>
      <c r="D9" s="10" t="inlineStr">
        <is>
          <t>Receptacle branch circuits, 19; Cat 6A data drops (116 + 48 se; SC-1 PCM fire alarm / F&amp;G node; SC-2 PCM fire alarm / F&amp;G node</t>
        </is>
      </c>
    </row>
    <row r="10">
      <c r="A10" s="10" t="inlineStr">
        <is>
          <t>Feeders with &gt;= 6 parallel sets (bus-duct candidates)</t>
        </is>
      </c>
      <c r="B10" s="14" t="inlineStr">
        <is>
          <t>INFO</t>
        </is>
      </c>
      <c r="C10" s="12" t="n">
        <v>20</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481</v>
      </c>
      <c r="U20" s="16" t="n">
        <v>85</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481</v>
      </c>
      <c r="U21" s="16" t="n">
        <v>85</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481</v>
      </c>
      <c r="U22" s="16" t="n">
        <v>85</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481</v>
      </c>
      <c r="U23" s="16" t="n">
        <v>85</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479</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479</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479</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479</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481</v>
      </c>
      <c r="U28" s="16" t="n">
        <v>84</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481</v>
      </c>
      <c r="U29" s="16" t="n">
        <v>84</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481</v>
      </c>
      <c r="U30" s="16" t="n">
        <v>84</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481</v>
      </c>
      <c r="U31" s="16" t="n">
        <v>84</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6" t="n">
        <v>273</v>
      </c>
      <c r="U34" s="16" t="n">
        <v>93</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6" t="n">
        <v>273</v>
      </c>
      <c r="U35" s="16" t="n">
        <v>93</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6" t="n">
        <v>277</v>
      </c>
      <c r="U36" s="16" t="n">
        <v>97</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6" t="n">
        <v>277</v>
      </c>
      <c r="U37" s="16" t="n">
        <v>97</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6" t="n">
        <v>258</v>
      </c>
      <c r="U40" s="16" t="n">
        <v>35</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6" t="n">
        <v>258</v>
      </c>
      <c r="U41" s="16" t="n">
        <v>35</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6" t="n">
        <v>258</v>
      </c>
      <c r="U42" s="16" t="n">
        <v>35</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6" t="n">
        <v>258</v>
      </c>
      <c r="U43" s="16" t="n">
        <v>35</v>
      </c>
      <c r="V43" s="16">
        <f>ROUNDUP((T43+U43+2*'Read Me'!$B$13)*(1+'Read Me'!$B$12),-1)</f>
        <v/>
      </c>
      <c r="W43" s="16">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6" t="n">
        <v>1069</v>
      </c>
      <c r="U44" s="16" t="n">
        <v>184</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67</v>
      </c>
      <c r="U45" s="16" t="n">
        <v>89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6" t="n">
        <v>67</v>
      </c>
      <c r="U46" s="16" t="n">
        <v>89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6" t="n">
        <v>53</v>
      </c>
      <c r="U47" s="16" t="n">
        <v>10</v>
      </c>
      <c r="V47" s="16">
        <f>ROUNDUP((T47+U47+2*'Read Me'!$B$13)*(1+'Read Me'!$B$12),-1)</f>
        <v/>
      </c>
      <c r="W47" s="16">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6" t="n">
        <v>67</v>
      </c>
      <c r="U48" s="16" t="n">
        <v>89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403</v>
      </c>
      <c r="U49" s="16" t="n">
        <v>119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403</v>
      </c>
      <c r="U50" s="16" t="n">
        <v>119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403</v>
      </c>
      <c r="U51" s="16" t="n">
        <v>119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403</v>
      </c>
      <c r="U52" s="16" t="n">
        <v>119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6" t="n">
        <v>1277</v>
      </c>
      <c r="U53" s="16" t="n">
        <v>209</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6" t="n">
        <v>1277</v>
      </c>
      <c r="U54" s="16" t="n">
        <v>209</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6" t="n">
        <v>1277</v>
      </c>
      <c r="U55" s="16" t="n">
        <v>209</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6" t="n">
        <v>1277</v>
      </c>
      <c r="U56" s="16" t="n">
        <v>209</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6" t="n">
        <v>1214</v>
      </c>
      <c r="U57" s="16" t="n">
        <v>102</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6" t="n">
        <v>1214</v>
      </c>
      <c r="U58" s="16" t="n">
        <v>102</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6" t="n">
        <v>1214</v>
      </c>
      <c r="U59" s="16" t="n">
        <v>102</v>
      </c>
      <c r="V59" s="16">
        <f>ROUNDUP((T59+U59+2*'Read Me'!$B$13)*(1+'Read Me'!$B$12),-1)</f>
        <v/>
      </c>
      <c r="W59" s="16">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6" t="n">
        <v>1214</v>
      </c>
      <c r="U60" s="16" t="n">
        <v>102</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6" t="n">
        <v>451</v>
      </c>
      <c r="U61" s="16" t="n">
        <v>157</v>
      </c>
      <c r="V61" s="16">
        <f>ROUNDUP((T61+U61+2*'Read Me'!$B$13)*(1+'Read Me'!$B$12),-1)</f>
        <v/>
      </c>
      <c r="W61" s="16">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6" t="n">
        <v>451</v>
      </c>
      <c r="U62" s="16" t="n">
        <v>157</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6" t="n">
        <v>140</v>
      </c>
      <c r="U71" s="16" t="n">
        <v>10</v>
      </c>
      <c r="V71" s="16">
        <f>ROUNDUP((T71+U71+2*'Read Me'!$B$13)*(1+'Read Me'!$B$12),-1)</f>
        <v/>
      </c>
      <c r="W71" s="16">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6" t="n">
        <v>373</v>
      </c>
      <c r="U72" s="16" t="n">
        <v>106</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373</v>
      </c>
      <c r="U74" s="16" t="n">
        <v>106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6" t="n">
        <v>631</v>
      </c>
      <c r="U75" s="16" t="n">
        <v>137</v>
      </c>
      <c r="V75" s="16">
        <f>ROUNDUP((T75+U75+2*'Read Me'!$B$13)*(1+'Read Me'!$B$12),-1)</f>
        <v/>
      </c>
      <c r="W75" s="16">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6" t="n">
        <v>631</v>
      </c>
      <c r="U76" s="16" t="n">
        <v>137</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6" t="n">
        <v>140</v>
      </c>
      <c r="U85" s="16" t="n">
        <v>10</v>
      </c>
      <c r="V85" s="16">
        <f>ROUNDUP((T85+U85+2*'Read Me'!$B$13)*(1+'Read Me'!$B$12),-1)</f>
        <v/>
      </c>
      <c r="W85" s="16">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6" t="n">
        <v>1247</v>
      </c>
      <c r="U86" s="16" t="n">
        <v>196</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6" t="n">
        <v>1247</v>
      </c>
      <c r="U88" s="16" t="n">
        <v>196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6" t="n">
        <v>799</v>
      </c>
      <c r="U89" s="16" t="n">
        <v>145</v>
      </c>
      <c r="V89" s="16">
        <f>ROUNDUP((T89+U89+2*'Read Me'!$B$13)*(1+'Read Me'!$B$12),-1)</f>
        <v/>
      </c>
      <c r="W89" s="16">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6" t="n">
        <v>799</v>
      </c>
      <c r="U90" s="16" t="n">
        <v>145</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6" t="n">
        <v>140</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6" t="n">
        <v>1193</v>
      </c>
      <c r="U100" s="16" t="n">
        <v>96</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6" t="n">
        <v>140</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6" t="n">
        <v>1193</v>
      </c>
      <c r="U102" s="16" t="n">
        <v>96</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210</v>
      </c>
      <c r="U104" s="16" t="n">
        <v>104</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6" t="n">
        <v>54</v>
      </c>
      <c r="U105" s="16" t="n">
        <v>10</v>
      </c>
      <c r="V105" s="16">
        <f>ROUNDUP((T105+U105+2*'Read Me'!$B$13)*(1+'Read Me'!$B$12),-1)</f>
        <v/>
      </c>
      <c r="W105" s="16">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6" t="n">
        <v>1102</v>
      </c>
      <c r="U106" s="16" t="n">
        <v>198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6" t="n">
        <v>54</v>
      </c>
      <c r="U107" s="16" t="n">
        <v>10</v>
      </c>
      <c r="V107" s="16">
        <f>ROUNDUP((T107+U107+2*'Read Me'!$B$13)*(1+'Read Me'!$B$12),-1)</f>
        <v/>
      </c>
      <c r="W107" s="16">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6" t="n">
        <v>908</v>
      </c>
      <c r="U108" s="16" t="n">
        <v>238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6" t="n">
        <v>373</v>
      </c>
      <c r="U112" s="16" t="n">
        <v>118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6" t="n">
        <v>373</v>
      </c>
      <c r="U113" s="16" t="n">
        <v>118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6" t="n">
        <v>373</v>
      </c>
      <c r="U114" s="16" t="n">
        <v>118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373</v>
      </c>
      <c r="U115" s="16" t="n">
        <v>118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6" t="n">
        <v>1247</v>
      </c>
      <c r="U119" s="16" t="n">
        <v>208</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6" t="n">
        <v>1247</v>
      </c>
      <c r="U120" s="16" t="n">
        <v>208</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6" t="n">
        <v>1247</v>
      </c>
      <c r="U121" s="16" t="n">
        <v>208</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6" t="n">
        <v>1247</v>
      </c>
      <c r="U122" s="16" t="n">
        <v>208</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6" t="n">
        <v>1193</v>
      </c>
      <c r="U126" s="16" t="n">
        <v>97</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6" t="n">
        <v>1193</v>
      </c>
      <c r="U127" s="16" t="n">
        <v>97</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6" t="n">
        <v>1193</v>
      </c>
      <c r="U128" s="16" t="n">
        <v>97</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6" t="n">
        <v>1193</v>
      </c>
      <c r="U129" s="16" t="n">
        <v>97</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6" t="n">
        <v>366</v>
      </c>
      <c r="U133" s="16" t="n">
        <v>111</v>
      </c>
      <c r="V133" s="16">
        <f>ROUNDUP((T133+U133+2*'Read Me'!$B$13)*(1+'Read Me'!$B$12),-1)</f>
        <v/>
      </c>
      <c r="W133" s="16">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6" t="n">
        <v>366</v>
      </c>
      <c r="U134" s="16" t="n">
        <v>111</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6" t="n">
        <v>366</v>
      </c>
      <c r="U135" s="16" t="n">
        <v>111</v>
      </c>
      <c r="V135" s="16">
        <f>ROUNDUP((T135+U135+2*'Read Me'!$B$13)*(1+'Read Me'!$B$12),-1)</f>
        <v/>
      </c>
      <c r="W135" s="16">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6" t="n">
        <v>366</v>
      </c>
      <c r="U136" s="16" t="n">
        <v>111</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220</v>
      </c>
      <c r="U138" s="16" t="n">
        <v>94</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6" t="n">
        <v>70</v>
      </c>
      <c r="U139" s="16" t="n">
        <v>10</v>
      </c>
      <c r="V139" s="16">
        <f>ROUNDUP((T139+U139+2*'Read Me'!$B$13)*(1+'Read Me'!$B$12),-1)</f>
        <v/>
      </c>
      <c r="W139" s="16">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6" t="n">
        <v>1124</v>
      </c>
      <c r="U140" s="16" t="n">
        <v>188</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6" t="n">
        <v>70</v>
      </c>
      <c r="U141" s="16" t="n">
        <v>10</v>
      </c>
      <c r="V141" s="16">
        <f>ROUNDUP((T141+U141+2*'Read Me'!$B$13)*(1+'Read Me'!$B$12),-1)</f>
        <v/>
      </c>
      <c r="W141" s="16">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6" t="n">
        <v>896</v>
      </c>
      <c r="U142" s="16" t="n">
        <v>212</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72</v>
      </c>
      <c r="U143" s="16" t="n">
        <v>139</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72</v>
      </c>
      <c r="U144" s="16" t="n">
        <v>139</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416</v>
      </c>
      <c r="U147" s="16" t="n">
        <v>181</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416</v>
      </c>
      <c r="U148" s="16" t="n">
        <v>181</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416</v>
      </c>
      <c r="U149" s="16" t="n">
        <v>181</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416</v>
      </c>
      <c r="U150" s="16" t="n">
        <v>181</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419</v>
      </c>
      <c r="U157" s="16" t="n">
        <v>179</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6" t="n">
        <v>419</v>
      </c>
      <c r="U158" s="16" t="n">
        <v>179</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6" t="n">
        <v>419</v>
      </c>
      <c r="U159" s="16" t="n">
        <v>179</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6" t="n">
        <v>419</v>
      </c>
      <c r="U160" s="16" t="n">
        <v>179</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6" t="n">
        <v>1290</v>
      </c>
      <c r="U163" s="16" t="n">
        <v>271</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6" t="n">
        <v>1290</v>
      </c>
      <c r="U164" s="16" t="n">
        <v>271</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6" t="n">
        <v>1290</v>
      </c>
      <c r="U165" s="16" t="n">
        <v>271</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6" t="n">
        <v>1290</v>
      </c>
      <c r="U166" s="16" t="n">
        <v>271</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1423</v>
      </c>
      <c r="U173" s="16" t="n">
        <v>113</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6" t="n">
        <v>1423</v>
      </c>
      <c r="U174" s="16" t="n">
        <v>113</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6" t="n">
        <v>1423</v>
      </c>
      <c r="U175" s="16" t="n">
        <v>113</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6" t="n">
        <v>1423</v>
      </c>
      <c r="U176" s="16" t="n">
        <v>113</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1140</v>
      </c>
      <c r="U179" s="16" t="n">
        <v>110</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1140</v>
      </c>
      <c r="U180" s="16" t="n">
        <v>110</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1140</v>
      </c>
      <c r="U181" s="16" t="n">
        <v>110</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1140</v>
      </c>
      <c r="U182" s="16" t="n">
        <v>110</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1103</v>
      </c>
      <c r="U189" s="16" t="n">
        <v>113</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6" t="n">
        <v>1103</v>
      </c>
      <c r="U190" s="16" t="n">
        <v>113</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6" t="n">
        <v>1103</v>
      </c>
      <c r="U191" s="16" t="n">
        <v>113</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6" t="n">
        <v>1103</v>
      </c>
      <c r="U192" s="16" t="n">
        <v>113</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463</v>
      </c>
      <c r="U195" s="16" t="n">
        <v>35</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463</v>
      </c>
      <c r="U196" s="16" t="n">
        <v>35</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463</v>
      </c>
      <c r="U197" s="16" t="n">
        <v>35</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463</v>
      </c>
      <c r="U198" s="16" t="n">
        <v>35</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6" t="n">
        <v>408</v>
      </c>
      <c r="U205" s="16" t="n">
        <v>32</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6" t="n">
        <v>408</v>
      </c>
      <c r="U206" s="16" t="n">
        <v>32</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6" t="n">
        <v>408</v>
      </c>
      <c r="U207" s="16" t="n">
        <v>32</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6" t="n">
        <v>408</v>
      </c>
      <c r="U208" s="16" t="n">
        <v>32</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6" t="n">
        <v>302</v>
      </c>
      <c r="U217" s="16" t="n">
        <v>170</v>
      </c>
      <c r="V217" s="16">
        <f>ROUNDUP((T217+U217+2*'Read Me'!$B$13)*(1+'Read Me'!$B$12),-1)</f>
        <v/>
      </c>
      <c r="W217" s="16">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6" t="n">
        <v>302</v>
      </c>
      <c r="U218" s="16" t="n">
        <v>170</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6" t="n">
        <v>302</v>
      </c>
      <c r="U219" s="16" t="n">
        <v>170</v>
      </c>
      <c r="V219" s="16">
        <f>ROUNDUP((T219+U219+2*'Read Me'!$B$13)*(1+'Read Me'!$B$12),-1)</f>
        <v/>
      </c>
      <c r="W219" s="16">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6" t="n">
        <v>302</v>
      </c>
      <c r="U220" s="16" t="n">
        <v>170</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62</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224</v>
      </c>
      <c r="U222" s="16" t="n">
        <v>119</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6" t="n">
        <v>96</v>
      </c>
      <c r="U225" s="16" t="n">
        <v>10</v>
      </c>
      <c r="V225" s="16">
        <f>ROUNDUP((T225+U225+2*'Read Me'!$B$13)*(1+'Read Me'!$B$12),-1)</f>
        <v/>
      </c>
      <c r="W225" s="16">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6" t="n">
        <v>154</v>
      </c>
      <c r="U226" s="16" t="n">
        <v>103</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6" t="n">
        <v>96</v>
      </c>
      <c r="U227" s="16" t="n">
        <v>10</v>
      </c>
      <c r="V227" s="16">
        <f>ROUNDUP((T227+U227+2*'Read Me'!$B$13)*(1+'Read Me'!$B$12),-1)</f>
        <v/>
      </c>
      <c r="W227" s="16">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6" t="n">
        <v>154</v>
      </c>
      <c r="U228" s="16" t="n">
        <v>103</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6" t="n">
        <v>482</v>
      </c>
      <c r="U237" s="16" t="n">
        <v>150</v>
      </c>
      <c r="V237" s="16">
        <f>ROUNDUP((T237+U237+2*'Read Me'!$B$13)*(1+'Read Me'!$B$12),-1)</f>
        <v/>
      </c>
      <c r="W237" s="16">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6" t="n">
        <v>482</v>
      </c>
      <c r="U238" s="16" t="n">
        <v>150</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6" t="n">
        <v>482</v>
      </c>
      <c r="U239" s="16" t="n">
        <v>150</v>
      </c>
      <c r="V239" s="16">
        <f>ROUNDUP((T239+U239+2*'Read Me'!$B$13)*(1+'Read Me'!$B$12),-1)</f>
        <v/>
      </c>
      <c r="W239" s="16">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6" t="n">
        <v>482</v>
      </c>
      <c r="U240" s="16" t="n">
        <v>150</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62</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1116</v>
      </c>
      <c r="U242" s="16" t="n">
        <v>213</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6" t="n">
        <v>96</v>
      </c>
      <c r="U245" s="16" t="n">
        <v>10</v>
      </c>
      <c r="V245" s="16">
        <f>ROUNDUP((T245+U245+2*'Read Me'!$B$13)*(1+'Read Me'!$B$12),-1)</f>
        <v/>
      </c>
      <c r="W245" s="16">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6" t="n">
        <v>1046</v>
      </c>
      <c r="U246" s="16" t="n">
        <v>197</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6" t="n">
        <v>96</v>
      </c>
      <c r="U247" s="16" t="n">
        <v>10</v>
      </c>
      <c r="V247" s="16">
        <f>ROUNDUP((T247+U247+2*'Read Me'!$B$13)*(1+'Read Me'!$B$12),-1)</f>
        <v/>
      </c>
      <c r="W247" s="16">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6" t="n">
        <v>1046</v>
      </c>
      <c r="U248" s="16" t="n">
        <v>197</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6" t="n">
        <v>693</v>
      </c>
      <c r="U257" s="16" t="n">
        <v>149</v>
      </c>
      <c r="V257" s="16">
        <f>ROUNDUP((T257+U257+2*'Read Me'!$B$13)*(1+'Read Me'!$B$12),-1)</f>
        <v/>
      </c>
      <c r="W257" s="16">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6" t="n">
        <v>693</v>
      </c>
      <c r="U258" s="16" t="n">
        <v>149</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6" t="n">
        <v>693</v>
      </c>
      <c r="U259" s="16" t="n">
        <v>149</v>
      </c>
      <c r="V259" s="16">
        <f>ROUNDUP((T259+U259+2*'Read Me'!$B$13)*(1+'Read Me'!$B$12),-1)</f>
        <v/>
      </c>
      <c r="W259" s="16">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6" t="n">
        <v>693</v>
      </c>
      <c r="U260" s="16" t="n">
        <v>149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62</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926</v>
      </c>
      <c r="U262" s="16" t="n">
        <v>248</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6" t="n">
        <v>96</v>
      </c>
      <c r="U265" s="16" t="n">
        <v>10</v>
      </c>
      <c r="V265" s="16">
        <f>ROUNDUP((T265+U265+2*'Read Me'!$B$13)*(1+'Read Me'!$B$12),-1)</f>
        <v/>
      </c>
      <c r="W265" s="16">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6" t="n">
        <v>986</v>
      </c>
      <c r="U266" s="16" t="n">
        <v>249</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6" t="n">
        <v>96</v>
      </c>
      <c r="U267" s="16" t="n">
        <v>10</v>
      </c>
      <c r="V267" s="16">
        <f>ROUNDUP((T267+U267+2*'Read Me'!$B$13)*(1+'Read Me'!$B$12),-1)</f>
        <v/>
      </c>
      <c r="W267" s="16">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6" t="n">
        <v>986</v>
      </c>
      <c r="U268" s="16" t="n">
        <v>249</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445</v>
      </c>
      <c r="U269" s="16" t="n">
        <v>178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445</v>
      </c>
      <c r="U270" s="16" t="n">
        <v>178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445</v>
      </c>
      <c r="U271" s="16" t="n">
        <v>178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445</v>
      </c>
      <c r="U272" s="16" t="n">
        <v>178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625</v>
      </c>
      <c r="U273" s="16" t="n">
        <v>158</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625</v>
      </c>
      <c r="U274" s="16" t="n">
        <v>158</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625</v>
      </c>
      <c r="U275" s="16" t="n">
        <v>158</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625</v>
      </c>
      <c r="U276" s="16" t="n">
        <v>158</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793</v>
      </c>
      <c r="U277" s="16" t="n">
        <v>166</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793</v>
      </c>
      <c r="U278" s="16" t="n">
        <v>166</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793</v>
      </c>
      <c r="U279" s="16" t="n">
        <v>166</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793</v>
      </c>
      <c r="U280" s="16" t="n">
        <v>166</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6" t="n">
        <v>0</v>
      </c>
      <c r="U326" s="16" t="n">
        <v>87</v>
      </c>
      <c r="V326" s="16">
        <f>ROUNDUP((T326+U326+2*'Read Me'!$B$13)*(1+'Read Me'!$B$12),-1)</f>
        <v/>
      </c>
      <c r="W326" s="16">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6" t="n">
        <v>0</v>
      </c>
      <c r="U328" s="16" t="n">
        <v>87</v>
      </c>
      <c r="V328" s="16">
        <f>ROUNDUP((T328+U328+2*'Read Me'!$B$13)*(1+'Read Me'!$B$12),-1)</f>
        <v/>
      </c>
      <c r="W328" s="16">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6" t="n">
        <v>180</v>
      </c>
      <c r="U330" s="16" t="n">
        <v>10</v>
      </c>
      <c r="V330" s="16">
        <f>ROUNDUP((T330+U330+2*'Read Me'!$B$13)*(1+'Read Me'!$B$12),-1)</f>
        <v/>
      </c>
      <c r="W330" s="16">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6" t="n">
        <v>0</v>
      </c>
      <c r="U331" s="16" t="n">
        <v>87</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6" t="n">
        <v>180</v>
      </c>
      <c r="U332" s="16" t="n">
        <v>10</v>
      </c>
      <c r="V332" s="16">
        <f>ROUNDUP((T332+U332+2*'Read Me'!$B$13)*(1+'Read Me'!$B$12),-1)</f>
        <v/>
      </c>
      <c r="W332" s="16">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6" t="n">
        <v>0</v>
      </c>
      <c r="U333" s="16" t="n">
        <v>87</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6" t="n">
        <v>38</v>
      </c>
      <c r="U334" s="16" t="n">
        <v>86</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6" t="n">
        <v>38</v>
      </c>
      <c r="U335" s="16" t="n">
        <v>86</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6" t="n">
        <v>38</v>
      </c>
      <c r="U336" s="16" t="n">
        <v>86</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6" t="n">
        <v>38</v>
      </c>
      <c r="U337" s="16" t="n">
        <v>86</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404</v>
      </c>
      <c r="U340" s="16" t="n">
        <v>108</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404</v>
      </c>
      <c r="U341" s="16" t="n">
        <v>108</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404</v>
      </c>
      <c r="U342" s="16" t="n">
        <v>108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404</v>
      </c>
      <c r="U343" s="16" t="n">
        <v>108</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6" t="n">
        <v>106</v>
      </c>
      <c r="U344" s="16" t="n">
        <v>10</v>
      </c>
      <c r="V344" s="16">
        <f>ROUNDUP((T344+U344+2*'Read Me'!$B$13)*(1+'Read Me'!$B$12),-1)</f>
        <v/>
      </c>
      <c r="W344" s="16">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6" t="n">
        <v>400</v>
      </c>
      <c r="U345" s="16" t="n">
        <v>84</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186</v>
      </c>
      <c r="U346" s="16" t="n">
        <v>328</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53</v>
      </c>
      <c r="U394" s="16" t="n">
        <v>96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6" t="n">
        <v>180</v>
      </c>
      <c r="U396" s="16" t="n">
        <v>10</v>
      </c>
      <c r="V396" s="16">
        <f>ROUNDUP((T396+U396+2*'Read Me'!$B$13)*(1+'Read Me'!$B$12),-1)</f>
        <v/>
      </c>
      <c r="W396" s="16">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6" t="n">
        <v>53</v>
      </c>
      <c r="U397" s="16" t="n">
        <v>96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6" t="n">
        <v>180</v>
      </c>
      <c r="U398" s="16" t="n">
        <v>10</v>
      </c>
      <c r="V398" s="16">
        <f>ROUNDUP((T398+U398+2*'Read Me'!$B$13)*(1+'Read Me'!$B$12),-1)</f>
        <v/>
      </c>
      <c r="W398" s="16">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6" t="n">
        <v>53</v>
      </c>
      <c r="U399" s="16" t="n">
        <v>96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6" t="n">
        <v>38</v>
      </c>
      <c r="U400" s="16" t="n">
        <v>86</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6" t="n">
        <v>38</v>
      </c>
      <c r="U401" s="16" t="n">
        <v>86</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6" t="n">
        <v>38</v>
      </c>
      <c r="U402" s="16" t="n">
        <v>86</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6" t="n">
        <v>38</v>
      </c>
      <c r="U403" s="16" t="n">
        <v>86</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404</v>
      </c>
      <c r="U406" s="16" t="n">
        <v>108</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6" t="n">
        <v>404</v>
      </c>
      <c r="U407" s="16" t="n">
        <v>108</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404</v>
      </c>
      <c r="U408" s="16" t="n">
        <v>108</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404</v>
      </c>
      <c r="U409" s="16" t="n">
        <v>108</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6" t="n">
        <v>106</v>
      </c>
      <c r="U410" s="16" t="n">
        <v>10</v>
      </c>
      <c r="V410" s="16">
        <f>ROUNDUP((T410+U410+2*'Read Me'!$B$13)*(1+'Read Me'!$B$12),-1)</f>
        <v/>
      </c>
      <c r="W410" s="16">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6" t="n">
        <v>400</v>
      </c>
      <c r="U411" s="16" t="n">
        <v>84</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273</v>
      </c>
      <c r="U412" s="16" t="n">
        <v>315</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0</v>
      </c>
      <c r="U458" s="16" t="n">
        <v>87</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6" t="n">
        <v>0</v>
      </c>
      <c r="U460" s="16" t="n">
        <v>87</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6" t="n">
        <v>180</v>
      </c>
      <c r="U462" s="16" t="n">
        <v>10</v>
      </c>
      <c r="V462" s="16">
        <f>ROUNDUP((T462+U462+2*'Read Me'!$B$13)*(1+'Read Me'!$B$12),-1)</f>
        <v/>
      </c>
      <c r="W462" s="16">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6" t="n">
        <v>0</v>
      </c>
      <c r="U463" s="16" t="n">
        <v>87</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6" t="n">
        <v>180</v>
      </c>
      <c r="U464" s="16" t="n">
        <v>10</v>
      </c>
      <c r="V464" s="16">
        <f>ROUNDUP((T464+U464+2*'Read Me'!$B$13)*(1+'Read Me'!$B$12),-1)</f>
        <v/>
      </c>
      <c r="W464" s="16">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6" t="n">
        <v>0</v>
      </c>
      <c r="U465" s="16" t="n">
        <v>87</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6" t="n">
        <v>38</v>
      </c>
      <c r="U466" s="16" t="n">
        <v>86</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6" t="n">
        <v>38</v>
      </c>
      <c r="U467" s="16" t="n">
        <v>86</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6" t="n">
        <v>38</v>
      </c>
      <c r="U468" s="16" t="n">
        <v>86</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6" t="n">
        <v>38</v>
      </c>
      <c r="U469" s="16" t="n">
        <v>86</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6" t="n">
        <v>404</v>
      </c>
      <c r="U472" s="16" t="n">
        <v>108</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404</v>
      </c>
      <c r="U473" s="16" t="n">
        <v>108</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404</v>
      </c>
      <c r="U474" s="16" t="n">
        <v>108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404</v>
      </c>
      <c r="U475" s="16" t="n">
        <v>108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6" t="n">
        <v>106</v>
      </c>
      <c r="U476" s="16" t="n">
        <v>10</v>
      </c>
      <c r="V476" s="16">
        <f>ROUNDUP((T476+U476+2*'Read Me'!$B$13)*(1+'Read Me'!$B$12),-1)</f>
        <v/>
      </c>
      <c r="W476" s="16">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6" t="n">
        <v>400</v>
      </c>
      <c r="U477" s="16" t="n">
        <v>84</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6" t="n">
        <v>186</v>
      </c>
      <c r="U478" s="16" t="n">
        <v>328</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6" t="n">
        <v>829</v>
      </c>
      <c r="U479" s="16" t="n">
        <v>218</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41</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6" t="n">
        <v>51</v>
      </c>
      <c r="U483" s="16" t="n">
        <v>41</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6" t="n">
        <v>51</v>
      </c>
      <c r="U484" s="16" t="n">
        <v>41</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6" t="n">
        <v>51</v>
      </c>
      <c r="U485" s="16" t="n">
        <v>41</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6" t="n">
        <v>718</v>
      </c>
      <c r="U486" s="16" t="n">
        <v>124</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6" t="n">
        <v>718</v>
      </c>
      <c r="U487" s="16" t="n">
        <v>124</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6" t="n">
        <v>718</v>
      </c>
      <c r="U488" s="16" t="n">
        <v>124</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718</v>
      </c>
      <c r="U489" s="16" t="n">
        <v>124</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6" t="n">
        <v>51</v>
      </c>
      <c r="U492" s="16" t="n">
        <v>63</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6" t="n">
        <v>51</v>
      </c>
      <c r="U493" s="16" t="n">
        <v>63</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6" t="n">
        <v>51</v>
      </c>
      <c r="U494" s="16" t="n">
        <v>63</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6" t="n">
        <v>51</v>
      </c>
      <c r="U495" s="16" t="n">
        <v>63</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718</v>
      </c>
      <c r="U496" s="16" t="n">
        <v>146</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718</v>
      </c>
      <c r="U497" s="16" t="n">
        <v>146</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718</v>
      </c>
      <c r="U498" s="16" t="n">
        <v>146</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718</v>
      </c>
      <c r="U499" s="16" t="n">
        <v>146</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73</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73</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73</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73</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0</v>
      </c>
      <c r="U504" s="16" t="n">
        <v>109</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0</v>
      </c>
      <c r="U505" s="16" t="n">
        <v>109</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0</v>
      </c>
      <c r="U506" s="16" t="n">
        <v>109</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0</v>
      </c>
      <c r="U507" s="16" t="n">
        <v>109</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667</v>
      </c>
      <c r="U508" s="16" t="n">
        <v>144</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6" t="n">
        <v>667</v>
      </c>
      <c r="U509" s="16" t="n">
        <v>144</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6" t="n">
        <v>667</v>
      </c>
      <c r="U510" s="16" t="n">
        <v>144</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6" t="n">
        <v>667</v>
      </c>
      <c r="U511" s="16" t="n">
        <v>144</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0</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0</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0</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0</v>
      </c>
      <c r="U516" s="16" t="n">
        <v>32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404</v>
      </c>
      <c r="U519" s="16" t="n">
        <v>72</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6" t="n">
        <v>404</v>
      </c>
      <c r="U520" s="16" t="n">
        <v>72</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6" t="n">
        <v>404</v>
      </c>
      <c r="U521" s="16" t="n">
        <v>72</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6" t="n">
        <v>404</v>
      </c>
      <c r="U522" s="16" t="n">
        <v>72</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359</v>
      </c>
      <c r="U523" s="16" t="n">
        <v>147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359</v>
      </c>
      <c r="U524" s="16" t="n">
        <v>147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359</v>
      </c>
      <c r="U525" s="16" t="n">
        <v>147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359</v>
      </c>
      <c r="U526" s="16" t="n">
        <v>147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1233</v>
      </c>
      <c r="U527" s="16" t="n">
        <v>237</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1233</v>
      </c>
      <c r="U528" s="16" t="n">
        <v>237</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1233</v>
      </c>
      <c r="U529" s="16" t="n">
        <v>237</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1233</v>
      </c>
      <c r="U530" s="16" t="n">
        <v>237</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6" t="n">
        <v>987</v>
      </c>
      <c r="U531" s="16" t="n">
        <v>184</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6" t="n">
        <v>987</v>
      </c>
      <c r="U532" s="16" t="n">
        <v>184</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6" t="n">
        <v>987</v>
      </c>
      <c r="U533" s="16" t="n">
        <v>184</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6" t="n">
        <v>987</v>
      </c>
      <c r="U534" s="16" t="n">
        <v>184</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6" t="n">
        <v>481</v>
      </c>
      <c r="U535" s="16" t="n">
        <v>189</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481</v>
      </c>
      <c r="U536" s="16" t="n">
        <v>189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481</v>
      </c>
      <c r="U537" s="16" t="n">
        <v>189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6" t="n">
        <v>52</v>
      </c>
      <c r="U538" s="16" t="n">
        <v>10</v>
      </c>
      <c r="V538" s="16">
        <f>ROUNDUP((T538+U538+2*'Read Me'!$B$13)*(1+'Read Me'!$B$12),-1)</f>
        <v/>
      </c>
      <c r="W538" s="16">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6" t="n">
        <v>403</v>
      </c>
      <c r="U539" s="16" t="n">
        <v>138</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6" t="n">
        <v>661</v>
      </c>
      <c r="U540" s="16" t="n">
        <v>169</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661</v>
      </c>
      <c r="U541" s="16" t="n">
        <v>169</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661</v>
      </c>
      <c r="U542" s="16" t="n">
        <v>169</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6" t="n">
        <v>52</v>
      </c>
      <c r="U543" s="16" t="n">
        <v>10</v>
      </c>
      <c r="V543" s="16">
        <f>ROUNDUP((T543+U543+2*'Read Me'!$B$13)*(1+'Read Me'!$B$12),-1)</f>
        <v/>
      </c>
      <c r="W543" s="16">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6" t="n">
        <v>1277</v>
      </c>
      <c r="U544" s="16" t="n">
        <v>228</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6" t="n">
        <v>829</v>
      </c>
      <c r="U545" s="16" t="n">
        <v>177</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6" t="n">
        <v>829</v>
      </c>
      <c r="U546" s="16" t="n">
        <v>177</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6" t="n">
        <v>829</v>
      </c>
      <c r="U547" s="16" t="n">
        <v>177</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6" t="n">
        <v>52</v>
      </c>
      <c r="U548" s="16" t="n">
        <v>10</v>
      </c>
      <c r="V548" s="16">
        <f>ROUNDUP((T548+U548+2*'Read Me'!$B$13)*(1+'Read Me'!$B$12),-1)</f>
        <v/>
      </c>
      <c r="W548" s="16">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6" t="n">
        <v>1214</v>
      </c>
      <c r="U549" s="16" t="n">
        <v>126</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6" t="n">
        <v>67</v>
      </c>
      <c r="U556" s="16" t="n">
        <v>84</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6" t="n">
        <v>67</v>
      </c>
      <c r="U557" s="16" t="n">
        <v>84</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6" t="n">
        <v>67</v>
      </c>
      <c r="U558" s="16" t="n">
        <v>84</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6" t="n">
        <v>67</v>
      </c>
      <c r="U559" s="16" t="n">
        <v>84</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6" t="n">
        <v>12</v>
      </c>
      <c r="U576" s="16" t="n">
        <v>50</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6" t="n">
        <v>12</v>
      </c>
      <c r="U578" s="16" t="n">
        <v>50</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6" t="n">
        <v>119</v>
      </c>
      <c r="U580" s="16" t="n">
        <v>10</v>
      </c>
      <c r="V580" s="16">
        <f>ROUNDUP((T580+U580+2*'Read Me'!$B$13)*(1+'Read Me'!$B$12),-1)</f>
        <v/>
      </c>
      <c r="W580" s="16">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6" t="n">
        <v>12</v>
      </c>
      <c r="U581" s="16" t="n">
        <v>50</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6" t="n">
        <v>119</v>
      </c>
      <c r="U582" s="16" t="n">
        <v>10</v>
      </c>
      <c r="V582" s="16">
        <f>ROUNDUP((T582+U582+2*'Read Me'!$B$13)*(1+'Read Me'!$B$12),-1)</f>
        <v/>
      </c>
      <c r="W582" s="16">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6" t="n">
        <v>12</v>
      </c>
      <c r="U583" s="16" t="n">
        <v>50</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6" t="n">
        <v>517</v>
      </c>
      <c r="U584" s="16" t="n">
        <v>35</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6" t="n">
        <v>517</v>
      </c>
      <c r="U585" s="16" t="n">
        <v>35</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6" t="n">
        <v>517</v>
      </c>
      <c r="U586" s="16" t="n">
        <v>35</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6" t="n">
        <v>517</v>
      </c>
      <c r="U587" s="16" t="n">
        <v>35</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86</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86</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86</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86</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6" t="n">
        <v>0</v>
      </c>
      <c r="U602" s="16" t="n">
        <v>97</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6" t="n">
        <v>0</v>
      </c>
      <c r="U603" s="16" t="n">
        <v>97</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6" t="n">
        <v>0</v>
      </c>
      <c r="U604" s="16" t="n">
        <v>97</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0</v>
      </c>
      <c r="U605" s="16" t="n">
        <v>97</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0</v>
      </c>
      <c r="U608" s="16" t="n">
        <v>71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0</v>
      </c>
      <c r="U609" s="16" t="n">
        <v>71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0</v>
      </c>
      <c r="U610" s="16" t="n">
        <v>71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0</v>
      </c>
      <c r="U611" s="16" t="n">
        <v>71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63</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6" t="n">
        <v>63</v>
      </c>
      <c r="U615" s="16" t="n">
        <v>41</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6" t="n">
        <v>63</v>
      </c>
      <c r="U616" s="16" t="n">
        <v>41</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6" t="n">
        <v>63</v>
      </c>
      <c r="U617" s="16" t="n">
        <v>41</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6" t="n">
        <v>730</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6" t="n">
        <v>730</v>
      </c>
      <c r="U619" s="16" t="n">
        <v>124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6" t="n">
        <v>730</v>
      </c>
      <c r="U620" s="16" t="n">
        <v>124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6" t="n">
        <v>730</v>
      </c>
      <c r="U621" s="16" t="n">
        <v>124</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6" t="n">
        <v>85</v>
      </c>
      <c r="U624" s="16" t="n">
        <v>41</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6" t="n">
        <v>85</v>
      </c>
      <c r="U625" s="16" t="n">
        <v>41</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6" t="n">
        <v>85</v>
      </c>
      <c r="U626" s="16" t="n">
        <v>41</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6" t="n">
        <v>85</v>
      </c>
      <c r="U627" s="16" t="n">
        <v>41</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752</v>
      </c>
      <c r="U628" s="16" t="n">
        <v>124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6" t="n">
        <v>752</v>
      </c>
      <c r="U629" s="16" t="n">
        <v>124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6" t="n">
        <v>752</v>
      </c>
      <c r="U630" s="16" t="n">
        <v>124</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752</v>
      </c>
      <c r="U631" s="16" t="n">
        <v>124</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178</v>
      </c>
      <c r="U632" s="16" t="n">
        <v>94</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1069</v>
      </c>
      <c r="U633" s="16" t="n">
        <v>184</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1024</v>
      </c>
      <c r="U634" s="16" t="n">
        <v>240</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408</v>
      </c>
      <c r="U635" s="16" t="n">
        <v>183</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6" t="n">
        <v>566</v>
      </c>
      <c r="U642" s="16" t="n">
        <v>158</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6" t="n">
        <v>566</v>
      </c>
      <c r="U643" s="16" t="n">
        <v>158</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6" t="n">
        <v>566</v>
      </c>
      <c r="U644" s="16" t="n">
        <v>158</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6" t="n">
        <v>566</v>
      </c>
      <c r="U645" s="16" t="n">
        <v>158</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1423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6" t="n">
        <v>1423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6" t="n">
        <v>1423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6" t="n">
        <v>1423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6" t="n">
        <v>1103</v>
      </c>
      <c r="U662" s="16" t="n">
        <v>96</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6" t="n">
        <v>1103</v>
      </c>
      <c r="U663" s="16" t="n">
        <v>96</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6" t="n">
        <v>1103</v>
      </c>
      <c r="U664" s="16" t="n">
        <v>96</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6" t="n">
        <v>1103</v>
      </c>
      <c r="U665" s="16" t="n">
        <v>96</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261</v>
      </c>
      <c r="U666" s="16" t="n">
        <v>145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261</v>
      </c>
      <c r="U667" s="16" t="n">
        <v>145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183</v>
      </c>
      <c r="U669" s="16" t="n">
        <v>94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441</v>
      </c>
      <c r="U670" s="16" t="n">
        <v>125</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441</v>
      </c>
      <c r="U671" s="16" t="n">
        <v>125</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1075</v>
      </c>
      <c r="U673" s="16" t="n">
        <v>188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6" t="n">
        <v>609</v>
      </c>
      <c r="U674" s="16" t="n">
        <v>133</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6" t="n">
        <v>609</v>
      </c>
      <c r="U675" s="16" t="n">
        <v>133</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6" t="n">
        <v>52</v>
      </c>
      <c r="U676" s="16" t="n">
        <v>10</v>
      </c>
      <c r="V676" s="16">
        <f>ROUNDUP((T676+U676+2*'Read Me'!$B$13)*(1+'Read Me'!$B$12),-1)</f>
        <v/>
      </c>
      <c r="W676" s="16">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6" t="n">
        <v>1024</v>
      </c>
      <c r="U677" s="16" t="n">
        <v>267</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6" t="n">
        <v>0</v>
      </c>
      <c r="U678" s="16" t="n">
        <v>49</v>
      </c>
      <c r="V678" s="16">
        <f>ROUNDUP((T678+U678+2*'Read Me'!$B$13)*(1+'Read Me'!$B$12),-1)</f>
        <v/>
      </c>
      <c r="W678" s="16">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6" t="n">
        <v>0</v>
      </c>
      <c r="U679" s="16" t="n">
        <v>49</v>
      </c>
      <c r="V679" s="16">
        <f>ROUNDUP((T679+U679+2*'Read Me'!$B$13)*(1+'Read Me'!$B$12),-1)</f>
        <v/>
      </c>
      <c r="W679" s="16">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6" t="n">
        <v>0</v>
      </c>
      <c r="U680" s="16" t="n">
        <v>49</v>
      </c>
      <c r="V680" s="16">
        <f>ROUNDUP((T680+U680+2*'Read Me'!$B$13)*(1+'Read Me'!$B$12),-1)</f>
        <v/>
      </c>
      <c r="W680" s="16">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6" t="n">
        <v>14</v>
      </c>
      <c r="U681" s="16" t="n">
        <v>35</v>
      </c>
      <c r="V681" s="16">
        <f>ROUNDUP((T681+U681+2*'Read Me'!$B$13)*(1+'Read Me'!$B$12),-1)</f>
        <v/>
      </c>
      <c r="W681" s="16">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6" t="n">
        <v>1311</v>
      </c>
      <c r="U682" s="16" t="n">
        <v>225</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1467</v>
      </c>
      <c r="U683" s="16" t="n">
        <v>221</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1631</v>
      </c>
      <c r="U684" s="16" t="n">
        <v>225</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6" t="n">
        <v>1230</v>
      </c>
      <c r="U685" s="16" t="n">
        <v>117</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906</v>
      </c>
      <c r="U686" s="16" t="n">
        <v>124</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1066</v>
      </c>
      <c r="U687" s="16" t="n">
        <v>124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1226</v>
      </c>
      <c r="U688" s="16" t="n">
        <v>124</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140</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899</v>
      </c>
      <c r="U690" s="16" t="n">
        <v>138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6" t="n">
        <v>1059</v>
      </c>
      <c r="U691" s="16" t="n">
        <v>138</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1219</v>
      </c>
      <c r="U692" s="16" t="n">
        <v>138</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1289</v>
      </c>
      <c r="U693" s="16" t="n">
        <v>124</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6" t="n">
        <v>371</v>
      </c>
      <c r="U694" s="16" t="n">
        <v>32</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546</v>
      </c>
      <c r="U695" s="16" t="n">
        <v>96</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6" t="n">
        <v>1566</v>
      </c>
      <c r="U696" s="16" t="n">
        <v>200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6" t="n">
        <v>1726</v>
      </c>
      <c r="U697" s="16" t="n">
        <v>200</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6" t="n">
        <v>1302</v>
      </c>
      <c r="U698" s="16" t="n">
        <v>188</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6" t="n">
        <v>964</v>
      </c>
      <c r="U699" s="16" t="n">
        <v>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6" t="n">
        <v>1124</v>
      </c>
      <c r="U700" s="16" t="n">
        <v>44</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6" t="n">
        <v>1284</v>
      </c>
      <c r="U701" s="16" t="n">
        <v>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6" t="n">
        <v>718</v>
      </c>
      <c r="U702" s="16" t="n">
        <v>112</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6" t="n">
        <v>878</v>
      </c>
      <c r="U703" s="16" t="n">
        <v>112</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6" t="n">
        <v>1038</v>
      </c>
      <c r="U704" s="16" t="n">
        <v>112</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277</v>
      </c>
      <c r="U705" s="16" t="n">
        <v>97</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273</v>
      </c>
      <c r="U706" s="16" t="n">
        <v>93</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6" t="n">
        <v>277</v>
      </c>
      <c r="U707" s="16" t="n">
        <v>97</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1069</v>
      </c>
      <c r="U708" s="16" t="n">
        <v>184</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366</v>
      </c>
      <c r="U709" s="16" t="n">
        <v>106</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6" t="n">
        <v>1240</v>
      </c>
      <c r="U710" s="16" t="n">
        <v>196</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6" t="n">
        <v>1260</v>
      </c>
      <c r="U711" s="16" t="n">
        <v>148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392</v>
      </c>
      <c r="U712" s="16" t="n">
        <v>96</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6" t="n">
        <v>210</v>
      </c>
      <c r="U713" s="16" t="n">
        <v>104</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6" t="n">
        <v>1102</v>
      </c>
      <c r="U714" s="16" t="n">
        <v>198</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6" t="n">
        <v>908</v>
      </c>
      <c r="U715" s="16" t="n">
        <v>238</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6" t="n">
        <v>220</v>
      </c>
      <c r="U716" s="16" t="n">
        <v>94</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6" t="n">
        <v>1124</v>
      </c>
      <c r="U717" s="16" t="n">
        <v>188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6" t="n">
        <v>896</v>
      </c>
      <c r="U718" s="16" t="n">
        <v>212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6" t="n">
        <v>419</v>
      </c>
      <c r="U719" s="16" t="n">
        <v>179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6" t="n">
        <v>1423</v>
      </c>
      <c r="U720" s="16" t="n">
        <v>113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6" t="n">
        <v>1103</v>
      </c>
      <c r="U721" s="16" t="n">
        <v>113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6" t="n">
        <v>408</v>
      </c>
      <c r="U722" s="16" t="n">
        <v>32</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224</v>
      </c>
      <c r="U723" s="16" t="n">
        <v>119</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154</v>
      </c>
      <c r="U724" s="16" t="n">
        <v>103</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1116</v>
      </c>
      <c r="U725" s="16" t="n">
        <v>213</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1046</v>
      </c>
      <c r="U726" s="16" t="n">
        <v>197</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6" t="n">
        <v>926</v>
      </c>
      <c r="U727" s="16" t="n">
        <v>248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986</v>
      </c>
      <c r="U728" s="16" t="n">
        <v>249</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359</v>
      </c>
      <c r="U729" s="16" t="n">
        <v>120</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1233</v>
      </c>
      <c r="U730" s="16" t="n">
        <v>210</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6" t="n">
        <v>1229</v>
      </c>
      <c r="U731" s="16" t="n">
        <v>198</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392</v>
      </c>
      <c r="U732" s="16" t="n">
        <v>105</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635</v>
      </c>
      <c r="U733" s="16" t="n">
        <v>144</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624</v>
      </c>
      <c r="U734" s="16" t="n">
        <v>155</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624</v>
      </c>
      <c r="U735" s="16" t="n">
        <v>144</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624</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6" t="n">
        <v>624</v>
      </c>
      <c r="U737" s="16" t="n">
        <v>165</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6" t="n">
        <v>90</v>
      </c>
      <c r="U738" s="16" t="n">
        <v>123</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1114</v>
      </c>
      <c r="U739" s="16" t="n">
        <v>223</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6" t="n">
        <v>726</v>
      </c>
      <c r="U740" s="16" t="n">
        <v>181</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6" t="n">
        <v>66</v>
      </c>
      <c r="U741" s="16" t="n">
        <v>54</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6" t="n">
        <v>86</v>
      </c>
      <c r="U742" s="16" t="n">
        <v>71</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624</v>
      </c>
      <c r="U743" s="16" t="n">
        <v>128</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6" t="n">
        <v>66</v>
      </c>
      <c r="U744" s="16" t="n">
        <v>70</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0</v>
      </c>
      <c r="U746" s="16" t="n">
        <v>72</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0</v>
      </c>
      <c r="U747" s="16" t="n">
        <v>72</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6" t="n">
        <v>0</v>
      </c>
      <c r="U748" s="16" t="n">
        <v>72</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0</v>
      </c>
      <c r="U749" s="16" t="n">
        <v>32</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403</v>
      </c>
      <c r="U750" s="16" t="n">
        <v>138</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6" t="n">
        <v>1277</v>
      </c>
      <c r="U751" s="16" t="n">
        <v>228</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6" t="n">
        <v>1214</v>
      </c>
      <c r="U752" s="16" t="n">
        <v>126</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395</v>
      </c>
      <c r="U753" s="16" t="n">
        <v>124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1269</v>
      </c>
      <c r="U754" s="16" t="n">
        <v>214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6" t="n">
        <v>1193</v>
      </c>
      <c r="U755" s="16" t="n">
        <v>114</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6" t="n">
        <v>67</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6" t="n">
        <v>1069</v>
      </c>
      <c r="U757" s="16" t="n">
        <v>184</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6" t="n">
        <v>1069</v>
      </c>
      <c r="U758" s="16" t="n">
        <v>184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6" t="n">
        <v>566</v>
      </c>
      <c r="U759" s="16" t="n">
        <v>158</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6" t="n">
        <v>1423</v>
      </c>
      <c r="U760" s="16" t="n">
        <v>96</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6" t="n">
        <v>1103</v>
      </c>
      <c r="U761" s="16" t="n">
        <v>96</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6" t="n">
        <v>88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6" t="n">
        <v>88</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6" t="n">
        <v>88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6" t="n">
        <v>88</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6" t="n">
        <v>481</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6" t="n">
        <v>481</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48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481</v>
      </c>
      <c r="U779" s="16" t="n">
        <v>85</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6" t="n">
        <v>48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6" t="n">
        <v>481</v>
      </c>
      <c r="U781" s="16" t="n">
        <v>85</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6" t="n">
        <v>48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6" t="n">
        <v>481</v>
      </c>
      <c r="U783" s="16" t="n">
        <v>85</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6" t="n">
        <v>48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481</v>
      </c>
      <c r="U785" s="16" t="n">
        <v>85</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6" t="n">
        <v>48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6" t="n">
        <v>481</v>
      </c>
      <c r="U787" s="16" t="n">
        <v>85</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6" t="n">
        <v>48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6" t="n">
        <v>481</v>
      </c>
      <c r="U789" s="16" t="n">
        <v>85</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479</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6" t="n">
        <v>479</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6" t="n">
        <v>479</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479</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6" t="n">
        <v>68</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6" t="n">
        <v>479</v>
      </c>
      <c r="U799" s="16" t="n">
        <v>84</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6" t="n">
        <v>68</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6" t="n">
        <v>479</v>
      </c>
      <c r="U801" s="16" t="n">
        <v>84</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6" t="n">
        <v>68</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481</v>
      </c>
      <c r="U803" s="16" t="n">
        <v>84</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68</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481</v>
      </c>
      <c r="U805" s="16" t="n">
        <v>84</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6" t="n">
        <v>68</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481</v>
      </c>
      <c r="U807" s="16" t="n">
        <v>84</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6" t="n">
        <v>68</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6" t="n">
        <v>481</v>
      </c>
      <c r="U809" s="16" t="n">
        <v>84</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6" t="n">
        <v>68</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6" t="n">
        <v>481</v>
      </c>
      <c r="U811" s="16" t="n">
        <v>84</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6" t="n">
        <v>68</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6" t="n">
        <v>481</v>
      </c>
      <c r="U813" s="16" t="n">
        <v>84</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6" t="n">
        <v>45</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277</v>
      </c>
      <c r="U815" s="16" t="n">
        <v>97</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45</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277</v>
      </c>
      <c r="U817" s="16" t="n">
        <v>97</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6" t="n">
        <v>45</v>
      </c>
      <c r="U818" s="16" t="n">
        <v>10</v>
      </c>
      <c r="V818" s="16">
        <f>ROUNDUP((T818+U818+2*'Read Me'!$B$13)*(1+'Read Me'!$B$12),-1)</f>
        <v/>
      </c>
      <c r="W818" s="16">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6" t="n">
        <v>273</v>
      </c>
      <c r="U819" s="16" t="n">
        <v>93</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6" t="n">
        <v>45</v>
      </c>
      <c r="U820" s="16" t="n">
        <v>10</v>
      </c>
      <c r="V820" s="16">
        <f>ROUNDUP((T820+U820+2*'Read Me'!$B$13)*(1+'Read Me'!$B$12),-1)</f>
        <v/>
      </c>
      <c r="W820" s="16">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6" t="n">
        <v>273</v>
      </c>
      <c r="U821" s="16" t="n">
        <v>93</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6" t="n">
        <v>45</v>
      </c>
      <c r="U822" s="16" t="n">
        <v>10</v>
      </c>
      <c r="V822" s="16">
        <f>ROUNDUP((T822+U822+2*'Read Me'!$B$13)*(1+'Read Me'!$B$12),-1)</f>
        <v/>
      </c>
      <c r="W822" s="16">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6" t="n">
        <v>277</v>
      </c>
      <c r="U823" s="16" t="n">
        <v>97</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6" t="n">
        <v>45</v>
      </c>
      <c r="U824" s="16" t="n">
        <v>10</v>
      </c>
      <c r="V824" s="16">
        <f>ROUNDUP((T824+U824+2*'Read Me'!$B$13)*(1+'Read Me'!$B$12),-1)</f>
        <v/>
      </c>
      <c r="W824" s="16">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6" t="n">
        <v>277</v>
      </c>
      <c r="U825" s="16" t="n">
        <v>97</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6" t="n">
        <v>75</v>
      </c>
      <c r="U826" s="16" t="n">
        <v>10</v>
      </c>
      <c r="V826" s="16">
        <f>ROUNDUP((T826+U826+2*'Read Me'!$B$13)*(1+'Read Me'!$B$12),-1)</f>
        <v/>
      </c>
      <c r="W826" s="16">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6" t="n">
        <v>258</v>
      </c>
      <c r="U827" s="16" t="n">
        <v>35</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6" t="n">
        <v>75</v>
      </c>
      <c r="U828" s="16" t="n">
        <v>10</v>
      </c>
      <c r="V828" s="16">
        <f>ROUNDUP((T828+U828+2*'Read Me'!$B$13)*(1+'Read Me'!$B$12),-1)</f>
        <v/>
      </c>
      <c r="W828" s="16">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6" t="n">
        <v>258</v>
      </c>
      <c r="U829" s="16" t="n">
        <v>35</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6" t="n">
        <v>53</v>
      </c>
      <c r="U830" s="16" t="n">
        <v>10</v>
      </c>
      <c r="V830" s="16">
        <f>ROUNDUP((T830+U830+2*'Read Me'!$B$13)*(1+'Read Me'!$B$12),-1)</f>
        <v/>
      </c>
      <c r="W830" s="16">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6" t="n">
        <v>67</v>
      </c>
      <c r="U831" s="16" t="n">
        <v>89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6" t="n">
        <v>53</v>
      </c>
      <c r="U832" s="16" t="n">
        <v>10</v>
      </c>
      <c r="V832" s="16">
        <f>ROUNDUP((T832+U832+2*'Read Me'!$B$13)*(1+'Read Me'!$B$12),-1)</f>
        <v/>
      </c>
      <c r="W832" s="16">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6" t="n">
        <v>67</v>
      </c>
      <c r="U833" s="16" t="n">
        <v>89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6" t="n">
        <v>403</v>
      </c>
      <c r="U834" s="16" t="n">
        <v>119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6" t="n">
        <v>403</v>
      </c>
      <c r="U835" s="16" t="n">
        <v>119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403</v>
      </c>
      <c r="U836" s="16" t="n">
        <v>119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403</v>
      </c>
      <c r="U837" s="16" t="n">
        <v>119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6" t="n">
        <v>403</v>
      </c>
      <c r="U838" s="16" t="n">
        <v>119</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6" t="n">
        <v>403</v>
      </c>
      <c r="U839" s="16" t="n">
        <v>119</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6" t="n">
        <v>403</v>
      </c>
      <c r="U840" s="16" t="n">
        <v>119</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6" t="n">
        <v>403</v>
      </c>
      <c r="U841" s="16" t="n">
        <v>119</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6" t="n">
        <v>403</v>
      </c>
      <c r="U842" s="16" t="n">
        <v>119</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6" t="n">
        <v>403</v>
      </c>
      <c r="U843" s="16" t="n">
        <v>119</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6" t="n">
        <v>1277</v>
      </c>
      <c r="U844" s="16" t="n">
        <v>209</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6" t="n">
        <v>1277</v>
      </c>
      <c r="U845" s="16" t="n">
        <v>209</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6" t="n">
        <v>1277</v>
      </c>
      <c r="U846" s="16" t="n">
        <v>209</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6" t="n">
        <v>1277</v>
      </c>
      <c r="U847" s="16" t="n">
        <v>209</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6" t="n">
        <v>1277</v>
      </c>
      <c r="U848" s="16" t="n">
        <v>209</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6" t="n">
        <v>1277</v>
      </c>
      <c r="U849" s="16" t="n">
        <v>209</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6" t="n">
        <v>1277</v>
      </c>
      <c r="U850" s="16" t="n">
        <v>209</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6" t="n">
        <v>1277</v>
      </c>
      <c r="U851" s="16" t="n">
        <v>209</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6" t="n">
        <v>1277</v>
      </c>
      <c r="U852" s="16" t="n">
        <v>209</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6" t="n">
        <v>1277</v>
      </c>
      <c r="U853" s="16" t="n">
        <v>209</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6" t="n">
        <v>1214</v>
      </c>
      <c r="U854" s="16" t="n">
        <v>102</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6" t="n">
        <v>1214</v>
      </c>
      <c r="U855" s="16" t="n">
        <v>102</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6" t="n">
        <v>1214</v>
      </c>
      <c r="U856" s="16" t="n">
        <v>102</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6" t="n">
        <v>1214</v>
      </c>
      <c r="U857" s="16" t="n">
        <v>102</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6" t="n">
        <v>1214</v>
      </c>
      <c r="U858" s="16" t="n">
        <v>102</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6" t="n">
        <v>1214</v>
      </c>
      <c r="U859" s="16" t="n">
        <v>102</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6" t="n">
        <v>1214</v>
      </c>
      <c r="U860" s="16" t="n">
        <v>102</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6" t="n">
        <v>1214</v>
      </c>
      <c r="U861" s="16" t="n">
        <v>102</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6" t="n">
        <v>1214</v>
      </c>
      <c r="U862" s="16" t="n">
        <v>102</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6" t="n">
        <v>1214</v>
      </c>
      <c r="U863" s="16" t="n">
        <v>102</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41</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366</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41</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366</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41</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1240</v>
      </c>
      <c r="U869" s="16" t="n">
        <v>196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6" t="n">
        <v>41</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1240</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6" t="n">
        <v>41</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6" t="n">
        <v>1260</v>
      </c>
      <c r="U873" s="16" t="n">
        <v>148</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6" t="n">
        <v>41</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6" t="n">
        <v>1260</v>
      </c>
      <c r="U875" s="16" t="n">
        <v>148</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41</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6" t="n">
        <v>392</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41</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6" t="n">
        <v>392</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6" t="n">
        <v>373</v>
      </c>
      <c r="U881" s="16" t="n">
        <v>106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6" t="n">
        <v>140</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373</v>
      </c>
      <c r="U883" s="16" t="n">
        <v>106</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6" t="n">
        <v>140</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373</v>
      </c>
      <c r="U885" s="16" t="n">
        <v>106</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6" t="n">
        <v>140</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1247</v>
      </c>
      <c r="U887" s="16" t="n">
        <v>196</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140</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1247</v>
      </c>
      <c r="U889" s="16" t="n">
        <v>196</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6" t="n">
        <v>140</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1247</v>
      </c>
      <c r="U891" s="16" t="n">
        <v>196</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6" t="n">
        <v>140</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6" t="n">
        <v>1193</v>
      </c>
      <c r="U893" s="16" t="n">
        <v>96</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140</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6" t="n">
        <v>1193</v>
      </c>
      <c r="U895" s="16" t="n">
        <v>96</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6" t="n">
        <v>140</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6" t="n">
        <v>1193</v>
      </c>
      <c r="U897" s="16" t="n">
        <v>96</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6" t="n">
        <v>54</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6" t="n">
        <v>210</v>
      </c>
      <c r="U899" s="16" t="n">
        <v>104</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54</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210</v>
      </c>
      <c r="U901" s="16" t="n">
        <v>104</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6" t="n">
        <v>54</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6" t="n">
        <v>1102</v>
      </c>
      <c r="U903" s="16" t="n">
        <v>198</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6" t="n">
        <v>54</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6" t="n">
        <v>1102</v>
      </c>
      <c r="U905" s="16" t="n">
        <v>198</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6" t="n">
        <v>54</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6" t="n">
        <v>908</v>
      </c>
      <c r="U907" s="16" t="n">
        <v>238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6" t="n">
        <v>54</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6" t="n">
        <v>908</v>
      </c>
      <c r="U909" s="16" t="n">
        <v>238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6" t="n">
        <v>47</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6" t="n">
        <v>373</v>
      </c>
      <c r="U911" s="16" t="n">
        <v>118</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6" t="n">
        <v>47</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6" t="n">
        <v>1247</v>
      </c>
      <c r="U913" s="16" t="n">
        <v>208</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6" t="n">
        <v>47</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6" t="n">
        <v>1193</v>
      </c>
      <c r="U915" s="16" t="n">
        <v>97</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6" t="n">
        <v>47</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366</v>
      </c>
      <c r="U917" s="16" t="n">
        <v>111</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6" t="n">
        <v>70</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6" t="n">
        <v>220</v>
      </c>
      <c r="U919" s="16" t="n">
        <v>94</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6" t="n">
        <v>70</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6" t="n">
        <v>220</v>
      </c>
      <c r="U921" s="16" t="n">
        <v>94</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6" t="n">
        <v>70</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6" t="n">
        <v>1124</v>
      </c>
      <c r="U923" s="16" t="n">
        <v>188</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6" t="n">
        <v>70</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6" t="n">
        <v>1124</v>
      </c>
      <c r="U925" s="16" t="n">
        <v>188</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6" t="n">
        <v>70</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6" t="n">
        <v>896</v>
      </c>
      <c r="U927" s="16" t="n">
        <v>212</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6" t="n">
        <v>70</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6" t="n">
        <v>896</v>
      </c>
      <c r="U929" s="16" t="n">
        <v>212</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6" t="n">
        <v>55</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6" t="n">
        <v>72</v>
      </c>
      <c r="U931" s="16" t="n">
        <v>139</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6" t="n">
        <v>55</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6" t="n">
        <v>72</v>
      </c>
      <c r="U933" s="16" t="n">
        <v>139</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6" t="n">
        <v>416</v>
      </c>
      <c r="U935" s="16" t="n">
        <v>181</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6" t="n">
        <v>416</v>
      </c>
      <c r="U937" s="16" t="n">
        <v>181</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6" t="n">
        <v>419</v>
      </c>
      <c r="U939" s="16" t="n">
        <v>179</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6" t="n">
        <v>419</v>
      </c>
      <c r="U941" s="16" t="n">
        <v>179</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6" t="n">
        <v>1290</v>
      </c>
      <c r="U943" s="16" t="n">
        <v>271</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6" t="n">
        <v>1290</v>
      </c>
      <c r="U945" s="16" t="n">
        <v>271</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83</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1423</v>
      </c>
      <c r="U947" s="16" t="n">
        <v>113</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83</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1423</v>
      </c>
      <c r="U949" s="16" t="n">
        <v>113</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6" t="n">
        <v>63</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6" t="n">
        <v>1140</v>
      </c>
      <c r="U951" s="16" t="n">
        <v>110</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6" t="n">
        <v>63</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6" t="n">
        <v>1140</v>
      </c>
      <c r="U953" s="16" t="n">
        <v>110</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6" t="n">
        <v>83</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6" t="n">
        <v>1103</v>
      </c>
      <c r="U955" s="16" t="n">
        <v>113</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6" t="n">
        <v>83</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6" t="n">
        <v>1103</v>
      </c>
      <c r="U957" s="16" t="n">
        <v>113</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6" t="n">
        <v>63</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6" t="n">
        <v>463</v>
      </c>
      <c r="U959" s="16" t="n">
        <v>35</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6" t="n">
        <v>63</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6" t="n">
        <v>463</v>
      </c>
      <c r="U961" s="16" t="n">
        <v>35</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6" t="n">
        <v>89</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6" t="n">
        <v>408</v>
      </c>
      <c r="U963" s="16" t="n">
        <v>32</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6" t="n">
        <v>89</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6" t="n">
        <v>408</v>
      </c>
      <c r="U965" s="16" t="n">
        <v>32</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62</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224</v>
      </c>
      <c r="U967" s="16" t="n">
        <v>119</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62</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224</v>
      </c>
      <c r="U969" s="16" t="n">
        <v>119</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62</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224</v>
      </c>
      <c r="U971" s="16" t="n">
        <v>119</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62</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224</v>
      </c>
      <c r="U973" s="16" t="n">
        <v>119</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6" t="n">
        <v>132</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359</v>
      </c>
      <c r="U975" s="16" t="n">
        <v>109</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6" t="n">
        <v>132</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6" t="n">
        <v>359</v>
      </c>
      <c r="U977" s="16" t="n">
        <v>109</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6" t="n">
        <v>154</v>
      </c>
      <c r="U989" s="16" t="n">
        <v>103</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6" t="n">
        <v>154</v>
      </c>
      <c r="U991" s="16" t="n">
        <v>103</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6" t="n">
        <v>96</v>
      </c>
      <c r="U992" s="16" t="n">
        <v>10</v>
      </c>
      <c r="V992" s="16">
        <f>ROUNDUP((T992+U992+2*'Read Me'!$B$13)*(1+'Read Me'!$B$12),-1)</f>
        <v/>
      </c>
      <c r="W992" s="16">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6" t="n">
        <v>154</v>
      </c>
      <c r="U993" s="16" t="n">
        <v>103</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6" t="n">
        <v>96</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154</v>
      </c>
      <c r="U995" s="16" t="n">
        <v>103</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6" t="n">
        <v>96</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6" t="n">
        <v>154</v>
      </c>
      <c r="U997" s="16" t="n">
        <v>103</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6" t="n">
        <v>96</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6" t="n">
        <v>154</v>
      </c>
      <c r="U999" s="16" t="n">
        <v>103</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6" t="n">
        <v>96</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6" t="n">
        <v>154</v>
      </c>
      <c r="U1001" s="16" t="n">
        <v>103</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6" t="n">
        <v>96</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6" t="n">
        <v>154</v>
      </c>
      <c r="U1003" s="16" t="n">
        <v>103</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6" t="n">
        <v>154</v>
      </c>
      <c r="U1004" s="16" t="n">
        <v>103</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62</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1116</v>
      </c>
      <c r="U1006" s="16" t="n">
        <v>213</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62</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1116</v>
      </c>
      <c r="U1008" s="16" t="n">
        <v>213</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62</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1116</v>
      </c>
      <c r="U1010" s="16" t="n">
        <v>213</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62</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1116</v>
      </c>
      <c r="U1012" s="16" t="n">
        <v>213</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6" t="n">
        <v>132</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1233</v>
      </c>
      <c r="U1014" s="16" t="n">
        <v>199</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6" t="n">
        <v>132</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6" t="n">
        <v>1233</v>
      </c>
      <c r="U1016" s="16" t="n">
        <v>199</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6" t="n">
        <v>1046</v>
      </c>
      <c r="U1028" s="16" t="n">
        <v>197</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6" t="n">
        <v>1046</v>
      </c>
      <c r="U1030" s="16" t="n">
        <v>197</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6" t="n">
        <v>96</v>
      </c>
      <c r="U1031" s="16" t="n">
        <v>10</v>
      </c>
      <c r="V1031" s="16">
        <f>ROUNDUP((T1031+U1031+2*'Read Me'!$B$13)*(1+'Read Me'!$B$12),-1)</f>
        <v/>
      </c>
      <c r="W1031" s="16">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6" t="n">
        <v>1046</v>
      </c>
      <c r="U1032" s="16" t="n">
        <v>197</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6" t="n">
        <v>96</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6" t="n">
        <v>1046</v>
      </c>
      <c r="U1034" s="16" t="n">
        <v>197</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6" t="n">
        <v>96</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6" t="n">
        <v>1046</v>
      </c>
      <c r="U1036" s="16" t="n">
        <v>197</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6" t="n">
        <v>96</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6" t="n">
        <v>1046</v>
      </c>
      <c r="U1038" s="16" t="n">
        <v>197</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6" t="n">
        <v>96</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6" t="n">
        <v>1046</v>
      </c>
      <c r="U1040" s="16" t="n">
        <v>197</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6" t="n">
        <v>96</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6" t="n">
        <v>1046</v>
      </c>
      <c r="U1042" s="16" t="n">
        <v>197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6" t="n">
        <v>1046</v>
      </c>
      <c r="U1043" s="16" t="n">
        <v>197</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62</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926</v>
      </c>
      <c r="U1045" s="16" t="n">
        <v>248</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62</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926</v>
      </c>
      <c r="U1047" s="16" t="n">
        <v>248</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62</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926</v>
      </c>
      <c r="U1049" s="16" t="n">
        <v>248</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62</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926</v>
      </c>
      <c r="U1051" s="16" t="n">
        <v>248</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6" t="n">
        <v>132</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6" t="n">
        <v>1135</v>
      </c>
      <c r="U1053" s="16" t="n">
        <v>96</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6" t="n">
        <v>132</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6" t="n">
        <v>1135</v>
      </c>
      <c r="U1055" s="16" t="n">
        <v>96</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6" t="n">
        <v>96</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6" t="n">
        <v>986</v>
      </c>
      <c r="U1067" s="16" t="n">
        <v>249</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6" t="n">
        <v>96</v>
      </c>
      <c r="U1068" s="16" t="n">
        <v>10</v>
      </c>
      <c r="V1068" s="16">
        <f>ROUNDUP((T1068+U1068+2*'Read Me'!$B$13)*(1+'Read Me'!$B$12),-1)</f>
        <v/>
      </c>
      <c r="W1068" s="16">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6" t="n">
        <v>986</v>
      </c>
      <c r="U1069" s="16" t="n">
        <v>249</v>
      </c>
      <c r="V1069" s="16">
        <f>ROUNDUP((T1069+U1069+2*'Read Me'!$B$13)*(1+'Read Me'!$B$12),-1)</f>
        <v/>
      </c>
      <c r="W1069" s="16">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6" t="n">
        <v>96</v>
      </c>
      <c r="U1070" s="16" t="n">
        <v>10</v>
      </c>
      <c r="V1070" s="16">
        <f>ROUNDUP((T1070+U1070+2*'Read Me'!$B$13)*(1+'Read Me'!$B$12),-1)</f>
        <v/>
      </c>
      <c r="W1070" s="16">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6" t="n">
        <v>986</v>
      </c>
      <c r="U1071" s="16" t="n">
        <v>249</v>
      </c>
      <c r="V1071" s="16">
        <f>ROUNDUP((T1071+U1071+2*'Read Me'!$B$13)*(1+'Read Me'!$B$12),-1)</f>
        <v/>
      </c>
      <c r="W1071" s="16">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6" t="n">
        <v>96</v>
      </c>
      <c r="U1072" s="16" t="n">
        <v>10</v>
      </c>
      <c r="V1072" s="16">
        <f>ROUNDUP((T1072+U1072+2*'Read Me'!$B$13)*(1+'Read Me'!$B$12),-1)</f>
        <v/>
      </c>
      <c r="W1072" s="16">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6" t="n">
        <v>986</v>
      </c>
      <c r="U1073" s="16" t="n">
        <v>249</v>
      </c>
      <c r="V1073" s="16">
        <f>ROUNDUP((T1073+U1073+2*'Read Me'!$B$13)*(1+'Read Me'!$B$12),-1)</f>
        <v/>
      </c>
      <c r="W1073" s="16">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6" t="n">
        <v>96</v>
      </c>
      <c r="U1074" s="16" t="n">
        <v>10</v>
      </c>
      <c r="V1074" s="16">
        <f>ROUNDUP((T1074+U1074+2*'Read Me'!$B$13)*(1+'Read Me'!$B$12),-1)</f>
        <v/>
      </c>
      <c r="W1074" s="16">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6" t="n">
        <v>986</v>
      </c>
      <c r="U1075" s="16" t="n">
        <v>249</v>
      </c>
      <c r="V1075" s="16">
        <f>ROUNDUP((T1075+U1075+2*'Read Me'!$B$13)*(1+'Read Me'!$B$12),-1)</f>
        <v/>
      </c>
      <c r="W1075" s="16">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6" t="n">
        <v>96</v>
      </c>
      <c r="U1076" s="16" t="n">
        <v>10</v>
      </c>
      <c r="V1076" s="16">
        <f>ROUNDUP((T1076+U1076+2*'Read Me'!$B$13)*(1+'Read Me'!$B$12),-1)</f>
        <v/>
      </c>
      <c r="W1076" s="16">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6" t="n">
        <v>986</v>
      </c>
      <c r="U1077" s="16" t="n">
        <v>249</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6" t="n">
        <v>96</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6" t="n">
        <v>986</v>
      </c>
      <c r="U1079" s="16" t="n">
        <v>249</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6" t="n">
        <v>96</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6" t="n">
        <v>986</v>
      </c>
      <c r="U1081" s="16" t="n">
        <v>249</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6" t="n">
        <v>986</v>
      </c>
      <c r="U1082" s="16" t="n">
        <v>249</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70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367</v>
      </c>
      <c r="U1084" s="16" t="n">
        <v>127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70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367</v>
      </c>
      <c r="U1086" s="16" t="n">
        <v>127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6" t="n">
        <v>70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6" t="n">
        <v>367</v>
      </c>
      <c r="U1088" s="16" t="n">
        <v>127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6" t="n">
        <v>367</v>
      </c>
      <c r="U1090" s="16" t="n">
        <v>127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6" t="n">
        <v>367</v>
      </c>
      <c r="U1092" s="16" t="n">
        <v>127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6" t="n">
        <v>367</v>
      </c>
      <c r="U1093" s="16" t="n">
        <v>127</v>
      </c>
      <c r="V1093" s="16">
        <f>ROUNDUP((T1093+U1093+2*'Read Me'!$B$13)*(1+'Read Me'!$B$12),-1)</f>
        <v/>
      </c>
      <c r="W1093" s="16">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6" t="n">
        <v>70</v>
      </c>
      <c r="U1094" s="16" t="n">
        <v>10</v>
      </c>
      <c r="V1094" s="16">
        <f>ROUNDUP((T1094+U1094+2*'Read Me'!$B$13)*(1+'Read Me'!$B$12),-1)</f>
        <v/>
      </c>
      <c r="W1094" s="16">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6" t="n">
        <v>1241</v>
      </c>
      <c r="U1095" s="16" t="n">
        <v>217</v>
      </c>
      <c r="V1095" s="16">
        <f>ROUNDUP((T1095+U1095+2*'Read Me'!$B$13)*(1+'Read Me'!$B$12),-1)</f>
        <v/>
      </c>
      <c r="W1095" s="16">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6" t="n">
        <v>70</v>
      </c>
      <c r="U1096" s="16" t="n">
        <v>10</v>
      </c>
      <c r="V1096" s="16">
        <f>ROUNDUP((T1096+U1096+2*'Read Me'!$B$13)*(1+'Read Me'!$B$12),-1)</f>
        <v/>
      </c>
      <c r="W1096" s="16">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6" t="n">
        <v>1241</v>
      </c>
      <c r="U1097" s="16" t="n">
        <v>217</v>
      </c>
      <c r="V1097" s="16">
        <f>ROUNDUP((T1097+U1097+2*'Read Me'!$B$13)*(1+'Read Me'!$B$12),-1)</f>
        <v/>
      </c>
      <c r="W1097" s="16">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6" t="n">
        <v>70</v>
      </c>
      <c r="U1098" s="16" t="n">
        <v>10</v>
      </c>
      <c r="V1098" s="16">
        <f>ROUNDUP((T1098+U1098+2*'Read Me'!$B$13)*(1+'Read Me'!$B$12),-1)</f>
        <v/>
      </c>
      <c r="W1098" s="16">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6" t="n">
        <v>1241</v>
      </c>
      <c r="U1099" s="16" t="n">
        <v>217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6" t="n">
        <v>70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6" t="n">
        <v>1241</v>
      </c>
      <c r="U1101" s="16" t="n">
        <v>217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6" t="n">
        <v>70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6" t="n">
        <v>1241</v>
      </c>
      <c r="U1103" s="16" t="n">
        <v>217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6" t="n">
        <v>1241</v>
      </c>
      <c r="U1104" s="16" t="n">
        <v>217</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70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6" t="n">
        <v>1193</v>
      </c>
      <c r="U1106" s="16" t="n">
        <v>117</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70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6" t="n">
        <v>1193</v>
      </c>
      <c r="U1108" s="16" t="n">
        <v>117</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6" t="n">
        <v>70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6" t="n">
        <v>1193</v>
      </c>
      <c r="U1110" s="16" t="n">
        <v>117</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6" t="n">
        <v>70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6" t="n">
        <v>1193</v>
      </c>
      <c r="U1112" s="16" t="n">
        <v>117</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6" t="n">
        <v>70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6" t="n">
        <v>1193</v>
      </c>
      <c r="U1114" s="16" t="n">
        <v>117</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6" t="n">
        <v>1193</v>
      </c>
      <c r="U1115" s="16" t="n">
        <v>117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6" t="n">
        <v>180</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0</v>
      </c>
      <c r="U1133" s="16" t="n">
        <v>87</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6" t="n">
        <v>180</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0</v>
      </c>
      <c r="U1135" s="16" t="n">
        <v>87</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6" t="n">
        <v>180</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0</v>
      </c>
      <c r="U1137" s="16" t="n">
        <v>87</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6" t="n">
        <v>180</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0</v>
      </c>
      <c r="U1139" s="16" t="n">
        <v>87</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6" t="n">
        <v>180</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6" t="n">
        <v>0</v>
      </c>
      <c r="U1141" s="16" t="n">
        <v>87</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6" t="n">
        <v>180</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6" t="n">
        <v>0</v>
      </c>
      <c r="U1143" s="16" t="n">
        <v>87</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6" t="n">
        <v>180</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6" t="n">
        <v>0</v>
      </c>
      <c r="U1145" s="16" t="n">
        <v>87</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6" t="n">
        <v>0</v>
      </c>
      <c r="U1147" s="16" t="n">
        <v>87</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6" t="n">
        <v>43</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38</v>
      </c>
      <c r="U1149" s="16" t="n">
        <v>86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6" t="n">
        <v>43</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38</v>
      </c>
      <c r="U1151" s="16" t="n">
        <v>86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6" t="n">
        <v>42</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404</v>
      </c>
      <c r="U1153" s="16" t="n">
        <v>108</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6" t="n">
        <v>42</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404</v>
      </c>
      <c r="U1155" s="16" t="n">
        <v>108</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6" t="n">
        <v>106</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6" t="n">
        <v>400</v>
      </c>
      <c r="U1157" s="16" t="n">
        <v>84</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6" t="n">
        <v>106</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6" t="n">
        <v>400</v>
      </c>
      <c r="U1159" s="16" t="n">
        <v>84</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6" t="n">
        <v>106</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6" t="n">
        <v>400</v>
      </c>
      <c r="U1161" s="16" t="n">
        <v>84</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6" t="n">
        <v>180</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53</v>
      </c>
      <c r="U1179" s="16" t="n">
        <v>96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6" t="n">
        <v>180</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53</v>
      </c>
      <c r="U1181" s="16" t="n">
        <v>96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6" t="n">
        <v>180</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53</v>
      </c>
      <c r="U1183" s="16" t="n">
        <v>96</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6" t="n">
        <v>180</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53</v>
      </c>
      <c r="U1185" s="16" t="n">
        <v>96</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6" t="n">
        <v>180</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6" t="n">
        <v>53</v>
      </c>
      <c r="U1187" s="16" t="n">
        <v>96</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6" t="n">
        <v>180</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6" t="n">
        <v>53</v>
      </c>
      <c r="U1189" s="16" t="n">
        <v>96</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6" t="n">
        <v>180</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6" t="n">
        <v>53</v>
      </c>
      <c r="U1191" s="16" t="n">
        <v>96</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6" t="n">
        <v>53</v>
      </c>
      <c r="U1193" s="16" t="n">
        <v>96</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6" t="n">
        <v>43</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38</v>
      </c>
      <c r="U1195" s="16" t="n">
        <v>86</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6" t="n">
        <v>43</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38</v>
      </c>
      <c r="U1197" s="16" t="n">
        <v>86</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6" t="n">
        <v>42</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404</v>
      </c>
      <c r="U1199" s="16" t="n">
        <v>108</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6" t="n">
        <v>42</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404</v>
      </c>
      <c r="U1201" s="16" t="n">
        <v>108</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6" t="n">
        <v>106</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6" t="n">
        <v>400</v>
      </c>
      <c r="U1203" s="16" t="n">
        <v>84</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6" t="n">
        <v>106</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6" t="n">
        <v>400</v>
      </c>
      <c r="U1205" s="16" t="n">
        <v>84</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6" t="n">
        <v>106</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6" t="n">
        <v>400</v>
      </c>
      <c r="U1207" s="16" t="n">
        <v>84</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6" t="n">
        <v>180</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0</v>
      </c>
      <c r="U1225" s="16" t="n">
        <v>87</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180</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0</v>
      </c>
      <c r="U1227" s="16" t="n">
        <v>87</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6" t="n">
        <v>180</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0</v>
      </c>
      <c r="U1229" s="16" t="n">
        <v>87</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180</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0</v>
      </c>
      <c r="U1231" s="16" t="n">
        <v>87</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6" t="n">
        <v>180</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6" t="n">
        <v>0</v>
      </c>
      <c r="U1233" s="16" t="n">
        <v>87</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6" t="n">
        <v>180</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6" t="n">
        <v>0</v>
      </c>
      <c r="U1235" s="16" t="n">
        <v>87</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6" t="n">
        <v>180</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6" t="n">
        <v>0</v>
      </c>
      <c r="U1237" s="16" t="n">
        <v>87</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6" t="n">
        <v>180</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6" t="n">
        <v>0</v>
      </c>
      <c r="U1239" s="16" t="n">
        <v>87</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6" t="n">
        <v>43</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38</v>
      </c>
      <c r="U1241" s="16" t="n">
        <v>86</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6" t="n">
        <v>43</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38</v>
      </c>
      <c r="U1243" s="16" t="n">
        <v>86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6" t="n">
        <v>42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404</v>
      </c>
      <c r="U1245" s="16" t="n">
        <v>108</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6" t="n">
        <v>42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404</v>
      </c>
      <c r="U1247" s="16" t="n">
        <v>108</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6" t="n">
        <v>106</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6" t="n">
        <v>400</v>
      </c>
      <c r="U1249" s="16" t="n">
        <v>84</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6" t="n">
        <v>106</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6" t="n">
        <v>400</v>
      </c>
      <c r="U1251" s="16" t="n">
        <v>84</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6" t="n">
        <v>106</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6" t="n">
        <v>400</v>
      </c>
      <c r="U1253" s="16" t="n">
        <v>84</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6" t="n">
        <v>41</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718</v>
      </c>
      <c r="U1255" s="16" t="n">
        <v>124</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6" t="n">
        <v>41</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6" t="n">
        <v>718</v>
      </c>
      <c r="U1257" s="16" t="n">
        <v>124</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6" t="n">
        <v>41</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718</v>
      </c>
      <c r="U1259" s="16" t="n">
        <v>146</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6" t="n">
        <v>41</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718</v>
      </c>
      <c r="U1261" s="16" t="n">
        <v>146</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43</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359</v>
      </c>
      <c r="U1263" s="16" t="n">
        <v>120</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43</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359</v>
      </c>
      <c r="U1265" s="16" t="n">
        <v>120</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43</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1233</v>
      </c>
      <c r="U1267" s="16" t="n">
        <v>210</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43</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6" t="n">
        <v>1233</v>
      </c>
      <c r="U1269" s="16" t="n">
        <v>210</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6" t="n">
        <v>43</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6" t="n">
        <v>1229</v>
      </c>
      <c r="U1271" s="16" t="n">
        <v>198</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43</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6" t="n">
        <v>1229</v>
      </c>
      <c r="U1273" s="16" t="n">
        <v>198</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6" t="n">
        <v>43</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6" t="n">
        <v>392</v>
      </c>
      <c r="U1275" s="16" t="n">
        <v>105</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43</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6" t="n">
        <v>392</v>
      </c>
      <c r="U1277" s="16" t="n">
        <v>105</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6" t="n">
        <v>0</v>
      </c>
      <c r="U1278" s="16" t="n">
        <v>73</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6" t="n">
        <v>0</v>
      </c>
      <c r="U1279" s="16" t="n">
        <v>109</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6" t="n">
        <v>667</v>
      </c>
      <c r="U1280" s="16" t="n">
        <v>144</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6" t="n">
        <v>51</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404</v>
      </c>
      <c r="U1282" s="16" t="n">
        <v>72</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6" t="n">
        <v>51</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404</v>
      </c>
      <c r="U1284" s="16" t="n">
        <v>72</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6" t="n">
        <v>51</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404</v>
      </c>
      <c r="U1286" s="16" t="n">
        <v>72</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6" t="n">
        <v>51</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404</v>
      </c>
      <c r="U1288" s="16" t="n">
        <v>72</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6" t="n">
        <v>51</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6" t="n">
        <v>404</v>
      </c>
      <c r="U1290" s="16" t="n">
        <v>72</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6" t="n">
        <v>51</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6" t="n">
        <v>404</v>
      </c>
      <c r="U1292" s="16" t="n">
        <v>72</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6" t="n">
        <v>54</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6" t="n">
        <v>359</v>
      </c>
      <c r="U1294" s="16" t="n">
        <v>147</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6" t="n">
        <v>54</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6" t="n">
        <v>359</v>
      </c>
      <c r="U1296" s="16" t="n">
        <v>147</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6" t="n">
        <v>54</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6" t="n">
        <v>1233</v>
      </c>
      <c r="U1298" s="16" t="n">
        <v>237</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54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6" t="n">
        <v>1233</v>
      </c>
      <c r="U1300" s="16" t="n">
        <v>237</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54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987</v>
      </c>
      <c r="U1302" s="16" t="n">
        <v>184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54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987</v>
      </c>
      <c r="U1304" s="16" t="n">
        <v>184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6" t="n">
        <v>52</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6" t="n">
        <v>403</v>
      </c>
      <c r="U1306" s="16" t="n">
        <v>138</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6" t="n">
        <v>52</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6" t="n">
        <v>403</v>
      </c>
      <c r="U1308" s="16" t="n">
        <v>138</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6" t="n">
        <v>52</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6" t="n">
        <v>1277</v>
      </c>
      <c r="U1310" s="16" t="n">
        <v>228</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6" t="n">
        <v>52</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6" t="n">
        <v>1277</v>
      </c>
      <c r="U1312" s="16" t="n">
        <v>228</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6" t="n">
        <v>52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6" t="n">
        <v>1214</v>
      </c>
      <c r="U1314" s="16" t="n">
        <v>126</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6" t="n">
        <v>52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6" t="n">
        <v>1214</v>
      </c>
      <c r="U1316" s="16" t="n">
        <v>126</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6" t="n">
        <v>40</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395</v>
      </c>
      <c r="U1318" s="16" t="n">
        <v>124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6" t="n">
        <v>40</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395</v>
      </c>
      <c r="U1320" s="16" t="n">
        <v>124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6" t="n">
        <v>40</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6" t="n">
        <v>1269</v>
      </c>
      <c r="U1322" s="16" t="n">
        <v>214</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40</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6" t="n">
        <v>1269</v>
      </c>
      <c r="U1324" s="16" t="n">
        <v>214</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6" t="n">
        <v>40</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1193</v>
      </c>
      <c r="U1326" s="16" t="n">
        <v>114</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40</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1193</v>
      </c>
      <c r="U1328" s="16" t="n">
        <v>114</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62</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6" t="n">
        <v>67</v>
      </c>
      <c r="U1330" s="16" t="n">
        <v>84</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6" t="n">
        <v>62</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6" t="n">
        <v>67</v>
      </c>
      <c r="U1332" s="16" t="n">
        <v>84</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62</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6" t="n">
        <v>67</v>
      </c>
      <c r="U1334" s="16" t="n">
        <v>84</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62</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6" t="n">
        <v>67</v>
      </c>
      <c r="U1336" s="16" t="n">
        <v>84</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6" t="n">
        <v>119</v>
      </c>
      <c r="U1351" s="16" t="n">
        <v>10</v>
      </c>
      <c r="V1351" s="16">
        <f>ROUNDUP((T1351+U1351+2*'Read Me'!$B$13)*(1+'Read Me'!$B$12),-1)</f>
        <v/>
      </c>
      <c r="W1351" s="16">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6" t="n">
        <v>12</v>
      </c>
      <c r="U1352" s="16" t="n">
        <v>50</v>
      </c>
      <c r="V1352" s="16">
        <f>ROUNDUP((T1352+U1352+2*'Read Me'!$B$13)*(1+'Read Me'!$B$12),-1)</f>
        <v/>
      </c>
      <c r="W1352" s="16">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6" t="n">
        <v>119</v>
      </c>
      <c r="U1353" s="16" t="n">
        <v>10</v>
      </c>
      <c r="V1353" s="16">
        <f>ROUNDUP((T1353+U1353+2*'Read Me'!$B$13)*(1+'Read Me'!$B$12),-1)</f>
        <v/>
      </c>
      <c r="W1353" s="16">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6" t="n">
        <v>12</v>
      </c>
      <c r="U1354" s="16" t="n">
        <v>50</v>
      </c>
      <c r="V1354" s="16">
        <f>ROUNDUP((T1354+U1354+2*'Read Me'!$B$13)*(1+'Read Me'!$B$12),-1)</f>
        <v/>
      </c>
      <c r="W1354" s="16">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6" t="n">
        <v>119</v>
      </c>
      <c r="U1355" s="16" t="n">
        <v>10</v>
      </c>
      <c r="V1355" s="16">
        <f>ROUNDUP((T1355+U1355+2*'Read Me'!$B$13)*(1+'Read Me'!$B$12),-1)</f>
        <v/>
      </c>
      <c r="W1355" s="16">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6" t="n">
        <v>12</v>
      </c>
      <c r="U1356" s="16" t="n">
        <v>50</v>
      </c>
      <c r="V1356" s="16">
        <f>ROUNDUP((T1356+U1356+2*'Read Me'!$B$13)*(1+'Read Me'!$B$12),-1)</f>
        <v/>
      </c>
      <c r="W1356" s="16">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6" t="n">
        <v>119</v>
      </c>
      <c r="U1357" s="16" t="n">
        <v>10</v>
      </c>
      <c r="V1357" s="16">
        <f>ROUNDUP((T1357+U1357+2*'Read Me'!$B$13)*(1+'Read Me'!$B$12),-1)</f>
        <v/>
      </c>
      <c r="W1357" s="16">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6" t="n">
        <v>12</v>
      </c>
      <c r="U1358" s="16" t="n">
        <v>50</v>
      </c>
      <c r="V1358" s="16">
        <f>ROUNDUP((T1358+U1358+2*'Read Me'!$B$13)*(1+'Read Me'!$B$12),-1)</f>
        <v/>
      </c>
      <c r="W1358" s="16">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6" t="n">
        <v>119</v>
      </c>
      <c r="U1359" s="16" t="n">
        <v>10</v>
      </c>
      <c r="V1359" s="16">
        <f>ROUNDUP((T1359+U1359+2*'Read Me'!$B$13)*(1+'Read Me'!$B$12),-1)</f>
        <v/>
      </c>
      <c r="W1359" s="16">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6" t="n">
        <v>12</v>
      </c>
      <c r="U1360" s="16" t="n">
        <v>50</v>
      </c>
      <c r="V1360" s="16">
        <f>ROUNDUP((T1360+U1360+2*'Read Me'!$B$13)*(1+'Read Me'!$B$12),-1)</f>
        <v/>
      </c>
      <c r="W1360" s="16">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6" t="n">
        <v>119</v>
      </c>
      <c r="U1361" s="16" t="n">
        <v>10</v>
      </c>
      <c r="V1361" s="16">
        <f>ROUNDUP((T1361+U1361+2*'Read Me'!$B$13)*(1+'Read Me'!$B$12),-1)</f>
        <v/>
      </c>
      <c r="W1361" s="16">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6" t="n">
        <v>12</v>
      </c>
      <c r="U1362" s="16" t="n">
        <v>50</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6" t="n">
        <v>119</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6" t="n">
        <v>12</v>
      </c>
      <c r="U1364" s="16" t="n">
        <v>50</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6" t="n">
        <v>119</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6" t="n">
        <v>12</v>
      </c>
      <c r="U1366" s="16" t="n">
        <v>50</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6" t="n">
        <v>12</v>
      </c>
      <c r="U1367" s="16" t="n">
        <v>50</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6" t="n">
        <v>74</v>
      </c>
      <c r="U1368" s="16" t="n">
        <v>10</v>
      </c>
      <c r="V1368" s="16">
        <f>ROUNDUP((T1368+U1368+2*'Read Me'!$B$13)*(1+'Read Me'!$B$12),-1)</f>
        <v/>
      </c>
      <c r="W1368" s="16">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6" t="n">
        <v>517</v>
      </c>
      <c r="U1369" s="16" t="n">
        <v>35</v>
      </c>
      <c r="V1369" s="16">
        <f>ROUNDUP((T1369+U1369+2*'Read Me'!$B$13)*(1+'Read Me'!$B$12),-1)</f>
        <v/>
      </c>
      <c r="W1369" s="16">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6" t="n">
        <v>74</v>
      </c>
      <c r="U1370" s="16" t="n">
        <v>10</v>
      </c>
      <c r="V1370" s="16">
        <f>ROUNDUP((T1370+U1370+2*'Read Me'!$B$13)*(1+'Read Me'!$B$12),-1)</f>
        <v/>
      </c>
      <c r="W1370" s="16">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6" t="n">
        <v>517</v>
      </c>
      <c r="U1371" s="16" t="n">
        <v>35</v>
      </c>
      <c r="V1371" s="16">
        <f>ROUNDUP((T1371+U1371+2*'Read Me'!$B$13)*(1+'Read Me'!$B$12),-1)</f>
        <v/>
      </c>
      <c r="W1371" s="16">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6" t="n">
        <v>74</v>
      </c>
      <c r="U1372" s="16" t="n">
        <v>10</v>
      </c>
      <c r="V1372" s="16">
        <f>ROUNDUP((T1372+U1372+2*'Read Me'!$B$13)*(1+'Read Me'!$B$12),-1)</f>
        <v/>
      </c>
      <c r="W1372" s="16">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6" t="n">
        <v>517</v>
      </c>
      <c r="U1373" s="16" t="n">
        <v>35</v>
      </c>
      <c r="V1373" s="16">
        <f>ROUNDUP((T1373+U1373+2*'Read Me'!$B$13)*(1+'Read Me'!$B$12),-1)</f>
        <v/>
      </c>
      <c r="W1373" s="16">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6" t="n">
        <v>74</v>
      </c>
      <c r="U1374" s="16" t="n">
        <v>10</v>
      </c>
      <c r="V1374" s="16">
        <f>ROUNDUP((T1374+U1374+2*'Read Me'!$B$13)*(1+'Read Me'!$B$12),-1)</f>
        <v/>
      </c>
      <c r="W1374" s="16">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6" t="n">
        <v>517</v>
      </c>
      <c r="U1375" s="16" t="n">
        <v>35</v>
      </c>
      <c r="V1375" s="16">
        <f>ROUNDUP((T1375+U1375+2*'Read Me'!$B$13)*(1+'Read Me'!$B$12),-1)</f>
        <v/>
      </c>
      <c r="W1375" s="16">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6" t="n">
        <v>74</v>
      </c>
      <c r="U1376" s="16" t="n">
        <v>10</v>
      </c>
      <c r="V1376" s="16">
        <f>ROUNDUP((T1376+U1376+2*'Read Me'!$B$13)*(1+'Read Me'!$B$12),-1)</f>
        <v/>
      </c>
      <c r="W1376" s="16">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6" t="n">
        <v>517</v>
      </c>
      <c r="U1377" s="16" t="n">
        <v>35</v>
      </c>
      <c r="V1377" s="16">
        <f>ROUNDUP((T1377+U1377+2*'Read Me'!$B$13)*(1+'Read Me'!$B$12),-1)</f>
        <v/>
      </c>
      <c r="W1377" s="16">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6" t="n">
        <v>517</v>
      </c>
      <c r="U1378" s="16" t="n">
        <v>35</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6" t="n">
        <v>75</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6" t="n">
        <v>258</v>
      </c>
      <c r="U1380" s="16" t="n">
        <v>32</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6" t="n">
        <v>75</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258</v>
      </c>
      <c r="U1382" s="16" t="n">
        <v>32</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6" t="n">
        <v>75</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258</v>
      </c>
      <c r="U1384" s="16" t="n">
        <v>32</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41</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0</v>
      </c>
      <c r="U1386" s="16" t="n">
        <v>86</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41</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0</v>
      </c>
      <c r="U1388" s="16" t="n">
        <v>86</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41</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0</v>
      </c>
      <c r="U1390" s="16" t="n">
        <v>97</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41</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0</v>
      </c>
      <c r="U1392" s="16" t="n">
        <v>97</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6" t="n">
        <v>41</v>
      </c>
      <c r="U1393" s="16" t="n">
        <v>10</v>
      </c>
      <c r="V1393" s="16">
        <f>ROUNDUP((T1393+U1393+2*'Read Me'!$B$13)*(1+'Read Me'!$B$12),-1)</f>
        <v/>
      </c>
      <c r="W1393" s="16">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6" t="n">
        <v>0</v>
      </c>
      <c r="U1394" s="16" t="n">
        <v>97</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6" t="n">
        <v>41</v>
      </c>
      <c r="U1395" s="16" t="n">
        <v>10</v>
      </c>
      <c r="V1395" s="16">
        <f>ROUNDUP((T1395+U1395+2*'Read Me'!$B$13)*(1+'Read Me'!$B$12),-1)</f>
        <v/>
      </c>
      <c r="W1395" s="16">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6" t="n">
        <v>0</v>
      </c>
      <c r="U1396" s="16" t="n">
        <v>97</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41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6" t="n">
        <v>0</v>
      </c>
      <c r="U1398" s="16" t="n">
        <v>71</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41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6" t="n">
        <v>0</v>
      </c>
      <c r="U1400" s="16" t="n">
        <v>71</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49</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6" t="n">
        <v>730</v>
      </c>
      <c r="U1402" s="16" t="n">
        <v>124</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49</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6" t="n">
        <v>730</v>
      </c>
      <c r="U1404" s="16" t="n">
        <v>124</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49</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6" t="n">
        <v>752</v>
      </c>
      <c r="U1406" s="16" t="n">
        <v>124</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49</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6" t="n">
        <v>752</v>
      </c>
      <c r="U1408" s="16" t="n">
        <v>124</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6" t="n">
        <v>178</v>
      </c>
      <c r="U1409" s="16" t="n">
        <v>94</v>
      </c>
      <c r="V1409" s="16">
        <f>ROUNDUP((T1409+U1409+2*'Read Me'!$B$13)*(1+'Read Me'!$B$12),-1)</f>
        <v/>
      </c>
      <c r="W1409" s="16">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6" t="n">
        <v>1069</v>
      </c>
      <c r="U1410" s="16" t="n">
        <v>184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6" t="n">
        <v>1024</v>
      </c>
      <c r="U1411" s="16" t="n">
        <v>240</v>
      </c>
      <c r="V1411" s="16">
        <f>ROUNDUP((T1411+U1411+2*'Read Me'!$B$13)*(1+'Read Me'!$B$12),-1)</f>
        <v/>
      </c>
      <c r="W1411" s="16">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6" t="n">
        <v>408</v>
      </c>
      <c r="U1412" s="16" t="n">
        <v>183</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6" t="n">
        <v>51</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6" t="n">
        <v>566</v>
      </c>
      <c r="U1414" s="16" t="n">
        <v>158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6" t="n">
        <v>51</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6" t="n">
        <v>566</v>
      </c>
      <c r="U1416" s="16" t="n">
        <v>158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6" t="n">
        <v>51</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6" t="n">
        <v>1423</v>
      </c>
      <c r="U1418" s="16" t="n">
        <v>96</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6" t="n">
        <v>51</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6" t="n">
        <v>1423</v>
      </c>
      <c r="U1420" s="16" t="n">
        <v>96</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6" t="n">
        <v>51</v>
      </c>
      <c r="U1421" s="16" t="n">
        <v>10</v>
      </c>
      <c r="V1421" s="16">
        <f>ROUNDUP((T1421+U1421+2*'Read Me'!$B$13)*(1+'Read Me'!$B$12),-1)</f>
        <v/>
      </c>
      <c r="W1421" s="16">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6" t="n">
        <v>1103</v>
      </c>
      <c r="U1422" s="16" t="n">
        <v>96</v>
      </c>
      <c r="V1422" s="16">
        <f>ROUNDUP((T1422+U1422+2*'Read Me'!$B$13)*(1+'Read Me'!$B$12),-1)</f>
        <v/>
      </c>
      <c r="W1422" s="16">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6" t="n">
        <v>51</v>
      </c>
      <c r="U1423" s="16" t="n">
        <v>10</v>
      </c>
      <c r="V1423" s="16">
        <f>ROUNDUP((T1423+U1423+2*'Read Me'!$B$13)*(1+'Read Me'!$B$12),-1)</f>
        <v/>
      </c>
      <c r="W1423" s="16">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6" t="n">
        <v>1103</v>
      </c>
      <c r="U1424" s="16" t="n">
        <v>96</v>
      </c>
      <c r="V1424" s="16">
        <f>ROUNDUP((T1424+U1424+2*'Read Me'!$B$13)*(1+'Read Me'!$B$12),-1)</f>
        <v/>
      </c>
      <c r="W1424" s="16">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6" t="n">
        <v>52</v>
      </c>
      <c r="U1425" s="16" t="n">
        <v>10</v>
      </c>
      <c r="V1425" s="16">
        <f>ROUNDUP((T1425+U1425+2*'Read Me'!$B$13)*(1+'Read Me'!$B$12),-1)</f>
        <v/>
      </c>
      <c r="W1425" s="16">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6" t="n">
        <v>183</v>
      </c>
      <c r="U1426" s="16" t="n">
        <v>94</v>
      </c>
      <c r="V1426" s="16">
        <f>ROUNDUP((T1426+U1426+2*'Read Me'!$B$13)*(1+'Read Me'!$B$12),-1)</f>
        <v/>
      </c>
      <c r="W1426" s="16">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6" t="n">
        <v>52</v>
      </c>
      <c r="U1427" s="16" t="n">
        <v>10</v>
      </c>
      <c r="V1427" s="16">
        <f>ROUNDUP((T1427+U1427+2*'Read Me'!$B$13)*(1+'Read Me'!$B$12),-1)</f>
        <v/>
      </c>
      <c r="W1427" s="16">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6" t="n">
        <v>183</v>
      </c>
      <c r="U1428" s="16" t="n">
        <v>94</v>
      </c>
      <c r="V1428" s="16">
        <f>ROUNDUP((T1428+U1428+2*'Read Me'!$B$13)*(1+'Read Me'!$B$12),-1)</f>
        <v/>
      </c>
      <c r="W1428" s="16">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6" t="n">
        <v>52</v>
      </c>
      <c r="U1429" s="16" t="n">
        <v>10</v>
      </c>
      <c r="V1429" s="16">
        <f>ROUNDUP((T1429+U1429+2*'Read Me'!$B$13)*(1+'Read Me'!$B$12),-1)</f>
        <v/>
      </c>
      <c r="W1429" s="16">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6" t="n">
        <v>1075</v>
      </c>
      <c r="U1430" s="16" t="n">
        <v>188</v>
      </c>
      <c r="V1430" s="16">
        <f>ROUNDUP((T1430+U1430+2*'Read Me'!$B$13)*(1+'Read Me'!$B$12),-1)</f>
        <v/>
      </c>
      <c r="W1430" s="16">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6" t="n">
        <v>52</v>
      </c>
      <c r="U1431" s="16" t="n">
        <v>10</v>
      </c>
      <c r="V1431" s="16">
        <f>ROUNDUP((T1431+U1431+2*'Read Me'!$B$13)*(1+'Read Me'!$B$12),-1)</f>
        <v/>
      </c>
      <c r="W1431" s="16">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6" t="n">
        <v>1075</v>
      </c>
      <c r="U1432" s="16" t="n">
        <v>188</v>
      </c>
      <c r="V1432" s="16">
        <f>ROUNDUP((T1432+U1432+2*'Read Me'!$B$13)*(1+'Read Me'!$B$12),-1)</f>
        <v/>
      </c>
      <c r="W1432" s="16">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6" t="n">
        <v>52</v>
      </c>
      <c r="U1433" s="16" t="n">
        <v>10</v>
      </c>
      <c r="V1433" s="16">
        <f>ROUNDUP((T1433+U1433+2*'Read Me'!$B$13)*(1+'Read Me'!$B$12),-1)</f>
        <v/>
      </c>
      <c r="W1433" s="16">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6" t="n">
        <v>1024</v>
      </c>
      <c r="U1434" s="16" t="n">
        <v>267</v>
      </c>
      <c r="V1434" s="16">
        <f>ROUNDUP((T1434+U1434+2*'Read Me'!$B$13)*(1+'Read Me'!$B$12),-1)</f>
        <v/>
      </c>
      <c r="W1434" s="16">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6" t="n">
        <v>52</v>
      </c>
      <c r="U1435" s="16" t="n">
        <v>10</v>
      </c>
      <c r="V1435" s="16">
        <f>ROUNDUP((T1435+U1435+2*'Read Me'!$B$13)*(1+'Read Me'!$B$12),-1)</f>
        <v/>
      </c>
      <c r="W1435" s="16">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6" t="n">
        <v>1024</v>
      </c>
      <c r="U1436" s="16" t="n">
        <v>267</v>
      </c>
      <c r="V1436" s="16">
        <f>ROUNDUP((T1436+U1436+2*'Read Me'!$B$13)*(1+'Read Me'!$B$12),-1)</f>
        <v/>
      </c>
      <c r="W1436" s="16">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6" t="n">
        <v>88</v>
      </c>
      <c r="U1437" s="16" t="n">
        <v>84</v>
      </c>
      <c r="V1437" s="16">
        <f>ROUNDUP((T1437+U1437+2*'Read Me'!$B$13)*(1+'Read Me'!$B$12),-1)</f>
        <v/>
      </c>
      <c r="W1437" s="16">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6" t="n">
        <v>88</v>
      </c>
      <c r="U1438" s="16" t="n">
        <v>84</v>
      </c>
      <c r="V1438" s="16">
        <f>ROUNDUP((T1438+U1438+2*'Read Me'!$B$13)*(1+'Read Me'!$B$12),-1)</f>
        <v/>
      </c>
      <c r="W1438" s="16">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6" t="n">
        <v>88</v>
      </c>
      <c r="U1439" s="16" t="n">
        <v>84</v>
      </c>
      <c r="V1439" s="16">
        <f>ROUNDUP((T1439+U1439+2*'Read Me'!$B$13)*(1+'Read Me'!$B$12),-1)</f>
        <v/>
      </c>
      <c r="W1439" s="16">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6" t="n">
        <v>481</v>
      </c>
      <c r="U1440" s="16" t="n">
        <v>84</v>
      </c>
      <c r="V1440" s="16">
        <f>ROUNDUP((T1440+U1440+2*'Read Me'!$B$13)*(1+'Read Me'!$B$12),-1)</f>
        <v/>
      </c>
      <c r="W1440" s="16">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6" t="n">
        <v>481</v>
      </c>
      <c r="U1441" s="16" t="n">
        <v>84</v>
      </c>
      <c r="V1441" s="16">
        <f>ROUNDUP((T1441+U1441+2*'Read Me'!$B$13)*(1+'Read Me'!$B$12),-1)</f>
        <v/>
      </c>
      <c r="W1441" s="16">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6" t="n">
        <v>481</v>
      </c>
      <c r="U1442" s="16" t="n">
        <v>84</v>
      </c>
      <c r="V1442" s="16">
        <f>ROUNDUP((T1442+U1442+2*'Read Me'!$B$13)*(1+'Read Me'!$B$12),-1)</f>
        <v/>
      </c>
      <c r="W1442" s="16">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6" t="n">
        <v>481</v>
      </c>
      <c r="U1443" s="16" t="n">
        <v>84</v>
      </c>
      <c r="V1443" s="16">
        <f>ROUNDUP((T1443+U1443+2*'Read Me'!$B$13)*(1+'Read Me'!$B$12),-1)</f>
        <v/>
      </c>
      <c r="W1443" s="16">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6" t="n">
        <v>481</v>
      </c>
      <c r="U1444" s="16" t="n">
        <v>85</v>
      </c>
      <c r="V1444" s="16">
        <f>ROUNDUP((T1444+U1444+2*'Read Me'!$B$13)*(1+'Read Me'!$B$12),-1)</f>
        <v/>
      </c>
      <c r="W1444" s="16">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6" t="n">
        <v>481</v>
      </c>
      <c r="U1445" s="16" t="n">
        <v>85</v>
      </c>
      <c r="V1445" s="16">
        <f>ROUNDUP((T1445+U1445+2*'Read Me'!$B$13)*(1+'Read Me'!$B$12),-1)</f>
        <v/>
      </c>
      <c r="W1445" s="16">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6" t="n">
        <v>481</v>
      </c>
      <c r="U1446" s="16" t="n">
        <v>85</v>
      </c>
      <c r="V1446" s="16">
        <f>ROUNDUP((T1446+U1446+2*'Read Me'!$B$13)*(1+'Read Me'!$B$12),-1)</f>
        <v/>
      </c>
      <c r="W1446" s="16">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6" t="n">
        <v>481</v>
      </c>
      <c r="U1447" s="16" t="n">
        <v>85</v>
      </c>
      <c r="V1447" s="16">
        <f>ROUNDUP((T1447+U1447+2*'Read Me'!$B$13)*(1+'Read Me'!$B$12),-1)</f>
        <v/>
      </c>
      <c r="W1447" s="16">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6" t="n">
        <v>479</v>
      </c>
      <c r="U1448" s="16" t="n">
        <v>84</v>
      </c>
      <c r="V1448" s="16">
        <f>ROUNDUP((T1448+U1448+2*'Read Me'!$B$13)*(1+'Read Me'!$B$12),-1)</f>
        <v/>
      </c>
      <c r="W1448" s="16">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6" t="n">
        <v>479</v>
      </c>
      <c r="U1449" s="16" t="n">
        <v>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6" t="n">
        <v>479</v>
      </c>
      <c r="U1450" s="16" t="n">
        <v>84</v>
      </c>
      <c r="V1450" s="16">
        <f>ROUNDUP((T1450+U1450+2*'Read Me'!$B$13)*(1+'Read Me'!$B$12),-1)</f>
        <v/>
      </c>
      <c r="W1450" s="16">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6" t="n">
        <v>479</v>
      </c>
      <c r="U1451" s="16" t="n">
        <v>84</v>
      </c>
      <c r="V1451" s="16">
        <f>ROUNDUP((T1451+U1451+2*'Read Me'!$B$13)*(1+'Read Me'!$B$12),-1)</f>
        <v/>
      </c>
      <c r="W1451" s="16">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6" t="n">
        <v>481</v>
      </c>
      <c r="U1452" s="16" t="n">
        <v>84</v>
      </c>
      <c r="V1452" s="16">
        <f>ROUNDUP((T1452+U1452+2*'Read Me'!$B$13)*(1+'Read Me'!$B$12),-1)</f>
        <v/>
      </c>
      <c r="W1452" s="16">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6" t="n">
        <v>481</v>
      </c>
      <c r="U1453" s="16" t="n">
        <v>84</v>
      </c>
      <c r="V1453" s="16">
        <f>ROUNDUP((T1453+U1453+2*'Read Me'!$B$13)*(1+'Read Me'!$B$12),-1)</f>
        <v/>
      </c>
      <c r="W1453" s="16">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481</v>
      </c>
      <c r="U1454" s="16" t="n">
        <v>84</v>
      </c>
      <c r="V1454" s="16">
        <f>ROUNDUP((T1454+U1454+2*'Read Me'!$B$13)*(1+'Read Me'!$B$12),-1)</f>
        <v/>
      </c>
      <c r="W1454" s="16">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481</v>
      </c>
      <c r="U1455" s="16" t="n">
        <v>84</v>
      </c>
      <c r="V1455" s="16">
        <f>ROUNDUP((T1455+U1455+2*'Read Me'!$B$13)*(1+'Read Me'!$B$12),-1)</f>
        <v/>
      </c>
      <c r="W1455" s="16">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6" t="n">
        <v>361</v>
      </c>
      <c r="U1456" s="16" t="n">
        <v>160</v>
      </c>
      <c r="V1456" s="16">
        <f>ROUNDUP((T1456+U1456+2*'Read Me'!$B$13)*(1+'Read Me'!$B$12),-1)</f>
        <v/>
      </c>
      <c r="W1456" s="16">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6" t="n">
        <v>277</v>
      </c>
      <c r="U1457" s="16" t="n">
        <v>97</v>
      </c>
      <c r="V1457" s="16">
        <f>ROUNDUP((T1457+U1457+2*'Read Me'!$B$13)*(1+'Read Me'!$B$12),-1)</f>
        <v/>
      </c>
      <c r="W1457" s="16">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6" t="n">
        <v>277</v>
      </c>
      <c r="U1458" s="16" t="n">
        <v>97</v>
      </c>
      <c r="V1458" s="16">
        <f>ROUNDUP((T1458+U1458+2*'Read Me'!$B$13)*(1+'Read Me'!$B$12),-1)</f>
        <v/>
      </c>
      <c r="W1458" s="16">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6" t="n">
        <v>273</v>
      </c>
      <c r="U1459" s="16" t="n">
        <v>93</v>
      </c>
      <c r="V1459" s="16">
        <f>ROUNDUP((T1459+U1459+2*'Read Me'!$B$13)*(1+'Read Me'!$B$12),-1)</f>
        <v/>
      </c>
      <c r="W1459" s="16">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6" t="n">
        <v>273</v>
      </c>
      <c r="U1460" s="16" t="n">
        <v>93</v>
      </c>
      <c r="V1460" s="16">
        <f>ROUNDUP((T1460+U1460+2*'Read Me'!$B$13)*(1+'Read Me'!$B$12),-1)</f>
        <v/>
      </c>
      <c r="W1460" s="16">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6" t="n">
        <v>277</v>
      </c>
      <c r="U1461" s="16" t="n">
        <v>97</v>
      </c>
      <c r="V1461" s="16">
        <f>ROUNDUP((T1461+U1461+2*'Read Me'!$B$13)*(1+'Read Me'!$B$12),-1)</f>
        <v/>
      </c>
      <c r="W1461" s="16">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6" t="n">
        <v>277</v>
      </c>
      <c r="U1462" s="16" t="n">
        <v>97</v>
      </c>
      <c r="V1462" s="16">
        <f>ROUNDUP((T1462+U1462+2*'Read Me'!$B$13)*(1+'Read Me'!$B$12),-1)</f>
        <v/>
      </c>
      <c r="W1462" s="16">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258</v>
      </c>
      <c r="U1463" s="16" t="n">
        <v>35</v>
      </c>
      <c r="V1463" s="16">
        <f>ROUNDUP((T1463+U1463+2*'Read Me'!$B$13)*(1+'Read Me'!$B$12),-1)</f>
        <v/>
      </c>
      <c r="W1463" s="16">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258</v>
      </c>
      <c r="U1464" s="16" t="n">
        <v>35</v>
      </c>
      <c r="V1464" s="16">
        <f>ROUNDUP((T1464+U1464+2*'Read Me'!$B$13)*(1+'Read Me'!$B$12),-1)</f>
        <v/>
      </c>
      <c r="W1464" s="16">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258</v>
      </c>
      <c r="U1465" s="16" t="n">
        <v>35</v>
      </c>
      <c r="V1465" s="16">
        <f>ROUNDUP((T1465+U1465+2*'Read Me'!$B$13)*(1+'Read Me'!$B$12),-1)</f>
        <v/>
      </c>
      <c r="W1465" s="16">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258</v>
      </c>
      <c r="U1466" s="16" t="n">
        <v>35</v>
      </c>
      <c r="V1466" s="16">
        <f>ROUNDUP((T1466+U1466+2*'Read Me'!$B$13)*(1+'Read Me'!$B$12),-1)</f>
        <v/>
      </c>
      <c r="W1466" s="16">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6" t="n">
        <v>258</v>
      </c>
      <c r="U1467" s="16" t="n">
        <v>35</v>
      </c>
      <c r="V1467" s="16">
        <f>ROUNDUP((T1467+U1467+2*'Read Me'!$B$13)*(1+'Read Me'!$B$12),-1)</f>
        <v/>
      </c>
      <c r="W1467" s="16">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6" t="n">
        <v>258</v>
      </c>
      <c r="U1468" s="16" t="n">
        <v>35</v>
      </c>
      <c r="V1468" s="16">
        <f>ROUNDUP((T1468+U1468+2*'Read Me'!$B$13)*(1+'Read Me'!$B$12),-1)</f>
        <v/>
      </c>
      <c r="W1468" s="16">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6" t="n">
        <v>1069</v>
      </c>
      <c r="U1469" s="16" t="n">
        <v>184</v>
      </c>
      <c r="V1469" s="16">
        <f>ROUNDUP((T1469+U1469+2*'Read Me'!$B$13)*(1+'Read Me'!$B$12),-1)</f>
        <v/>
      </c>
      <c r="W1469" s="16">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6" t="n">
        <v>67</v>
      </c>
      <c r="U1470" s="16" t="n">
        <v>89</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6" t="n">
        <v>67</v>
      </c>
      <c r="U1471" s="16" t="n">
        <v>89</v>
      </c>
      <c r="V1471" s="16">
        <f>ROUNDUP((T1471+U1471+2*'Read Me'!$B$13)*(1+'Read Me'!$B$12),-1)</f>
        <v/>
      </c>
      <c r="W1471" s="16">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6" t="n">
        <v>67</v>
      </c>
      <c r="U1472" s="16" t="n">
        <v>89</v>
      </c>
      <c r="V1472" s="16">
        <f>ROUNDUP((T1472+U1472+2*'Read Me'!$B$13)*(1+'Read Me'!$B$12),-1)</f>
        <v/>
      </c>
      <c r="W1472" s="16">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6" t="n">
        <v>907</v>
      </c>
      <c r="U1473" s="16" t="n">
        <v>98</v>
      </c>
      <c r="V1473" s="16">
        <f>ROUNDUP((T1473+U1473+2*'Read Me'!$B$13)*(1+'Read Me'!$B$12),-1)</f>
        <v/>
      </c>
      <c r="W1473" s="16">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6" t="n">
        <v>451</v>
      </c>
      <c r="U1474" s="16" t="n">
        <v>157</v>
      </c>
      <c r="V1474" s="16">
        <f>ROUNDUP((T1474+U1474+2*'Read Me'!$B$13)*(1+'Read Me'!$B$12),-1)</f>
        <v/>
      </c>
      <c r="W1474" s="16">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6" t="n">
        <v>451</v>
      </c>
      <c r="U1475" s="16" t="n">
        <v>157</v>
      </c>
      <c r="V1475" s="16">
        <f>ROUNDUP((T1475+U1475+2*'Read Me'!$B$13)*(1+'Read Me'!$B$12),-1)</f>
        <v/>
      </c>
      <c r="W1475" s="16">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6" t="n">
        <v>751</v>
      </c>
      <c r="U1476" s="16" t="n">
        <v>157</v>
      </c>
      <c r="V1476" s="16">
        <f>ROUNDUP((T1476+U1476+2*'Read Me'!$B$13)*(1+'Read Me'!$B$12),-1)</f>
        <v/>
      </c>
      <c r="W1476" s="16">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6" t="n">
        <v>1071</v>
      </c>
      <c r="U1477" s="16" t="n">
        <v>110</v>
      </c>
      <c r="V1477" s="16">
        <f>ROUNDUP((T1477+U1477+2*'Read Me'!$B$13)*(1+'Read Me'!$B$12),-1)</f>
        <v/>
      </c>
      <c r="W1477" s="16">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6" t="n">
        <v>631</v>
      </c>
      <c r="U1478" s="16" t="n">
        <v>137</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6" t="n">
        <v>631</v>
      </c>
      <c r="U1479" s="16" t="n">
        <v>137</v>
      </c>
      <c r="V1479" s="16">
        <f>ROUNDUP((T1479+U1479+2*'Read Me'!$B$13)*(1+'Read Me'!$B$12),-1)</f>
        <v/>
      </c>
      <c r="W1479" s="16">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6" t="n">
        <v>931</v>
      </c>
      <c r="U1480" s="16" t="n">
        <v>137</v>
      </c>
      <c r="V1480" s="16">
        <f>ROUNDUP((T1480+U1480+2*'Read Me'!$B$13)*(1+'Read Me'!$B$12),-1)</f>
        <v/>
      </c>
      <c r="W1480" s="16">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6" t="n">
        <v>1179</v>
      </c>
      <c r="U1481" s="16" t="n">
        <v>172</v>
      </c>
      <c r="V1481" s="16">
        <f>ROUNDUP((T1481+U1481+2*'Read Me'!$B$13)*(1+'Read Me'!$B$12),-1)</f>
        <v/>
      </c>
      <c r="W1481" s="16">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6" t="n">
        <v>799</v>
      </c>
      <c r="U1482" s="16" t="n">
        <v>145</v>
      </c>
      <c r="V1482" s="16">
        <f>ROUNDUP((T1482+U1482+2*'Read Me'!$B$13)*(1+'Read Me'!$B$12),-1)</f>
        <v/>
      </c>
      <c r="W1482" s="16">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6" t="n">
        <v>799</v>
      </c>
      <c r="U1483" s="16" t="n">
        <v>145</v>
      </c>
      <c r="V1483" s="16">
        <f>ROUNDUP((T1483+U1483+2*'Read Me'!$B$13)*(1+'Read Me'!$B$12),-1)</f>
        <v/>
      </c>
      <c r="W1483" s="16">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6" t="n">
        <v>1099</v>
      </c>
      <c r="U1484" s="16" t="n">
        <v>145</v>
      </c>
      <c r="V1484" s="16">
        <f>ROUNDUP((T1484+U1484+2*'Read Me'!$B$13)*(1+'Read Me'!$B$12),-1)</f>
        <v/>
      </c>
      <c r="W1484" s="16">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6" t="n">
        <v>288</v>
      </c>
      <c r="U1485" s="16" t="n">
        <v>155</v>
      </c>
      <c r="V1485" s="16">
        <f>ROUNDUP((T1485+U1485+2*'Read Me'!$B$13)*(1+'Read Me'!$B$12),-1)</f>
        <v/>
      </c>
      <c r="W1485" s="16">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6" t="n">
        <v>468</v>
      </c>
      <c r="U1486" s="16" t="n">
        <v>135</v>
      </c>
      <c r="V1486" s="16">
        <f>ROUNDUP((T1486+U1486+2*'Read Me'!$B$13)*(1+'Read Me'!$B$12),-1)</f>
        <v/>
      </c>
      <c r="W1486" s="16">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6" t="n">
        <v>636</v>
      </c>
      <c r="U1487" s="16" t="n">
        <v>143</v>
      </c>
      <c r="V1487" s="16">
        <f>ROUNDUP((T1487+U1487+2*'Read Me'!$B$13)*(1+'Read Me'!$B$12),-1)</f>
        <v/>
      </c>
      <c r="W1487" s="16">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6" t="n">
        <v>373</v>
      </c>
      <c r="U1488" s="16" t="n">
        <v>118</v>
      </c>
      <c r="V1488" s="16">
        <f>ROUNDUP((T1488+U1488+2*'Read Me'!$B$13)*(1+'Read Me'!$B$12),-1)</f>
        <v/>
      </c>
      <c r="W1488" s="16">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6" t="n">
        <v>373</v>
      </c>
      <c r="U1489" s="16" t="n">
        <v>118</v>
      </c>
      <c r="V1489" s="16">
        <f>ROUNDUP((T1489+U1489+2*'Read Me'!$B$13)*(1+'Read Me'!$B$12),-1)</f>
        <v/>
      </c>
      <c r="W1489" s="16">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6" t="n">
        <v>1247</v>
      </c>
      <c r="U1490" s="16" t="n">
        <v>208</v>
      </c>
      <c r="V1490" s="16">
        <f>ROUNDUP((T1490+U1490+2*'Read Me'!$B$13)*(1+'Read Me'!$B$12),-1)</f>
        <v/>
      </c>
      <c r="W1490" s="16">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6" t="n">
        <v>1247</v>
      </c>
      <c r="U1491" s="16" t="n">
        <v>208</v>
      </c>
      <c r="V1491" s="16">
        <f>ROUNDUP((T1491+U1491+2*'Read Me'!$B$13)*(1+'Read Me'!$B$12),-1)</f>
        <v/>
      </c>
      <c r="W1491" s="16">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6" t="n">
        <v>1193</v>
      </c>
      <c r="U1492" s="16" t="n">
        <v>97</v>
      </c>
      <c r="V1492" s="16">
        <f>ROUNDUP((T1492+U1492+2*'Read Me'!$B$13)*(1+'Read Me'!$B$12),-1)</f>
        <v/>
      </c>
      <c r="W1492" s="16">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6" t="n">
        <v>1193</v>
      </c>
      <c r="U1493" s="16" t="n">
        <v>97</v>
      </c>
      <c r="V1493" s="16">
        <f>ROUNDUP((T1493+U1493+2*'Read Me'!$B$13)*(1+'Read Me'!$B$12),-1)</f>
        <v/>
      </c>
      <c r="W1493" s="16">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6" t="n">
        <v>366</v>
      </c>
      <c r="U1494" s="16" t="n">
        <v>111</v>
      </c>
      <c r="V1494" s="16">
        <f>ROUNDUP((T1494+U1494+2*'Read Me'!$B$13)*(1+'Read Me'!$B$12),-1)</f>
        <v/>
      </c>
      <c r="W1494" s="16">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6" t="n">
        <v>366</v>
      </c>
      <c r="U1495" s="16" t="n">
        <v>111</v>
      </c>
      <c r="V1495" s="16">
        <f>ROUNDUP((T1495+U1495+2*'Read Me'!$B$13)*(1+'Read Me'!$B$12),-1)</f>
        <v/>
      </c>
      <c r="W1495" s="16">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6" t="n">
        <v>298</v>
      </c>
      <c r="U1496" s="16" t="n">
        <v>145</v>
      </c>
      <c r="V1496" s="16">
        <f>ROUNDUP((T1496+U1496+2*'Read Me'!$B$13)*(1+'Read Me'!$B$12),-1)</f>
        <v/>
      </c>
      <c r="W1496" s="16">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6" t="n">
        <v>478</v>
      </c>
      <c r="U1497" s="16" t="n">
        <v>125</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6" t="n">
        <v>646</v>
      </c>
      <c r="U1498" s="16" t="n">
        <v>133</v>
      </c>
      <c r="V1498" s="16">
        <f>ROUNDUP((T1498+U1498+2*'Read Me'!$B$13)*(1+'Read Me'!$B$12),-1)</f>
        <v/>
      </c>
      <c r="W1498" s="16">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6" t="n">
        <v>72</v>
      </c>
      <c r="U1499" s="16" t="n">
        <v>139</v>
      </c>
      <c r="V1499" s="16">
        <f>ROUNDUP((T1499+U1499+2*'Read Me'!$B$13)*(1+'Read Me'!$B$12),-1)</f>
        <v/>
      </c>
      <c r="W1499" s="16">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6" t="n">
        <v>72</v>
      </c>
      <c r="U1500" s="16" t="n">
        <v>139</v>
      </c>
      <c r="V1500" s="16">
        <f>ROUNDUP((T1500+U1500+2*'Read Me'!$B$13)*(1+'Read Me'!$B$12),-1)</f>
        <v/>
      </c>
      <c r="W1500" s="16">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6" t="n">
        <v>416</v>
      </c>
      <c r="U1501" s="16" t="n">
        <v>181</v>
      </c>
      <c r="V1501" s="16">
        <f>ROUNDUP((T1501+U1501+2*'Read Me'!$B$13)*(1+'Read Me'!$B$12),-1)</f>
        <v/>
      </c>
      <c r="W1501" s="16">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6" t="n">
        <v>416</v>
      </c>
      <c r="U1502" s="16" t="n">
        <v>181</v>
      </c>
      <c r="V1502" s="16">
        <f>ROUNDUP((T1502+U1502+2*'Read Me'!$B$13)*(1+'Read Me'!$B$12),-1)</f>
        <v/>
      </c>
      <c r="W1502" s="16">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6" t="n">
        <v>416</v>
      </c>
      <c r="U1503" s="16" t="n">
        <v>181</v>
      </c>
      <c r="V1503" s="16">
        <f>ROUNDUP((T1503+U1503+2*'Read Me'!$B$13)*(1+'Read Me'!$B$12),-1)</f>
        <v/>
      </c>
      <c r="W1503" s="16">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6" t="n">
        <v>416</v>
      </c>
      <c r="U1504" s="16" t="n">
        <v>181</v>
      </c>
      <c r="V1504" s="16">
        <f>ROUNDUP((T1504+U1504+2*'Read Me'!$B$13)*(1+'Read Me'!$B$12),-1)</f>
        <v/>
      </c>
      <c r="W1504" s="16">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6" t="n">
        <v>416</v>
      </c>
      <c r="U1505" s="16" t="n">
        <v>181</v>
      </c>
      <c r="V1505" s="16">
        <f>ROUNDUP((T1505+U1505+2*'Read Me'!$B$13)*(1+'Read Me'!$B$12),-1)</f>
        <v/>
      </c>
      <c r="W1505" s="16">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6" t="n">
        <v>416</v>
      </c>
      <c r="U1506" s="16" t="n">
        <v>181</v>
      </c>
      <c r="V1506" s="16">
        <f>ROUNDUP((T1506+U1506+2*'Read Me'!$B$13)*(1+'Read Me'!$B$12),-1)</f>
        <v/>
      </c>
      <c r="W1506" s="16">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6" t="n">
        <v>419</v>
      </c>
      <c r="U1507" s="16" t="n">
        <v>179</v>
      </c>
      <c r="V1507" s="16">
        <f>ROUNDUP((T1507+U1507+2*'Read Me'!$B$13)*(1+'Read Me'!$B$12),-1)</f>
        <v/>
      </c>
      <c r="W1507" s="16">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6" t="n">
        <v>419</v>
      </c>
      <c r="U1508" s="16" t="n">
        <v>179</v>
      </c>
      <c r="V1508" s="16">
        <f>ROUNDUP((T1508+U1508+2*'Read Me'!$B$13)*(1+'Read Me'!$B$12),-1)</f>
        <v/>
      </c>
      <c r="W1508" s="16">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6" t="n">
        <v>419</v>
      </c>
      <c r="U1509" s="16" t="n">
        <v>179</v>
      </c>
      <c r="V1509" s="16">
        <f>ROUNDUP((T1509+U1509+2*'Read Me'!$B$13)*(1+'Read Me'!$B$12),-1)</f>
        <v/>
      </c>
      <c r="W1509" s="16">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6" t="n">
        <v>419</v>
      </c>
      <c r="U1510" s="16" t="n">
        <v>179</v>
      </c>
      <c r="V1510" s="16">
        <f>ROUNDUP((T1510+U1510+2*'Read Me'!$B$13)*(1+'Read Me'!$B$12),-1)</f>
        <v/>
      </c>
      <c r="W1510" s="16">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6" t="n">
        <v>419</v>
      </c>
      <c r="U1511" s="16" t="n">
        <v>179</v>
      </c>
      <c r="V1511" s="16">
        <f>ROUNDUP((T1511+U1511+2*'Read Me'!$B$13)*(1+'Read Me'!$B$12),-1)</f>
        <v/>
      </c>
      <c r="W1511" s="16">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6" t="n">
        <v>419</v>
      </c>
      <c r="U1512" s="16" t="n">
        <v>179</v>
      </c>
      <c r="V1512" s="16">
        <f>ROUNDUP((T1512+U1512+2*'Read Me'!$B$13)*(1+'Read Me'!$B$12),-1)</f>
        <v/>
      </c>
      <c r="W1512" s="16">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6" t="n">
        <v>1290</v>
      </c>
      <c r="U1513" s="16" t="n">
        <v>271</v>
      </c>
      <c r="V1513" s="16">
        <f>ROUNDUP((T1513+U1513+2*'Read Me'!$B$13)*(1+'Read Me'!$B$12),-1)</f>
        <v/>
      </c>
      <c r="W1513" s="16">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6" t="n">
        <v>1290</v>
      </c>
      <c r="U1514" s="16" t="n">
        <v>271</v>
      </c>
      <c r="V1514" s="16">
        <f>ROUNDUP((T1514+U1514+2*'Read Me'!$B$13)*(1+'Read Me'!$B$12),-1)</f>
        <v/>
      </c>
      <c r="W1514" s="16">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6" t="n">
        <v>1290</v>
      </c>
      <c r="U1515" s="16" t="n">
        <v>271</v>
      </c>
      <c r="V1515" s="16">
        <f>ROUNDUP((T1515+U1515+2*'Read Me'!$B$13)*(1+'Read Me'!$B$12),-1)</f>
        <v/>
      </c>
      <c r="W1515" s="16">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6" t="n">
        <v>1290</v>
      </c>
      <c r="U1516" s="16" t="n">
        <v>271</v>
      </c>
      <c r="V1516" s="16">
        <f>ROUNDUP((T1516+U1516+2*'Read Me'!$B$13)*(1+'Read Me'!$B$12),-1)</f>
        <v/>
      </c>
      <c r="W1516" s="16">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6" t="n">
        <v>1290</v>
      </c>
      <c r="U1517" s="16" t="n">
        <v>271</v>
      </c>
      <c r="V1517" s="16">
        <f>ROUNDUP((T1517+U1517+2*'Read Me'!$B$13)*(1+'Read Me'!$B$12),-1)</f>
        <v/>
      </c>
      <c r="W1517" s="16">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1290</v>
      </c>
      <c r="U1518" s="16" t="n">
        <v>271</v>
      </c>
      <c r="V1518" s="16">
        <f>ROUNDUP((T1518+U1518+2*'Read Me'!$B$13)*(1+'Read Me'!$B$12),-1)</f>
        <v/>
      </c>
      <c r="W1518" s="16">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1423</v>
      </c>
      <c r="U1519" s="16" t="n">
        <v>113</v>
      </c>
      <c r="V1519" s="16">
        <f>ROUNDUP((T1519+U1519+2*'Read Me'!$B$13)*(1+'Read Me'!$B$12),-1)</f>
        <v/>
      </c>
      <c r="W1519" s="16">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1423</v>
      </c>
      <c r="U1520" s="16" t="n">
        <v>113</v>
      </c>
      <c r="V1520" s="16">
        <f>ROUNDUP((T1520+U1520+2*'Read Me'!$B$13)*(1+'Read Me'!$B$12),-1)</f>
        <v/>
      </c>
      <c r="W1520" s="16">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1423</v>
      </c>
      <c r="U1521" s="16" t="n">
        <v>113</v>
      </c>
      <c r="V1521" s="16">
        <f>ROUNDUP((T1521+U1521+2*'Read Me'!$B$13)*(1+'Read Me'!$B$12),-1)</f>
        <v/>
      </c>
      <c r="W1521" s="16">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1423</v>
      </c>
      <c r="U1522" s="16" t="n">
        <v>113</v>
      </c>
      <c r="V1522" s="16">
        <f>ROUNDUP((T1522+U1522+2*'Read Me'!$B$13)*(1+'Read Me'!$B$12),-1)</f>
        <v/>
      </c>
      <c r="W1522" s="16">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1423</v>
      </c>
      <c r="U1523" s="16" t="n">
        <v>113</v>
      </c>
      <c r="V1523" s="16">
        <f>ROUNDUP((T1523+U1523+2*'Read Me'!$B$13)*(1+'Read Me'!$B$12),-1)</f>
        <v/>
      </c>
      <c r="W1523" s="16">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1423</v>
      </c>
      <c r="U1524" s="16" t="n">
        <v>113</v>
      </c>
      <c r="V1524" s="16">
        <f>ROUNDUP((T1524+U1524+2*'Read Me'!$B$13)*(1+'Read Me'!$B$12),-1)</f>
        <v/>
      </c>
      <c r="W1524" s="16">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1140</v>
      </c>
      <c r="U1525" s="16" t="n">
        <v>110</v>
      </c>
      <c r="V1525" s="16">
        <f>ROUNDUP((T1525+U1525+2*'Read Me'!$B$13)*(1+'Read Me'!$B$12),-1)</f>
        <v/>
      </c>
      <c r="W1525" s="16">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1140</v>
      </c>
      <c r="U1526" s="16" t="n">
        <v>110</v>
      </c>
      <c r="V1526" s="16">
        <f>ROUNDUP((T1526+U1526+2*'Read Me'!$B$13)*(1+'Read Me'!$B$12),-1)</f>
        <v/>
      </c>
      <c r="W1526" s="16">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1140</v>
      </c>
      <c r="U1527" s="16" t="n">
        <v>110</v>
      </c>
      <c r="V1527" s="16">
        <f>ROUNDUP((T1527+U1527+2*'Read Me'!$B$13)*(1+'Read Me'!$B$12),-1)</f>
        <v/>
      </c>
      <c r="W1527" s="16">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1140</v>
      </c>
      <c r="U1528" s="16" t="n">
        <v>110</v>
      </c>
      <c r="V1528" s="16">
        <f>ROUNDUP((T1528+U1528+2*'Read Me'!$B$13)*(1+'Read Me'!$B$12),-1)</f>
        <v/>
      </c>
      <c r="W1528" s="16">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6" t="n">
        <v>1140</v>
      </c>
      <c r="U1529" s="16" t="n">
        <v>110</v>
      </c>
      <c r="V1529" s="16">
        <f>ROUNDUP((T1529+U1529+2*'Read Me'!$B$13)*(1+'Read Me'!$B$12),-1)</f>
        <v/>
      </c>
      <c r="W1529" s="16">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6" t="n">
        <v>1140</v>
      </c>
      <c r="U1530" s="16" t="n">
        <v>110</v>
      </c>
      <c r="V1530" s="16">
        <f>ROUNDUP((T1530+U1530+2*'Read Me'!$B$13)*(1+'Read Me'!$B$12),-1)</f>
        <v/>
      </c>
      <c r="W1530" s="16">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6" t="n">
        <v>1103</v>
      </c>
      <c r="U1531" s="16" t="n">
        <v>113</v>
      </c>
      <c r="V1531" s="16">
        <f>ROUNDUP((T1531+U1531+2*'Read Me'!$B$13)*(1+'Read Me'!$B$12),-1)</f>
        <v/>
      </c>
      <c r="W1531" s="16">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6" t="n">
        <v>1103</v>
      </c>
      <c r="U1532" s="16" t="n">
        <v>113</v>
      </c>
      <c r="V1532" s="16">
        <f>ROUNDUP((T1532+U1532+2*'Read Me'!$B$13)*(1+'Read Me'!$B$12),-1)</f>
        <v/>
      </c>
      <c r="W1532" s="16">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6" t="n">
        <v>1103</v>
      </c>
      <c r="U1533" s="16" t="n">
        <v>113</v>
      </c>
      <c r="V1533" s="16">
        <f>ROUNDUP((T1533+U1533+2*'Read Me'!$B$13)*(1+'Read Me'!$B$12),-1)</f>
        <v/>
      </c>
      <c r="W1533" s="16">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6" t="n">
        <v>1103</v>
      </c>
      <c r="U1534" s="16" t="n">
        <v>113</v>
      </c>
      <c r="V1534" s="16">
        <f>ROUNDUP((T1534+U1534+2*'Read Me'!$B$13)*(1+'Read Me'!$B$12),-1)</f>
        <v/>
      </c>
      <c r="W1534" s="16">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6" t="n">
        <v>1103</v>
      </c>
      <c r="U1535" s="16" t="n">
        <v>113</v>
      </c>
      <c r="V1535" s="16">
        <f>ROUNDUP((T1535+U1535+2*'Read Me'!$B$13)*(1+'Read Me'!$B$12),-1)</f>
        <v/>
      </c>
      <c r="W1535" s="16">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6" t="n">
        <v>1103</v>
      </c>
      <c r="U1536" s="16" t="n">
        <v>113</v>
      </c>
      <c r="V1536" s="16">
        <f>ROUNDUP((T1536+U1536+2*'Read Me'!$B$13)*(1+'Read Me'!$B$12),-1)</f>
        <v/>
      </c>
      <c r="W1536" s="16">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6" t="n">
        <v>463</v>
      </c>
      <c r="U1537" s="16" t="n">
        <v>35</v>
      </c>
      <c r="V1537" s="16">
        <f>ROUNDUP((T1537+U1537+2*'Read Me'!$B$13)*(1+'Read Me'!$B$12),-1)</f>
        <v/>
      </c>
      <c r="W1537" s="16">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6" t="n">
        <v>463</v>
      </c>
      <c r="U1538" s="16" t="n">
        <v>35</v>
      </c>
      <c r="V1538" s="16">
        <f>ROUNDUP((T1538+U1538+2*'Read Me'!$B$13)*(1+'Read Me'!$B$12),-1)</f>
        <v/>
      </c>
      <c r="W1538" s="16">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6" t="n">
        <v>463</v>
      </c>
      <c r="U1539" s="16" t="n">
        <v>35</v>
      </c>
      <c r="V1539" s="16">
        <f>ROUNDUP((T1539+U1539+2*'Read Me'!$B$13)*(1+'Read Me'!$B$12),-1)</f>
        <v/>
      </c>
      <c r="W1539" s="16">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6" t="n">
        <v>463</v>
      </c>
      <c r="U1540" s="16" t="n">
        <v>35</v>
      </c>
      <c r="V1540" s="16">
        <f>ROUNDUP((T1540+U1540+2*'Read Me'!$B$13)*(1+'Read Me'!$B$12),-1)</f>
        <v/>
      </c>
      <c r="W1540" s="16">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6" t="n">
        <v>463</v>
      </c>
      <c r="U1541" s="16" t="n">
        <v>35</v>
      </c>
      <c r="V1541" s="16">
        <f>ROUNDUP((T1541+U1541+2*'Read Me'!$B$13)*(1+'Read Me'!$B$12),-1)</f>
        <v/>
      </c>
      <c r="W1541" s="16">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6" t="n">
        <v>463</v>
      </c>
      <c r="U1542" s="16" t="n">
        <v>35</v>
      </c>
      <c r="V1542" s="16">
        <f>ROUNDUP((T1542+U1542+2*'Read Me'!$B$13)*(1+'Read Me'!$B$12),-1)</f>
        <v/>
      </c>
      <c r="W1542" s="16">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6" t="n">
        <v>408</v>
      </c>
      <c r="U1543" s="16" t="n">
        <v>32</v>
      </c>
      <c r="V1543" s="16">
        <f>ROUNDUP((T1543+U1543+2*'Read Me'!$B$13)*(1+'Read Me'!$B$12),-1)</f>
        <v/>
      </c>
      <c r="W1543" s="16">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6" t="n">
        <v>408</v>
      </c>
      <c r="U1544" s="16" t="n">
        <v>32</v>
      </c>
      <c r="V1544" s="16">
        <f>ROUNDUP((T1544+U1544+2*'Read Me'!$B$13)*(1+'Read Me'!$B$12),-1)</f>
        <v/>
      </c>
      <c r="W1544" s="16">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6" t="n">
        <v>408</v>
      </c>
      <c r="U1545" s="16" t="n">
        <v>32</v>
      </c>
      <c r="V1545" s="16">
        <f>ROUNDUP((T1545+U1545+2*'Read Me'!$B$13)*(1+'Read Me'!$B$12),-1)</f>
        <v/>
      </c>
      <c r="W1545" s="16">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6" t="n">
        <v>408</v>
      </c>
      <c r="U1546" s="16" t="n">
        <v>32</v>
      </c>
      <c r="V1546" s="16">
        <f>ROUNDUP((T1546+U1546+2*'Read Me'!$B$13)*(1+'Read Me'!$B$12),-1)</f>
        <v/>
      </c>
      <c r="W1546" s="16">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6" t="n">
        <v>408</v>
      </c>
      <c r="U1547" s="16" t="n">
        <v>32</v>
      </c>
      <c r="V1547" s="16">
        <f>ROUNDUP((T1547+U1547+2*'Read Me'!$B$13)*(1+'Read Me'!$B$12),-1)</f>
        <v/>
      </c>
      <c r="W1547" s="16">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6" t="n">
        <v>408</v>
      </c>
      <c r="U1548" s="16" t="n">
        <v>32</v>
      </c>
      <c r="V1548" s="16">
        <f>ROUNDUP((T1548+U1548+2*'Read Me'!$B$13)*(1+'Read Me'!$B$12),-1)</f>
        <v/>
      </c>
      <c r="W1548" s="16">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6" t="n">
        <v>302</v>
      </c>
      <c r="U1549" s="16" t="n">
        <v>170</v>
      </c>
      <c r="V1549" s="16">
        <f>ROUNDUP((T1549+U1549+2*'Read Me'!$B$13)*(1+'Read Me'!$B$12),-1)</f>
        <v/>
      </c>
      <c r="W1549" s="16">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6" t="n">
        <v>302</v>
      </c>
      <c r="U1550" s="16" t="n">
        <v>170</v>
      </c>
      <c r="V1550" s="16">
        <f>ROUNDUP((T1550+U1550+2*'Read Me'!$B$13)*(1+'Read Me'!$B$12),-1)</f>
        <v/>
      </c>
      <c r="W1550" s="16">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6" t="n">
        <v>302</v>
      </c>
      <c r="U1551" s="16" t="n">
        <v>170</v>
      </c>
      <c r="V1551" s="16">
        <f>ROUNDUP((T1551+U1551+2*'Read Me'!$B$13)*(1+'Read Me'!$B$12),-1)</f>
        <v/>
      </c>
      <c r="W1551" s="16">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6" t="n">
        <v>302</v>
      </c>
      <c r="U1552" s="16" t="n">
        <v>170</v>
      </c>
      <c r="V1552" s="16">
        <f>ROUNDUP((T1552+U1552+2*'Read Me'!$B$13)*(1+'Read Me'!$B$12),-1)</f>
        <v/>
      </c>
      <c r="W1552" s="16">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6" t="n">
        <v>302</v>
      </c>
      <c r="U1553" s="16" t="n">
        <v>170</v>
      </c>
      <c r="V1553" s="16">
        <f>ROUNDUP((T1553+U1553+2*'Read Me'!$B$13)*(1+'Read Me'!$B$12),-1)</f>
        <v/>
      </c>
      <c r="W1553" s="16">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6" t="n">
        <v>302</v>
      </c>
      <c r="U1554" s="16" t="n">
        <v>170</v>
      </c>
      <c r="V1554" s="16">
        <f>ROUNDUP((T1554+U1554+2*'Read Me'!$B$13)*(1+'Read Me'!$B$12),-1)</f>
        <v/>
      </c>
      <c r="W1554" s="16">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6" t="n">
        <v>302</v>
      </c>
      <c r="U1555" s="16" t="n">
        <v>170</v>
      </c>
      <c r="V1555" s="16">
        <f>ROUNDUP((T1555+U1555+2*'Read Me'!$B$13)*(1+'Read Me'!$B$12),-1)</f>
        <v/>
      </c>
      <c r="W1555" s="16">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6" t="n">
        <v>302</v>
      </c>
      <c r="U1556" s="16" t="n">
        <v>170</v>
      </c>
      <c r="V1556" s="16">
        <f>ROUNDUP((T1556+U1556+2*'Read Me'!$B$13)*(1+'Read Me'!$B$12),-1)</f>
        <v/>
      </c>
      <c r="W1556" s="16">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6" t="n">
        <v>302</v>
      </c>
      <c r="U1557" s="16" t="n">
        <v>170</v>
      </c>
      <c r="V1557" s="16">
        <f>ROUNDUP((T1557+U1557+2*'Read Me'!$B$13)*(1+'Read Me'!$B$12),-1)</f>
        <v/>
      </c>
      <c r="W1557" s="16">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6" t="n">
        <v>302</v>
      </c>
      <c r="U1558" s="16" t="n">
        <v>170</v>
      </c>
      <c r="V1558" s="16">
        <f>ROUNDUP((T1558+U1558+2*'Read Me'!$B$13)*(1+'Read Me'!$B$12),-1)</f>
        <v/>
      </c>
      <c r="W1558" s="16">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6" t="n">
        <v>302</v>
      </c>
      <c r="U1559" s="16" t="n">
        <v>170</v>
      </c>
      <c r="V1559" s="16">
        <f>ROUNDUP((T1559+U1559+2*'Read Me'!$B$13)*(1+'Read Me'!$B$12),-1)</f>
        <v/>
      </c>
      <c r="W1559" s="16">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6" t="n">
        <v>302</v>
      </c>
      <c r="U1560" s="16" t="n">
        <v>170</v>
      </c>
      <c r="V1560" s="16">
        <f>ROUNDUP((T1560+U1560+2*'Read Me'!$B$13)*(1+'Read Me'!$B$12),-1)</f>
        <v/>
      </c>
      <c r="W1560" s="16">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6" t="n">
        <v>232</v>
      </c>
      <c r="U1561" s="16" t="n">
        <v>154</v>
      </c>
      <c r="V1561" s="16">
        <f>ROUNDUP((T1561+U1561+2*'Read Me'!$B$13)*(1+'Read Me'!$B$12),-1)</f>
        <v/>
      </c>
      <c r="W1561" s="16">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6" t="n">
        <v>232</v>
      </c>
      <c r="U1562" s="16" t="n">
        <v>154</v>
      </c>
      <c r="V1562" s="16">
        <f>ROUNDUP((T1562+U1562+2*'Read Me'!$B$13)*(1+'Read Me'!$B$12),-1)</f>
        <v/>
      </c>
      <c r="W1562" s="16">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6" t="n">
        <v>232</v>
      </c>
      <c r="U1563" s="16" t="n">
        <v>154</v>
      </c>
      <c r="V1563" s="16">
        <f>ROUNDUP((T1563+U1563+2*'Read Me'!$B$13)*(1+'Read Me'!$B$12),-1)</f>
        <v/>
      </c>
      <c r="W1563" s="16">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6" t="n">
        <v>232</v>
      </c>
      <c r="U1564" s="16" t="n">
        <v>154</v>
      </c>
      <c r="V1564" s="16">
        <f>ROUNDUP((T1564+U1564+2*'Read Me'!$B$13)*(1+'Read Me'!$B$12),-1)</f>
        <v/>
      </c>
      <c r="W1564" s="16">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6" t="n">
        <v>232</v>
      </c>
      <c r="U1565" s="16" t="n">
        <v>154</v>
      </c>
      <c r="V1565" s="16">
        <f>ROUNDUP((T1565+U1565+2*'Read Me'!$B$13)*(1+'Read Me'!$B$12),-1)</f>
        <v/>
      </c>
      <c r="W1565" s="16">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6" t="n">
        <v>482</v>
      </c>
      <c r="U1566" s="16" t="n">
        <v>150</v>
      </c>
      <c r="V1566" s="16">
        <f>ROUNDUP((T1566+U1566+2*'Read Me'!$B$13)*(1+'Read Me'!$B$12),-1)</f>
        <v/>
      </c>
      <c r="W1566" s="16">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6" t="n">
        <v>482</v>
      </c>
      <c r="U1567" s="16" t="n">
        <v>150</v>
      </c>
      <c r="V1567" s="16">
        <f>ROUNDUP((T1567+U1567+2*'Read Me'!$B$13)*(1+'Read Me'!$B$12),-1)</f>
        <v/>
      </c>
      <c r="W1567" s="16">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6" t="n">
        <v>482</v>
      </c>
      <c r="U1568" s="16" t="n">
        <v>150</v>
      </c>
      <c r="V1568" s="16">
        <f>ROUNDUP((T1568+U1568+2*'Read Me'!$B$13)*(1+'Read Me'!$B$12),-1)</f>
        <v/>
      </c>
      <c r="W1568" s="16">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6" t="n">
        <v>482</v>
      </c>
      <c r="U1569" s="16" t="n">
        <v>150</v>
      </c>
      <c r="V1569" s="16">
        <f>ROUNDUP((T1569+U1569+2*'Read Me'!$B$13)*(1+'Read Me'!$B$12),-1)</f>
        <v/>
      </c>
      <c r="W1569" s="16">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6" t="n">
        <v>482</v>
      </c>
      <c r="U1570" s="16" t="n">
        <v>150</v>
      </c>
      <c r="V1570" s="16">
        <f>ROUNDUP((T1570+U1570+2*'Read Me'!$B$13)*(1+'Read Me'!$B$12),-1)</f>
        <v/>
      </c>
      <c r="W1570" s="16">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6" t="n">
        <v>482</v>
      </c>
      <c r="U1571" s="16" t="n">
        <v>150</v>
      </c>
      <c r="V1571" s="16">
        <f>ROUNDUP((T1571+U1571+2*'Read Me'!$B$13)*(1+'Read Me'!$B$12),-1)</f>
        <v/>
      </c>
      <c r="W1571" s="16">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6" t="n">
        <v>482</v>
      </c>
      <c r="U1572" s="16" t="n">
        <v>150</v>
      </c>
      <c r="V1572" s="16">
        <f>ROUNDUP((T1572+U1572+2*'Read Me'!$B$13)*(1+'Read Me'!$B$12),-1)</f>
        <v/>
      </c>
      <c r="W1572" s="16">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6" t="n">
        <v>482</v>
      </c>
      <c r="U1573" s="16" t="n">
        <v>150</v>
      </c>
      <c r="V1573" s="16">
        <f>ROUNDUP((T1573+U1573+2*'Read Me'!$B$13)*(1+'Read Me'!$B$12),-1)</f>
        <v/>
      </c>
      <c r="W1573" s="16">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6" t="n">
        <v>482</v>
      </c>
      <c r="U1574" s="16" t="n">
        <v>150</v>
      </c>
      <c r="V1574" s="16">
        <f>ROUNDUP((T1574+U1574+2*'Read Me'!$B$13)*(1+'Read Me'!$B$12),-1)</f>
        <v/>
      </c>
      <c r="W1574" s="16">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6" t="n">
        <v>482</v>
      </c>
      <c r="U1575" s="16" t="n">
        <v>150</v>
      </c>
      <c r="V1575" s="16">
        <f>ROUNDUP((T1575+U1575+2*'Read Me'!$B$13)*(1+'Read Me'!$B$12),-1)</f>
        <v/>
      </c>
      <c r="W1575" s="16">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6" t="n">
        <v>482</v>
      </c>
      <c r="U1576" s="16" t="n">
        <v>150</v>
      </c>
      <c r="V1576" s="16">
        <f>ROUNDUP((T1576+U1576+2*'Read Me'!$B$13)*(1+'Read Me'!$B$12),-1)</f>
        <v/>
      </c>
      <c r="W1576" s="16">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6" t="n">
        <v>482</v>
      </c>
      <c r="U1577" s="16" t="n">
        <v>150</v>
      </c>
      <c r="V1577" s="16">
        <f>ROUNDUP((T1577+U1577+2*'Read Me'!$B$13)*(1+'Read Me'!$B$12),-1)</f>
        <v/>
      </c>
      <c r="W1577" s="16">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6" t="n">
        <v>412</v>
      </c>
      <c r="U1578" s="16" t="n">
        <v>134</v>
      </c>
      <c r="V1578" s="16">
        <f>ROUNDUP((T1578+U1578+2*'Read Me'!$B$13)*(1+'Read Me'!$B$12),-1)</f>
        <v/>
      </c>
      <c r="W1578" s="16">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6" t="n">
        <v>412</v>
      </c>
      <c r="U1579" s="16" t="n">
        <v>134</v>
      </c>
      <c r="V1579" s="16">
        <f>ROUNDUP((T1579+U1579+2*'Read Me'!$B$13)*(1+'Read Me'!$B$12),-1)</f>
        <v/>
      </c>
      <c r="W1579" s="16">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6" t="n">
        <v>412</v>
      </c>
      <c r="U1580" s="16" t="n">
        <v>134</v>
      </c>
      <c r="V1580" s="16">
        <f>ROUNDUP((T1580+U1580+2*'Read Me'!$B$13)*(1+'Read Me'!$B$12),-1)</f>
        <v/>
      </c>
      <c r="W1580" s="16">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6" t="n">
        <v>412</v>
      </c>
      <c r="U1581" s="16" t="n">
        <v>134</v>
      </c>
      <c r="V1581" s="16">
        <f>ROUNDUP((T1581+U1581+2*'Read Me'!$B$13)*(1+'Read Me'!$B$12),-1)</f>
        <v/>
      </c>
      <c r="W1581" s="16">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6" t="n">
        <v>412</v>
      </c>
      <c r="U1582" s="16" t="n">
        <v>134</v>
      </c>
      <c r="V1582" s="16">
        <f>ROUNDUP((T1582+U1582+2*'Read Me'!$B$13)*(1+'Read Me'!$B$12),-1)</f>
        <v/>
      </c>
      <c r="W1582" s="16">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6" t="n">
        <v>693</v>
      </c>
      <c r="U1583" s="16" t="n">
        <v>149</v>
      </c>
      <c r="V1583" s="16">
        <f>ROUNDUP((T1583+U1583+2*'Read Me'!$B$13)*(1+'Read Me'!$B$12),-1)</f>
        <v/>
      </c>
      <c r="W1583" s="16">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6" t="n">
        <v>693</v>
      </c>
      <c r="U1584" s="16" t="n">
        <v>149</v>
      </c>
      <c r="V1584" s="16">
        <f>ROUNDUP((T1584+U1584+2*'Read Me'!$B$13)*(1+'Read Me'!$B$12),-1)</f>
        <v/>
      </c>
      <c r="W1584" s="16">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6" t="n">
        <v>693</v>
      </c>
      <c r="U1585" s="16" t="n">
        <v>149</v>
      </c>
      <c r="V1585" s="16">
        <f>ROUNDUP((T1585+U1585+2*'Read Me'!$B$13)*(1+'Read Me'!$B$12),-1)</f>
        <v/>
      </c>
      <c r="W1585" s="16">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6" t="n">
        <v>693</v>
      </c>
      <c r="U1586" s="16" t="n">
        <v>149</v>
      </c>
      <c r="V1586" s="16">
        <f>ROUNDUP((T1586+U1586+2*'Read Me'!$B$13)*(1+'Read Me'!$B$12),-1)</f>
        <v/>
      </c>
      <c r="W1586" s="16">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6" t="n">
        <v>693</v>
      </c>
      <c r="U1587" s="16" t="n">
        <v>149</v>
      </c>
      <c r="V1587" s="16">
        <f>ROUNDUP((T1587+U1587+2*'Read Me'!$B$13)*(1+'Read Me'!$B$12),-1)</f>
        <v/>
      </c>
      <c r="W1587" s="16">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6" t="n">
        <v>693</v>
      </c>
      <c r="U1588" s="16" t="n">
        <v>149</v>
      </c>
      <c r="V1588" s="16">
        <f>ROUNDUP((T1588+U1588+2*'Read Me'!$B$13)*(1+'Read Me'!$B$12),-1)</f>
        <v/>
      </c>
      <c r="W1588" s="16">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6" t="n">
        <v>693</v>
      </c>
      <c r="U1589" s="16" t="n">
        <v>149</v>
      </c>
      <c r="V1589" s="16">
        <f>ROUNDUP((T1589+U1589+2*'Read Me'!$B$13)*(1+'Read Me'!$B$12),-1)</f>
        <v/>
      </c>
      <c r="W1589" s="16">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6" t="n">
        <v>693</v>
      </c>
      <c r="U1590" s="16" t="n">
        <v>149</v>
      </c>
      <c r="V1590" s="16">
        <f>ROUNDUP((T1590+U1590+2*'Read Me'!$B$13)*(1+'Read Me'!$B$12),-1)</f>
        <v/>
      </c>
      <c r="W1590" s="16">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6" t="n">
        <v>693</v>
      </c>
      <c r="U1591" s="16" t="n">
        <v>149</v>
      </c>
      <c r="V1591" s="16">
        <f>ROUNDUP((T1591+U1591+2*'Read Me'!$B$13)*(1+'Read Me'!$B$12),-1)</f>
        <v/>
      </c>
      <c r="W1591" s="16">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6" t="n">
        <v>693</v>
      </c>
      <c r="U1592" s="16" t="n">
        <v>149</v>
      </c>
      <c r="V1592" s="16">
        <f>ROUNDUP((T1592+U1592+2*'Read Me'!$B$13)*(1+'Read Me'!$B$12),-1)</f>
        <v/>
      </c>
      <c r="W1592" s="16">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6" t="n">
        <v>693</v>
      </c>
      <c r="U1593" s="16" t="n">
        <v>149</v>
      </c>
      <c r="V1593" s="16">
        <f>ROUNDUP((T1593+U1593+2*'Read Me'!$B$13)*(1+'Read Me'!$B$12),-1)</f>
        <v/>
      </c>
      <c r="W1593" s="16">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6" t="n">
        <v>693</v>
      </c>
      <c r="U1594" s="16" t="n">
        <v>149</v>
      </c>
      <c r="V1594" s="16">
        <f>ROUNDUP((T1594+U1594+2*'Read Me'!$B$13)*(1+'Read Me'!$B$12),-1)</f>
        <v/>
      </c>
      <c r="W1594" s="16">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6" t="n">
        <v>580</v>
      </c>
      <c r="U1595" s="16" t="n">
        <v>142</v>
      </c>
      <c r="V1595" s="16">
        <f>ROUNDUP((T1595+U1595+2*'Read Me'!$B$13)*(1+'Read Me'!$B$12),-1)</f>
        <v/>
      </c>
      <c r="W1595" s="16">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6" t="n">
        <v>580</v>
      </c>
      <c r="U1596" s="16" t="n">
        <v>142</v>
      </c>
      <c r="V1596" s="16">
        <f>ROUNDUP((T1596+U1596+2*'Read Me'!$B$13)*(1+'Read Me'!$B$12),-1)</f>
        <v/>
      </c>
      <c r="W1596" s="16">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6" t="n">
        <v>580</v>
      </c>
      <c r="U1597" s="16" t="n">
        <v>142</v>
      </c>
      <c r="V1597" s="16">
        <f>ROUNDUP((T1597+U1597+2*'Read Me'!$B$13)*(1+'Read Me'!$B$12),-1)</f>
        <v/>
      </c>
      <c r="W1597" s="16">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6" t="n">
        <v>580</v>
      </c>
      <c r="U1598" s="16" t="n">
        <v>142</v>
      </c>
      <c r="V1598" s="16">
        <f>ROUNDUP((T1598+U1598+2*'Read Me'!$B$13)*(1+'Read Me'!$B$12),-1)</f>
        <v/>
      </c>
      <c r="W1598" s="16">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6" t="n">
        <v>580</v>
      </c>
      <c r="U1599" s="16" t="n">
        <v>142</v>
      </c>
      <c r="V1599" s="16">
        <f>ROUNDUP((T1599+U1599+2*'Read Me'!$B$13)*(1+'Read Me'!$B$12),-1)</f>
        <v/>
      </c>
      <c r="W1599" s="16">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6" t="n">
        <v>445</v>
      </c>
      <c r="U1600" s="16" t="n">
        <v>178</v>
      </c>
      <c r="V1600" s="16">
        <f>ROUNDUP((T1600+U1600+2*'Read Me'!$B$13)*(1+'Read Me'!$B$12),-1)</f>
        <v/>
      </c>
      <c r="W1600" s="16">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6" t="n">
        <v>445</v>
      </c>
      <c r="U1601" s="16" t="n">
        <v>178</v>
      </c>
      <c r="V1601" s="16">
        <f>ROUNDUP((T1601+U1601+2*'Read Me'!$B$13)*(1+'Read Me'!$B$12),-1)</f>
        <v/>
      </c>
      <c r="W1601" s="16">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6" t="n">
        <v>445</v>
      </c>
      <c r="U1602" s="16" t="n">
        <v>178</v>
      </c>
      <c r="V1602" s="16">
        <f>ROUNDUP((T1602+U1602+2*'Read Me'!$B$13)*(1+'Read Me'!$B$12),-1)</f>
        <v/>
      </c>
      <c r="W1602" s="16">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6" t="n">
        <v>445</v>
      </c>
      <c r="U1603" s="16" t="n">
        <v>178</v>
      </c>
      <c r="V1603" s="16">
        <f>ROUNDUP((T1603+U1603+2*'Read Me'!$B$13)*(1+'Read Me'!$B$12),-1)</f>
        <v/>
      </c>
      <c r="W1603" s="16">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6" t="n">
        <v>625</v>
      </c>
      <c r="U1604" s="16" t="n">
        <v>158</v>
      </c>
      <c r="V1604" s="16">
        <f>ROUNDUP((T1604+U1604+2*'Read Me'!$B$13)*(1+'Read Me'!$B$12),-1)</f>
        <v/>
      </c>
      <c r="W1604" s="16">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6" t="n">
        <v>625</v>
      </c>
      <c r="U1605" s="16" t="n">
        <v>158</v>
      </c>
      <c r="V1605" s="16">
        <f>ROUNDUP((T1605+U1605+2*'Read Me'!$B$13)*(1+'Read Me'!$B$12),-1)</f>
        <v/>
      </c>
      <c r="W1605" s="16">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6" t="n">
        <v>625</v>
      </c>
      <c r="U1606" s="16" t="n">
        <v>158</v>
      </c>
      <c r="V1606" s="16">
        <f>ROUNDUP((T1606+U1606+2*'Read Me'!$B$13)*(1+'Read Me'!$B$12),-1)</f>
        <v/>
      </c>
      <c r="W1606" s="16">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6" t="n">
        <v>625</v>
      </c>
      <c r="U1607" s="16" t="n">
        <v>158</v>
      </c>
      <c r="V1607" s="16">
        <f>ROUNDUP((T1607+U1607+2*'Read Me'!$B$13)*(1+'Read Me'!$B$12),-1)</f>
        <v/>
      </c>
      <c r="W1607" s="16">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6" t="n">
        <v>793</v>
      </c>
      <c r="U1608" s="16" t="n">
        <v>166</v>
      </c>
      <c r="V1608" s="16">
        <f>ROUNDUP((T1608+U1608+2*'Read Me'!$B$13)*(1+'Read Me'!$B$12),-1)</f>
        <v/>
      </c>
      <c r="W1608" s="16">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6" t="n">
        <v>793</v>
      </c>
      <c r="U1609" s="16" t="n">
        <v>166</v>
      </c>
      <c r="V1609" s="16">
        <f>ROUNDUP((T1609+U1609+2*'Read Me'!$B$13)*(1+'Read Me'!$B$12),-1)</f>
        <v/>
      </c>
      <c r="W1609" s="16">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6" t="n">
        <v>793</v>
      </c>
      <c r="U1610" s="16" t="n">
        <v>166</v>
      </c>
      <c r="V1610" s="16">
        <f>ROUNDUP((T1610+U1610+2*'Read Me'!$B$13)*(1+'Read Me'!$B$12),-1)</f>
        <v/>
      </c>
      <c r="W1610" s="16">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6" t="n">
        <v>793</v>
      </c>
      <c r="U1611" s="16" t="n">
        <v>166</v>
      </c>
      <c r="V1611" s="16">
        <f>ROUNDUP((T1611+U1611+2*'Read Me'!$B$13)*(1+'Read Me'!$B$12),-1)</f>
        <v/>
      </c>
      <c r="W1611" s="16">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0</v>
      </c>
      <c r="U1649" s="16" t="n">
        <v>87</v>
      </c>
      <c r="V1649" s="16">
        <f>ROUNDUP((T1649+U1649+2*'Read Me'!$B$13)*(1+'Read Me'!$B$12),-1)</f>
        <v/>
      </c>
      <c r="W1649" s="16">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0</v>
      </c>
      <c r="U1650" s="16" t="n">
        <v>87</v>
      </c>
      <c r="V1650" s="16">
        <f>ROUNDUP((T1650+U1650+2*'Read Me'!$B$13)*(1+'Read Me'!$B$12),-1)</f>
        <v/>
      </c>
      <c r="W1650" s="16">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0</v>
      </c>
      <c r="U1651" s="16" t="n">
        <v>87</v>
      </c>
      <c r="V1651" s="16">
        <f>ROUNDUP((T1651+U1651+2*'Read Me'!$B$13)*(1+'Read Me'!$B$12),-1)</f>
        <v/>
      </c>
      <c r="W1651" s="16">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0</v>
      </c>
      <c r="U1652" s="16" t="n">
        <v>87</v>
      </c>
      <c r="V1652" s="16">
        <f>ROUNDUP((T1652+U1652+2*'Read Me'!$B$13)*(1+'Read Me'!$B$12),-1)</f>
        <v/>
      </c>
      <c r="W1652" s="16">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6" t="n">
        <v>0</v>
      </c>
      <c r="U1653" s="16" t="n">
        <v>87</v>
      </c>
      <c r="V1653" s="16">
        <f>ROUNDUP((T1653+U1653+2*'Read Me'!$B$13)*(1+'Read Me'!$B$12),-1)</f>
        <v/>
      </c>
      <c r="W1653" s="16">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6" t="n">
        <v>0</v>
      </c>
      <c r="U1654" s="16" t="n">
        <v>87</v>
      </c>
      <c r="V1654" s="16">
        <f>ROUNDUP((T1654+U1654+2*'Read Me'!$B$13)*(1+'Read Me'!$B$12),-1)</f>
        <v/>
      </c>
      <c r="W1654" s="16">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6" t="n">
        <v>0</v>
      </c>
      <c r="U1655" s="16" t="n">
        <v>87</v>
      </c>
      <c r="V1655" s="16">
        <f>ROUNDUP((T1655+U1655+2*'Read Me'!$B$13)*(1+'Read Me'!$B$12),-1)</f>
        <v/>
      </c>
      <c r="W1655" s="16">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0</v>
      </c>
      <c r="U1656" s="16" t="n">
        <v>87</v>
      </c>
      <c r="V1656" s="16">
        <f>ROUNDUP((T1656+U1656+2*'Read Me'!$B$13)*(1+'Read Me'!$B$12),-1)</f>
        <v/>
      </c>
      <c r="W1656" s="16">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0</v>
      </c>
      <c r="U1657" s="16" t="n">
        <v>87</v>
      </c>
      <c r="V1657" s="16">
        <f>ROUNDUP((T1657+U1657+2*'Read Me'!$B$13)*(1+'Read Me'!$B$12),-1)</f>
        <v/>
      </c>
      <c r="W1657" s="16">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0</v>
      </c>
      <c r="U1658" s="16" t="n">
        <v>87</v>
      </c>
      <c r="V1658" s="16">
        <f>ROUNDUP((T1658+U1658+2*'Read Me'!$B$13)*(1+'Read Me'!$B$12),-1)</f>
        <v/>
      </c>
      <c r="W1658" s="16">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0</v>
      </c>
      <c r="U1659" s="16" t="n">
        <v>87</v>
      </c>
      <c r="V1659" s="16">
        <f>ROUNDUP((T1659+U1659+2*'Read Me'!$B$13)*(1+'Read Me'!$B$12),-1)</f>
        <v/>
      </c>
      <c r="W1659" s="16">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6" t="n">
        <v>0</v>
      </c>
      <c r="U1660" s="16" t="n">
        <v>87</v>
      </c>
      <c r="V1660" s="16">
        <f>ROUNDUP((T1660+U1660+2*'Read Me'!$B$13)*(1+'Read Me'!$B$12),-1)</f>
        <v/>
      </c>
      <c r="W1660" s="16">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6" t="n">
        <v>300</v>
      </c>
      <c r="U1661" s="16" t="n">
        <v>87</v>
      </c>
      <c r="V1661" s="16">
        <f>ROUNDUP((T1661+U1661+2*'Read Me'!$B$13)*(1+'Read Me'!$B$12),-1)</f>
        <v/>
      </c>
      <c r="W1661" s="16">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6" t="n">
        <v>300</v>
      </c>
      <c r="U1662" s="16" t="n">
        <v>87</v>
      </c>
      <c r="V1662" s="16">
        <f>ROUNDUP((T1662+U1662+2*'Read Me'!$B$13)*(1+'Read Me'!$B$12),-1)</f>
        <v/>
      </c>
      <c r="W1662" s="16">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6" t="n">
        <v>300</v>
      </c>
      <c r="U1663" s="16" t="n">
        <v>87</v>
      </c>
      <c r="V1663" s="16">
        <f>ROUNDUP((T1663+U1663+2*'Read Me'!$B$13)*(1+'Read Me'!$B$12),-1)</f>
        <v/>
      </c>
      <c r="W1663" s="16">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6" t="n">
        <v>300</v>
      </c>
      <c r="U1664" s="16" t="n">
        <v>87</v>
      </c>
      <c r="V1664" s="16">
        <f>ROUNDUP((T1664+U1664+2*'Read Me'!$B$13)*(1+'Read Me'!$B$12),-1)</f>
        <v/>
      </c>
      <c r="W1664" s="16">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6" t="n">
        <v>0</v>
      </c>
      <c r="U1665" s="16" t="n">
        <v>87</v>
      </c>
      <c r="V1665" s="16">
        <f>ROUNDUP((T1665+U1665+2*'Read Me'!$B$13)*(1+'Read Me'!$B$12),-1)</f>
        <v/>
      </c>
      <c r="W1665" s="16">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6" t="n">
        <v>0</v>
      </c>
      <c r="U1666" s="16" t="n">
        <v>87</v>
      </c>
      <c r="V1666" s="16">
        <f>ROUNDUP((T1666+U1666+2*'Read Me'!$B$13)*(1+'Read Me'!$B$12),-1)</f>
        <v/>
      </c>
      <c r="W1666" s="16">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6" t="n">
        <v>0</v>
      </c>
      <c r="U1667" s="16" t="n">
        <v>87</v>
      </c>
      <c r="V1667" s="16">
        <f>ROUNDUP((T1667+U1667+2*'Read Me'!$B$13)*(1+'Read Me'!$B$12),-1)</f>
        <v/>
      </c>
      <c r="W1667" s="16">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38</v>
      </c>
      <c r="U1669" s="16" t="n">
        <v>86</v>
      </c>
      <c r="V1669" s="16">
        <f>ROUNDUP((T1669+U1669+2*'Read Me'!$B$13)*(1+'Read Me'!$B$12),-1)</f>
        <v/>
      </c>
      <c r="W1669" s="16">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38</v>
      </c>
      <c r="U1670" s="16" t="n">
        <v>86</v>
      </c>
      <c r="V1670" s="16">
        <f>ROUNDUP((T1670+U1670+2*'Read Me'!$B$13)*(1+'Read Me'!$B$12),-1)</f>
        <v/>
      </c>
      <c r="W1670" s="16">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38</v>
      </c>
      <c r="U1671" s="16" t="n">
        <v>86</v>
      </c>
      <c r="V1671" s="16">
        <f>ROUNDUP((T1671+U1671+2*'Read Me'!$B$13)*(1+'Read Me'!$B$12),-1)</f>
        <v/>
      </c>
      <c r="W1671" s="16">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38</v>
      </c>
      <c r="U1672" s="16" t="n">
        <v>86</v>
      </c>
      <c r="V1672" s="16">
        <f>ROUNDUP((T1672+U1672+2*'Read Me'!$B$13)*(1+'Read Me'!$B$12),-1)</f>
        <v/>
      </c>
      <c r="W1672" s="16">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6" t="n">
        <v>38</v>
      </c>
      <c r="U1673" s="16" t="n">
        <v>86</v>
      </c>
      <c r="V1673" s="16">
        <f>ROUNDUP((T1673+U1673+2*'Read Me'!$B$13)*(1+'Read Me'!$B$12),-1)</f>
        <v/>
      </c>
      <c r="W1673" s="16">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6" t="n">
        <v>404</v>
      </c>
      <c r="U1674" s="16" t="n">
        <v>108</v>
      </c>
      <c r="V1674" s="16">
        <f>ROUNDUP((T1674+U1674+2*'Read Me'!$B$13)*(1+'Read Me'!$B$12),-1)</f>
        <v/>
      </c>
      <c r="W1674" s="16">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6" t="n">
        <v>404</v>
      </c>
      <c r="U1675" s="16" t="n">
        <v>108</v>
      </c>
      <c r="V1675" s="16">
        <f>ROUNDUP((T1675+U1675+2*'Read Me'!$B$13)*(1+'Read Me'!$B$12),-1)</f>
        <v/>
      </c>
      <c r="W1675" s="16">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6" t="n">
        <v>404</v>
      </c>
      <c r="U1676" s="16" t="n">
        <v>108</v>
      </c>
      <c r="V1676" s="16">
        <f>ROUNDUP((T1676+U1676+2*'Read Me'!$B$13)*(1+'Read Me'!$B$12),-1)</f>
        <v/>
      </c>
      <c r="W1676" s="16">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6" t="n">
        <v>404</v>
      </c>
      <c r="U1677" s="16" t="n">
        <v>108</v>
      </c>
      <c r="V1677" s="16">
        <f>ROUNDUP((T1677+U1677+2*'Read Me'!$B$13)*(1+'Read Me'!$B$12),-1)</f>
        <v/>
      </c>
      <c r="W1677" s="16">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6" t="n">
        <v>404</v>
      </c>
      <c r="U1678" s="16" t="n">
        <v>108</v>
      </c>
      <c r="V1678" s="16">
        <f>ROUNDUP((T1678+U1678+2*'Read Me'!$B$13)*(1+'Read Me'!$B$12),-1)</f>
        <v/>
      </c>
      <c r="W1678" s="16">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6" t="n">
        <v>404</v>
      </c>
      <c r="U1679" s="16" t="n">
        <v>108</v>
      </c>
      <c r="V1679" s="16">
        <f>ROUNDUP((T1679+U1679+2*'Read Me'!$B$13)*(1+'Read Me'!$B$12),-1)</f>
        <v/>
      </c>
      <c r="W1679" s="16">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6" t="n">
        <v>486</v>
      </c>
      <c r="U1680" s="16" t="n">
        <v>148</v>
      </c>
      <c r="V1680" s="16">
        <f>ROUNDUP((T1680+U1680+2*'Read Me'!$B$13)*(1+'Read Me'!$B$12),-1)</f>
        <v/>
      </c>
      <c r="W1680" s="16">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6" t="n">
        <v>186</v>
      </c>
      <c r="U1681" s="16" t="n">
        <v>328</v>
      </c>
      <c r="V1681" s="16">
        <f>ROUNDUP((T1681+U1681+2*'Read Me'!$B$13)*(1+'Read Me'!$B$12),-1)</f>
        <v/>
      </c>
      <c r="W1681" s="16">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53</v>
      </c>
      <c r="U1719" s="16" t="n">
        <v>96</v>
      </c>
      <c r="V1719" s="16">
        <f>ROUNDUP((T1719+U1719+2*'Read Me'!$B$13)*(1+'Read Me'!$B$12),-1)</f>
        <v/>
      </c>
      <c r="W1719" s="16">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53</v>
      </c>
      <c r="U1720" s="16" t="n">
        <v>96</v>
      </c>
      <c r="V1720" s="16">
        <f>ROUNDUP((T1720+U1720+2*'Read Me'!$B$13)*(1+'Read Me'!$B$12),-1)</f>
        <v/>
      </c>
      <c r="W1720" s="16">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53</v>
      </c>
      <c r="U1721" s="16" t="n">
        <v>96</v>
      </c>
      <c r="V1721" s="16">
        <f>ROUNDUP((T1721+U1721+2*'Read Me'!$B$13)*(1+'Read Me'!$B$12),-1)</f>
        <v/>
      </c>
      <c r="W1721" s="16">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53</v>
      </c>
      <c r="U1722" s="16" t="n">
        <v>96</v>
      </c>
      <c r="V1722" s="16">
        <f>ROUNDUP((T1722+U1722+2*'Read Me'!$B$13)*(1+'Read Me'!$B$12),-1)</f>
        <v/>
      </c>
      <c r="W1722" s="16">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6" t="n">
        <v>53</v>
      </c>
      <c r="U1723" s="16" t="n">
        <v>96</v>
      </c>
      <c r="V1723" s="16">
        <f>ROUNDUP((T1723+U1723+2*'Read Me'!$B$13)*(1+'Read Me'!$B$12),-1)</f>
        <v/>
      </c>
      <c r="W1723" s="16">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6" t="n">
        <v>53</v>
      </c>
      <c r="U1724" s="16" t="n">
        <v>96</v>
      </c>
      <c r="V1724" s="16">
        <f>ROUNDUP((T1724+U1724+2*'Read Me'!$B$13)*(1+'Read Me'!$B$12),-1)</f>
        <v/>
      </c>
      <c r="W1724" s="16">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53</v>
      </c>
      <c r="U1725" s="16" t="n">
        <v>96</v>
      </c>
      <c r="V1725" s="16">
        <f>ROUNDUP((T1725+U1725+2*'Read Me'!$B$13)*(1+'Read Me'!$B$12),-1)</f>
        <v/>
      </c>
      <c r="W1725" s="16">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53</v>
      </c>
      <c r="U1726" s="16" t="n">
        <v>96</v>
      </c>
      <c r="V1726" s="16">
        <f>ROUNDUP((T1726+U1726+2*'Read Me'!$B$13)*(1+'Read Me'!$B$12),-1)</f>
        <v/>
      </c>
      <c r="W1726" s="16">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53</v>
      </c>
      <c r="U1727" s="16" t="n">
        <v>96</v>
      </c>
      <c r="V1727" s="16">
        <f>ROUNDUP((T1727+U1727+2*'Read Me'!$B$13)*(1+'Read Me'!$B$12),-1)</f>
        <v/>
      </c>
      <c r="W1727" s="16">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53</v>
      </c>
      <c r="U1728" s="16" t="n">
        <v>96</v>
      </c>
      <c r="V1728" s="16">
        <f>ROUNDUP((T1728+U1728+2*'Read Me'!$B$13)*(1+'Read Me'!$B$12),-1)</f>
        <v/>
      </c>
      <c r="W1728" s="16">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6" t="n">
        <v>53</v>
      </c>
      <c r="U1729" s="16" t="n">
        <v>96</v>
      </c>
      <c r="V1729" s="16">
        <f>ROUNDUP((T1729+U1729+2*'Read Me'!$B$13)*(1+'Read Me'!$B$12),-1)</f>
        <v/>
      </c>
      <c r="W1729" s="16">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6" t="n">
        <v>53</v>
      </c>
      <c r="U1730" s="16" t="n">
        <v>96</v>
      </c>
      <c r="V1730" s="16">
        <f>ROUNDUP((T1730+U1730+2*'Read Me'!$B$13)*(1+'Read Me'!$B$12),-1)</f>
        <v/>
      </c>
      <c r="W1730" s="16">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6" t="n">
        <v>353</v>
      </c>
      <c r="U1731" s="16" t="n">
        <v>96</v>
      </c>
      <c r="V1731" s="16">
        <f>ROUNDUP((T1731+U1731+2*'Read Me'!$B$13)*(1+'Read Me'!$B$12),-1)</f>
        <v/>
      </c>
      <c r="W1731" s="16">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6" t="n">
        <v>353</v>
      </c>
      <c r="U1732" s="16" t="n">
        <v>96</v>
      </c>
      <c r="V1732" s="16">
        <f>ROUNDUP((T1732+U1732+2*'Read Me'!$B$13)*(1+'Read Me'!$B$12),-1)</f>
        <v/>
      </c>
      <c r="W1732" s="16">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6" t="n">
        <v>353</v>
      </c>
      <c r="U1733" s="16" t="n">
        <v>96</v>
      </c>
      <c r="V1733" s="16">
        <f>ROUNDUP((T1733+U1733+2*'Read Me'!$B$13)*(1+'Read Me'!$B$12),-1)</f>
        <v/>
      </c>
      <c r="W1733" s="16">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6" t="n">
        <v>353</v>
      </c>
      <c r="U1734" s="16" t="n">
        <v>96</v>
      </c>
      <c r="V1734" s="16">
        <f>ROUNDUP((T1734+U1734+2*'Read Me'!$B$13)*(1+'Read Me'!$B$12),-1)</f>
        <v/>
      </c>
      <c r="W1734" s="16">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6" t="n">
        <v>53</v>
      </c>
      <c r="U1735" s="16" t="n">
        <v>96</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6" t="n">
        <v>53</v>
      </c>
      <c r="U1736" s="16" t="n">
        <v>96</v>
      </c>
      <c r="V1736" s="16">
        <f>ROUNDUP((T1736+U1736+2*'Read Me'!$B$13)*(1+'Read Me'!$B$12),-1)</f>
        <v/>
      </c>
      <c r="W1736" s="16">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6" t="n">
        <v>53</v>
      </c>
      <c r="U1737" s="16" t="n">
        <v>96</v>
      </c>
      <c r="V1737" s="16">
        <f>ROUNDUP((T1737+U1737+2*'Read Me'!$B$13)*(1+'Read Me'!$B$12),-1)</f>
        <v/>
      </c>
      <c r="W1737" s="16">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6" t="n">
        <v>53</v>
      </c>
      <c r="U1738" s="16" t="n">
        <v>96</v>
      </c>
      <c r="V1738" s="16">
        <f>ROUNDUP((T1738+U1738+2*'Read Me'!$B$13)*(1+'Read Me'!$B$12),-1)</f>
        <v/>
      </c>
      <c r="W1738" s="16">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38</v>
      </c>
      <c r="U1739" s="16" t="n">
        <v>86</v>
      </c>
      <c r="V1739" s="16">
        <f>ROUNDUP((T1739+U1739+2*'Read Me'!$B$13)*(1+'Read Me'!$B$12),-1)</f>
        <v/>
      </c>
      <c r="W1739" s="16">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38</v>
      </c>
      <c r="U1740" s="16" t="n">
        <v>86</v>
      </c>
      <c r="V1740" s="16">
        <f>ROUNDUP((T1740+U1740+2*'Read Me'!$B$13)*(1+'Read Me'!$B$12),-1)</f>
        <v/>
      </c>
      <c r="W1740" s="16">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38</v>
      </c>
      <c r="U1741" s="16" t="n">
        <v>86</v>
      </c>
      <c r="V1741" s="16">
        <f>ROUNDUP((T1741+U1741+2*'Read Me'!$B$13)*(1+'Read Me'!$B$12),-1)</f>
        <v/>
      </c>
      <c r="W1741" s="16">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38</v>
      </c>
      <c r="U1742" s="16" t="n">
        <v>86</v>
      </c>
      <c r="V1742" s="16">
        <f>ROUNDUP((T1742+U1742+2*'Read Me'!$B$13)*(1+'Read Me'!$B$12),-1)</f>
        <v/>
      </c>
      <c r="W1742" s="16">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6" t="n">
        <v>38</v>
      </c>
      <c r="U1743" s="16" t="n">
        <v>86</v>
      </c>
      <c r="V1743" s="16">
        <f>ROUNDUP((T1743+U1743+2*'Read Me'!$B$13)*(1+'Read Me'!$B$12),-1)</f>
        <v/>
      </c>
      <c r="W1743" s="16">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6" t="n">
        <v>404</v>
      </c>
      <c r="U1744" s="16" t="n">
        <v>108</v>
      </c>
      <c r="V1744" s="16">
        <f>ROUNDUP((T1744+U1744+2*'Read Me'!$B$13)*(1+'Read Me'!$B$12),-1)</f>
        <v/>
      </c>
      <c r="W1744" s="16">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6" t="n">
        <v>404</v>
      </c>
      <c r="U1745" s="16" t="n">
        <v>108</v>
      </c>
      <c r="V1745" s="16">
        <f>ROUNDUP((T1745+U1745+2*'Read Me'!$B$13)*(1+'Read Me'!$B$12),-1)</f>
        <v/>
      </c>
      <c r="W1745" s="16">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6" t="n">
        <v>404</v>
      </c>
      <c r="U1746" s="16" t="n">
        <v>108</v>
      </c>
      <c r="V1746" s="16">
        <f>ROUNDUP((T1746+U1746+2*'Read Me'!$B$13)*(1+'Read Me'!$B$12),-1)</f>
        <v/>
      </c>
      <c r="W1746" s="16">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6" t="n">
        <v>404</v>
      </c>
      <c r="U1747" s="16" t="n">
        <v>108</v>
      </c>
      <c r="V1747" s="16">
        <f>ROUNDUP((T1747+U1747+2*'Read Me'!$B$13)*(1+'Read Me'!$B$12),-1)</f>
        <v/>
      </c>
      <c r="W1747" s="16">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6" t="n">
        <v>404</v>
      </c>
      <c r="U1748" s="16" t="n">
        <v>108</v>
      </c>
      <c r="V1748" s="16">
        <f>ROUNDUP((T1748+U1748+2*'Read Me'!$B$13)*(1+'Read Me'!$B$12),-1)</f>
        <v/>
      </c>
      <c r="W1748" s="16">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6" t="n">
        <v>404</v>
      </c>
      <c r="U1749" s="16" t="n">
        <v>108</v>
      </c>
      <c r="V1749" s="16">
        <f>ROUNDUP((T1749+U1749+2*'Read Me'!$B$13)*(1+'Read Me'!$B$12),-1)</f>
        <v/>
      </c>
      <c r="W1749" s="16">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6" t="n">
        <v>573</v>
      </c>
      <c r="U1750" s="16" t="n">
        <v>135</v>
      </c>
      <c r="V1750" s="16">
        <f>ROUNDUP((T1750+U1750+2*'Read Me'!$B$13)*(1+'Read Me'!$B$12),-1)</f>
        <v/>
      </c>
      <c r="W1750" s="16">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6" t="n">
        <v>273</v>
      </c>
      <c r="U1751" s="16" t="n">
        <v>315</v>
      </c>
      <c r="V1751" s="16">
        <f>ROUNDUP((T1751+U1751+2*'Read Me'!$B$13)*(1+'Read Me'!$B$12),-1)</f>
        <v/>
      </c>
      <c r="W1751" s="16">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6" t="n">
        <v>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6" t="n">
        <v>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6" t="n">
        <v>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6" t="n">
        <v>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0</v>
      </c>
      <c r="U1789" s="16" t="n">
        <v>87</v>
      </c>
      <c r="V1789" s="16">
        <f>ROUNDUP((T1789+U1789+2*'Read Me'!$B$13)*(1+'Read Me'!$B$12),-1)</f>
        <v/>
      </c>
      <c r="W1789" s="16">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0</v>
      </c>
      <c r="U1790" s="16" t="n">
        <v>87</v>
      </c>
      <c r="V1790" s="16">
        <f>ROUNDUP((T1790+U1790+2*'Read Me'!$B$13)*(1+'Read Me'!$B$12),-1)</f>
        <v/>
      </c>
      <c r="W1790" s="16">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0</v>
      </c>
      <c r="U1791" s="16" t="n">
        <v>87</v>
      </c>
      <c r="V1791" s="16">
        <f>ROUNDUP((T1791+U1791+2*'Read Me'!$B$13)*(1+'Read Me'!$B$12),-1)</f>
        <v/>
      </c>
      <c r="W1791" s="16">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0</v>
      </c>
      <c r="U1792" s="16" t="n">
        <v>87</v>
      </c>
      <c r="V1792" s="16">
        <f>ROUNDUP((T1792+U1792+2*'Read Me'!$B$13)*(1+'Read Me'!$B$12),-1)</f>
        <v/>
      </c>
      <c r="W1792" s="16">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6" t="n">
        <v>0</v>
      </c>
      <c r="U1793" s="16" t="n">
        <v>87</v>
      </c>
      <c r="V1793" s="16">
        <f>ROUNDUP((T1793+U1793+2*'Read Me'!$B$13)*(1+'Read Me'!$B$12),-1)</f>
        <v/>
      </c>
      <c r="W1793" s="16">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6" t="n">
        <v>0</v>
      </c>
      <c r="U1794" s="16" t="n">
        <v>87</v>
      </c>
      <c r="V1794" s="16">
        <f>ROUNDUP((T1794+U1794+2*'Read Me'!$B$13)*(1+'Read Me'!$B$12),-1)</f>
        <v/>
      </c>
      <c r="W1794" s="16">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6" t="n">
        <v>0</v>
      </c>
      <c r="U1795" s="16" t="n">
        <v>87</v>
      </c>
      <c r="V1795" s="16">
        <f>ROUNDUP((T1795+U1795+2*'Read Me'!$B$13)*(1+'Read Me'!$B$12),-1)</f>
        <v/>
      </c>
      <c r="W1795" s="16">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6" t="n">
        <v>0</v>
      </c>
      <c r="U1796" s="16" t="n">
        <v>87</v>
      </c>
      <c r="V1796" s="16">
        <f>ROUNDUP((T1796+U1796+2*'Read Me'!$B$13)*(1+'Read Me'!$B$12),-1)</f>
        <v/>
      </c>
      <c r="W1796" s="16">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6" t="n">
        <v>0</v>
      </c>
      <c r="U1797" s="16" t="n">
        <v>87</v>
      </c>
      <c r="V1797" s="16">
        <f>ROUNDUP((T1797+U1797+2*'Read Me'!$B$13)*(1+'Read Me'!$B$12),-1)</f>
        <v/>
      </c>
      <c r="W1797" s="16">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6" t="n">
        <v>0</v>
      </c>
      <c r="U1798" s="16" t="n">
        <v>87</v>
      </c>
      <c r="V1798" s="16">
        <f>ROUNDUP((T1798+U1798+2*'Read Me'!$B$13)*(1+'Read Me'!$B$12),-1)</f>
        <v/>
      </c>
      <c r="W1798" s="16">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6" t="n">
        <v>0</v>
      </c>
      <c r="U1799" s="16" t="n">
        <v>87</v>
      </c>
      <c r="V1799" s="16">
        <f>ROUNDUP((T1799+U1799+2*'Read Me'!$B$13)*(1+'Read Me'!$B$12),-1)</f>
        <v/>
      </c>
      <c r="W1799" s="16">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6" t="n">
        <v>0</v>
      </c>
      <c r="U1800" s="16" t="n">
        <v>87</v>
      </c>
      <c r="V1800" s="16">
        <f>ROUNDUP((T1800+U1800+2*'Read Me'!$B$13)*(1+'Read Me'!$B$12),-1)</f>
        <v/>
      </c>
      <c r="W1800" s="16">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6" t="n">
        <v>300</v>
      </c>
      <c r="U1801" s="16" t="n">
        <v>87</v>
      </c>
      <c r="V1801" s="16">
        <f>ROUNDUP((T1801+U1801+2*'Read Me'!$B$13)*(1+'Read Me'!$B$12),-1)</f>
        <v/>
      </c>
      <c r="W1801" s="16">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6" t="n">
        <v>300</v>
      </c>
      <c r="U1802" s="16" t="n">
        <v>87</v>
      </c>
      <c r="V1802" s="16">
        <f>ROUNDUP((T1802+U1802+2*'Read Me'!$B$13)*(1+'Read Me'!$B$12),-1)</f>
        <v/>
      </c>
      <c r="W1802" s="16">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6" t="n">
        <v>300</v>
      </c>
      <c r="U1803" s="16" t="n">
        <v>87</v>
      </c>
      <c r="V1803" s="16">
        <f>ROUNDUP((T1803+U1803+2*'Read Me'!$B$13)*(1+'Read Me'!$B$12),-1)</f>
        <v/>
      </c>
      <c r="W1803" s="16">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6" t="n">
        <v>300</v>
      </c>
      <c r="U1804" s="16" t="n">
        <v>87</v>
      </c>
      <c r="V1804" s="16">
        <f>ROUNDUP((T1804+U1804+2*'Read Me'!$B$13)*(1+'Read Me'!$B$12),-1)</f>
        <v/>
      </c>
      <c r="W1804" s="16">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6" t="n">
        <v>0</v>
      </c>
      <c r="U1805" s="16" t="n">
        <v>87</v>
      </c>
      <c r="V1805" s="16">
        <f>ROUNDUP((T1805+U1805+2*'Read Me'!$B$13)*(1+'Read Me'!$B$12),-1)</f>
        <v/>
      </c>
      <c r="W1805" s="16">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6" t="n">
        <v>0</v>
      </c>
      <c r="U1806" s="16" t="n">
        <v>87</v>
      </c>
      <c r="V1806" s="16">
        <f>ROUNDUP((T1806+U1806+2*'Read Me'!$B$13)*(1+'Read Me'!$B$12),-1)</f>
        <v/>
      </c>
      <c r="W1806" s="16">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6" t="n">
        <v>0</v>
      </c>
      <c r="U1807" s="16" t="n">
        <v>87</v>
      </c>
      <c r="V1807" s="16">
        <f>ROUNDUP((T1807+U1807+2*'Read Me'!$B$13)*(1+'Read Me'!$B$12),-1)</f>
        <v/>
      </c>
      <c r="W1807" s="16">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6" t="n">
        <v>0</v>
      </c>
      <c r="U1808" s="16" t="n">
        <v>87</v>
      </c>
      <c r="V1808" s="16">
        <f>ROUNDUP((T1808+U1808+2*'Read Me'!$B$13)*(1+'Read Me'!$B$12),-1)</f>
        <v/>
      </c>
      <c r="W1808" s="16">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6" t="n">
        <v>38</v>
      </c>
      <c r="U1809" s="16" t="n">
        <v>86</v>
      </c>
      <c r="V1809" s="16">
        <f>ROUNDUP((T1809+U1809+2*'Read Me'!$B$13)*(1+'Read Me'!$B$12),-1)</f>
        <v/>
      </c>
      <c r="W1809" s="16">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6" t="n">
        <v>38</v>
      </c>
      <c r="U1810" s="16" t="n">
        <v>86</v>
      </c>
      <c r="V1810" s="16">
        <f>ROUNDUP((T1810+U1810+2*'Read Me'!$B$13)*(1+'Read Me'!$B$12),-1)</f>
        <v/>
      </c>
      <c r="W1810" s="16">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6" t="n">
        <v>38</v>
      </c>
      <c r="U1811" s="16" t="n">
        <v>86</v>
      </c>
      <c r="V1811" s="16">
        <f>ROUNDUP((T1811+U1811+2*'Read Me'!$B$13)*(1+'Read Me'!$B$12),-1)</f>
        <v/>
      </c>
      <c r="W1811" s="16">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6" t="n">
        <v>38</v>
      </c>
      <c r="U1812" s="16" t="n">
        <v>86</v>
      </c>
      <c r="V1812" s="16">
        <f>ROUNDUP((T1812+U1812+2*'Read Me'!$B$13)*(1+'Read Me'!$B$12),-1)</f>
        <v/>
      </c>
      <c r="W1812" s="16">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6" t="n">
        <v>38</v>
      </c>
      <c r="U1813" s="16" t="n">
        <v>86</v>
      </c>
      <c r="V1813" s="16">
        <f>ROUNDUP((T1813+U1813+2*'Read Me'!$B$13)*(1+'Read Me'!$B$12),-1)</f>
        <v/>
      </c>
      <c r="W1813" s="16">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6" t="n">
        <v>404</v>
      </c>
      <c r="U1814" s="16" t="n">
        <v>108</v>
      </c>
      <c r="V1814" s="16">
        <f>ROUNDUP((T1814+U1814+2*'Read Me'!$B$13)*(1+'Read Me'!$B$12),-1)</f>
        <v/>
      </c>
      <c r="W1814" s="16">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6" t="n">
        <v>404</v>
      </c>
      <c r="U1815" s="16" t="n">
        <v>108</v>
      </c>
      <c r="V1815" s="16">
        <f>ROUNDUP((T1815+U1815+2*'Read Me'!$B$13)*(1+'Read Me'!$B$12),-1)</f>
        <v/>
      </c>
      <c r="W1815" s="16">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6" t="n">
        <v>404</v>
      </c>
      <c r="U1816" s="16" t="n">
        <v>108</v>
      </c>
      <c r="V1816" s="16">
        <f>ROUNDUP((T1816+U1816+2*'Read Me'!$B$13)*(1+'Read Me'!$B$12),-1)</f>
        <v/>
      </c>
      <c r="W1816" s="16">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6" t="n">
        <v>404</v>
      </c>
      <c r="U1817" s="16" t="n">
        <v>108</v>
      </c>
      <c r="V1817" s="16">
        <f>ROUNDUP((T1817+U1817+2*'Read Me'!$B$13)*(1+'Read Me'!$B$12),-1)</f>
        <v/>
      </c>
      <c r="W1817" s="16">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6" t="n">
        <v>404</v>
      </c>
      <c r="U1818" s="16" t="n">
        <v>108</v>
      </c>
      <c r="V1818" s="16">
        <f>ROUNDUP((T1818+U1818+2*'Read Me'!$B$13)*(1+'Read Me'!$B$12),-1)</f>
        <v/>
      </c>
      <c r="W1818" s="16">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6" t="n">
        <v>404</v>
      </c>
      <c r="U1819" s="16" t="n">
        <v>108</v>
      </c>
      <c r="V1819" s="16">
        <f>ROUNDUP((T1819+U1819+2*'Read Me'!$B$13)*(1+'Read Me'!$B$12),-1)</f>
        <v/>
      </c>
      <c r="W1819" s="16">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6" t="n">
        <v>486</v>
      </c>
      <c r="U1820" s="16" t="n">
        <v>148</v>
      </c>
      <c r="V1820" s="16">
        <f>ROUNDUP((T1820+U1820+2*'Read Me'!$B$13)*(1+'Read Me'!$B$12),-1)</f>
        <v/>
      </c>
      <c r="W1820" s="16">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6" t="n">
        <v>186</v>
      </c>
      <c r="U1821" s="16" t="n">
        <v>328</v>
      </c>
      <c r="V1821" s="16">
        <f>ROUNDUP((T1821+U1821+2*'Read Me'!$B$13)*(1+'Read Me'!$B$12),-1)</f>
        <v/>
      </c>
      <c r="W1821" s="16">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6" t="n">
        <v>208</v>
      </c>
      <c r="U1822" s="16" t="n">
        <v>135</v>
      </c>
      <c r="V1822" s="16">
        <f>ROUNDUP((T1822+U1822+2*'Read Me'!$B$13)*(1+'Read Me'!$B$12),-1)</f>
        <v/>
      </c>
      <c r="W1822" s="16">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6" t="n">
        <v>180</v>
      </c>
      <c r="U1827" s="16" t="n">
        <v>20</v>
      </c>
      <c r="V1827" s="16">
        <f>ROUNDUP((T1827+U1827+2*'Read Me'!$B$13)*(1+'Read Me'!$B$12),-1)</f>
        <v/>
      </c>
      <c r="W1827" s="16">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6" t="n">
        <v>180</v>
      </c>
      <c r="U1828" s="16" t="n">
        <v>20</v>
      </c>
      <c r="V1828" s="16">
        <f>ROUNDUP((T1828+U1828+2*'Read Me'!$B$13)*(1+'Read Me'!$B$12),-1)</f>
        <v/>
      </c>
      <c r="W1828" s="16">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6" t="n">
        <v>180</v>
      </c>
      <c r="U1829" s="16" t="n">
        <v>20</v>
      </c>
      <c r="V1829" s="16">
        <f>ROUNDUP((T1829+U1829+2*'Read Me'!$B$13)*(1+'Read Me'!$B$12),-1)</f>
        <v/>
      </c>
      <c r="W1829" s="16">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6" t="n">
        <v>180</v>
      </c>
      <c r="U1830" s="16" t="n">
        <v>20</v>
      </c>
      <c r="V1830" s="16">
        <f>ROUNDUP((T1830+U1830+2*'Read Me'!$B$13)*(1+'Read Me'!$B$12),-1)</f>
        <v/>
      </c>
      <c r="W1830" s="16">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6" t="n">
        <v>180</v>
      </c>
      <c r="U1831" s="16" t="n">
        <v>20</v>
      </c>
      <c r="V1831" s="16">
        <f>ROUNDUP((T1831+U1831+2*'Read Me'!$B$13)*(1+'Read Me'!$B$12),-1)</f>
        <v/>
      </c>
      <c r="W1831" s="16">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6" t="n">
        <v>180</v>
      </c>
      <c r="U1832" s="16" t="n">
        <v>20</v>
      </c>
      <c r="V1832" s="16">
        <f>ROUNDUP((T1832+U1832+2*'Read Me'!$B$13)*(1+'Read Me'!$B$12),-1)</f>
        <v/>
      </c>
      <c r="W1832" s="16">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6" t="n">
        <v>180</v>
      </c>
      <c r="U1833" s="16" t="n">
        <v>20</v>
      </c>
      <c r="V1833" s="16">
        <f>ROUNDUP((T1833+U1833+2*'Read Me'!$B$13)*(1+'Read Me'!$B$12),-1)</f>
        <v/>
      </c>
      <c r="W1833" s="16">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6" t="n">
        <v>180</v>
      </c>
      <c r="U1834" s="16" t="n">
        <v>20</v>
      </c>
      <c r="V1834" s="16">
        <f>ROUNDUP((T1834+U1834+2*'Read Me'!$B$13)*(1+'Read Me'!$B$12),-1)</f>
        <v/>
      </c>
      <c r="W1834" s="16">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6" t="n">
        <v>180</v>
      </c>
      <c r="U1835" s="16" t="n">
        <v>20</v>
      </c>
      <c r="V1835" s="16">
        <f>ROUNDUP((T1835+U1835+2*'Read Me'!$B$13)*(1+'Read Me'!$B$12),-1)</f>
        <v/>
      </c>
      <c r="W1835" s="16">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6" t="n">
        <v>180</v>
      </c>
      <c r="U1836" s="16" t="n">
        <v>20</v>
      </c>
      <c r="V1836" s="16">
        <f>ROUNDUP((T1836+U1836+2*'Read Me'!$B$13)*(1+'Read Me'!$B$12),-1)</f>
        <v/>
      </c>
      <c r="W1836" s="16">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6" t="n">
        <v>180</v>
      </c>
      <c r="U1837" s="16" t="n">
        <v>20</v>
      </c>
      <c r="V1837" s="16">
        <f>ROUNDUP((T1837+U1837+2*'Read Me'!$B$13)*(1+'Read Me'!$B$12),-1)</f>
        <v/>
      </c>
      <c r="W1837" s="16">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6" t="n">
        <v>180</v>
      </c>
      <c r="U1838" s="16" t="n">
        <v>20</v>
      </c>
      <c r="V1838" s="16">
        <f>ROUNDUP((T1838+U1838+2*'Read Me'!$B$13)*(1+'Read Me'!$B$12),-1)</f>
        <v/>
      </c>
      <c r="W1838" s="16">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6" t="n">
        <v>180</v>
      </c>
      <c r="U1839" s="16" t="n">
        <v>20</v>
      </c>
      <c r="V1839" s="16">
        <f>ROUNDUP((T1839+U1839+2*'Read Me'!$B$13)*(1+'Read Me'!$B$12),-1)</f>
        <v/>
      </c>
      <c r="W1839" s="16">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6" t="n">
        <v>180</v>
      </c>
      <c r="U1840" s="16" t="n">
        <v>20</v>
      </c>
      <c r="V1840" s="16">
        <f>ROUNDUP((T1840+U1840+2*'Read Me'!$B$13)*(1+'Read Me'!$B$12),-1)</f>
        <v/>
      </c>
      <c r="W1840" s="16">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6" t="n">
        <v>180</v>
      </c>
      <c r="U1841" s="16" t="n">
        <v>20</v>
      </c>
      <c r="V1841" s="16">
        <f>ROUNDUP((T1841+U1841+2*'Read Me'!$B$13)*(1+'Read Me'!$B$12),-1)</f>
        <v/>
      </c>
      <c r="W1841" s="16">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6" t="n">
        <v>180</v>
      </c>
      <c r="U1842" s="16" t="n">
        <v>20</v>
      </c>
      <c r="V1842" s="16">
        <f>ROUNDUP((T1842+U1842+2*'Read Me'!$B$13)*(1+'Read Me'!$B$12),-1)</f>
        <v/>
      </c>
      <c r="W1842" s="16">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6" t="n">
        <v>180</v>
      </c>
      <c r="U1843" s="16" t="n">
        <v>20</v>
      </c>
      <c r="V1843" s="16">
        <f>ROUNDUP((T1843+U1843+2*'Read Me'!$B$13)*(1+'Read Me'!$B$12),-1)</f>
        <v/>
      </c>
      <c r="W1843" s="16">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6" t="n">
        <v>180</v>
      </c>
      <c r="U1844" s="16" t="n">
        <v>20</v>
      </c>
      <c r="V1844" s="16">
        <f>ROUNDUP((T1844+U1844+2*'Read Me'!$B$13)*(1+'Read Me'!$B$12),-1)</f>
        <v/>
      </c>
      <c r="W1844" s="16">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6" t="n">
        <v>180</v>
      </c>
      <c r="U1845" s="16" t="n">
        <v>20</v>
      </c>
      <c r="V1845" s="16">
        <f>ROUNDUP((T1845+U1845+2*'Read Me'!$B$13)*(1+'Read Me'!$B$12),-1)</f>
        <v/>
      </c>
      <c r="W1845" s="16">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6" t="n">
        <v>180</v>
      </c>
      <c r="U1846" s="16" t="n">
        <v>20</v>
      </c>
      <c r="V1846" s="16">
        <f>ROUNDUP((T1846+U1846+2*'Read Me'!$B$13)*(1+'Read Me'!$B$12),-1)</f>
        <v/>
      </c>
      <c r="W1846" s="16">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6" t="n">
        <v>51</v>
      </c>
      <c r="U1847" s="16" t="n">
        <v>41</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6" t="n">
        <v>51</v>
      </c>
      <c r="U1848" s="16" t="n">
        <v>41</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6" t="n">
        <v>51</v>
      </c>
      <c r="U1849" s="16" t="n">
        <v>41</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6" t="n">
        <v>51</v>
      </c>
      <c r="U1850" s="16" t="n">
        <v>41</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6" t="n">
        <v>51</v>
      </c>
      <c r="U1851" s="16" t="n">
        <v>41</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6" t="n">
        <v>51</v>
      </c>
      <c r="U1852" s="16" t="n">
        <v>41</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6" t="n">
        <v>51</v>
      </c>
      <c r="U1853" s="16" t="n">
        <v>63</v>
      </c>
      <c r="V1853" s="16">
        <f>ROUNDUP((T1853+U1853+2*'Read Me'!$B$13)*(1+'Read Me'!$B$12),-1)</f>
        <v/>
      </c>
      <c r="W1853" s="16">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6" t="n">
        <v>51</v>
      </c>
      <c r="U1854" s="16" t="n">
        <v>63</v>
      </c>
      <c r="V1854" s="16">
        <f>ROUNDUP((T1854+U1854+2*'Read Me'!$B$13)*(1+'Read Me'!$B$12),-1)</f>
        <v/>
      </c>
      <c r="W1854" s="16">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6" t="n">
        <v>51</v>
      </c>
      <c r="U1855" s="16" t="n">
        <v>63</v>
      </c>
      <c r="V1855" s="16">
        <f>ROUNDUP((T1855+U1855+2*'Read Me'!$B$13)*(1+'Read Me'!$B$12),-1)</f>
        <v/>
      </c>
      <c r="W1855" s="16">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51</v>
      </c>
      <c r="U1856" s="16" t="n">
        <v>63</v>
      </c>
      <c r="V1856" s="16">
        <f>ROUNDUP((T1856+U1856+2*'Read Me'!$B$13)*(1+'Read Me'!$B$12),-1)</f>
        <v/>
      </c>
      <c r="W1856" s="16">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51</v>
      </c>
      <c r="U1857" s="16" t="n">
        <v>63</v>
      </c>
      <c r="V1857" s="16">
        <f>ROUNDUP((T1857+U1857+2*'Read Me'!$B$13)*(1+'Read Me'!$B$12),-1)</f>
        <v/>
      </c>
      <c r="W1857" s="16">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51</v>
      </c>
      <c r="U1858" s="16" t="n">
        <v>63</v>
      </c>
      <c r="V1858" s="16">
        <f>ROUNDUP((T1858+U1858+2*'Read Me'!$B$13)*(1+'Read Me'!$B$12),-1)</f>
        <v/>
      </c>
      <c r="W1858" s="16">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13</v>
      </c>
      <c r="O1859" s="12" t="n">
        <v>4</v>
      </c>
      <c r="P1859" s="12" t="n">
        <v>480</v>
      </c>
      <c r="Q1859" s="12" t="n">
        <v>3000</v>
      </c>
      <c r="R1859" s="12" t="n">
        <v>3609</v>
      </c>
      <c r="S1859" s="12" t="inlineStr">
        <is>
          <t>Tray</t>
        </is>
      </c>
      <c r="T1859" s="16" t="n">
        <v>890</v>
      </c>
      <c r="U1859" s="16" t="n">
        <v>194</v>
      </c>
      <c r="V1859" s="16">
        <f>ROUNDUP((T1859+U1859+2*'Read Me'!$B$13)*(1+'Read Me'!$B$12),-1)</f>
        <v/>
      </c>
      <c r="W1859" s="16">
        <f>V1859*N1859*O1859</f>
        <v/>
      </c>
      <c r="X1859" s="12">
        <f>IF(LEFT(I1859,2)="MV",2*N1859*IF(L1859="1/C",O1859,1),0)</f>
        <v/>
      </c>
      <c r="Y1859" s="12">
        <f>IF(OR(LEFT(K1859,4)="LVAX",LEFT(K1859,6)="MV15AX",LEFT(K1859,4)="CTAX",LEFT(K1859,2)="W|"),2*N1859*O1859,0)</f>
        <v/>
      </c>
      <c r="Z1859" s="12" t="inlineStr">
        <is>
          <t>13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13</v>
      </c>
      <c r="O1860" s="12" t="n">
        <v>4</v>
      </c>
      <c r="P1860" s="12" t="n">
        <v>480</v>
      </c>
      <c r="Q1860" s="12" t="n">
        <v>3000</v>
      </c>
      <c r="R1860" s="12" t="n">
        <v>3609</v>
      </c>
      <c r="S1860" s="12" t="inlineStr">
        <is>
          <t>Tray</t>
        </is>
      </c>
      <c r="T1860" s="16" t="n">
        <v>972</v>
      </c>
      <c r="U1860" s="16" t="n">
        <v>192</v>
      </c>
      <c r="V1860" s="16">
        <f>ROUNDUP((T1860+U1860+2*'Read Me'!$B$13)*(1+'Read Me'!$B$12),-1)</f>
        <v/>
      </c>
      <c r="W1860" s="16">
        <f>V1860*N1860*O1860</f>
        <v/>
      </c>
      <c r="X1860" s="12">
        <f>IF(LEFT(I1860,2)="MV",2*N1860*IF(L1860="1/C",O1860,1),0)</f>
        <v/>
      </c>
      <c r="Y1860" s="12">
        <f>IF(OR(LEFT(K1860,4)="LVAX",LEFT(K1860,6)="MV15AX",LEFT(K1860,4)="CTAX",LEFT(K1860,2)="W|"),2*N1860*O1860,0)</f>
        <v/>
      </c>
      <c r="Z1860" s="12" t="inlineStr">
        <is>
          <t>13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6" t="n">
        <v>0</v>
      </c>
      <c r="U1861" s="16" t="n">
        <v>70</v>
      </c>
      <c r="V1861" s="16">
        <f>ROUNDUP((T1861+U1861+2*'Read Me'!$B$13)*(1+'Read Me'!$B$12),-1)</f>
        <v/>
      </c>
      <c r="W1861" s="16">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6" t="n">
        <v>51</v>
      </c>
      <c r="U1862" s="16" t="n">
        <v>60</v>
      </c>
      <c r="V1862" s="16">
        <f>ROUNDUP((T1862+U1862+2*'Read Me'!$B$13)*(1+'Read Me'!$B$12),-1)</f>
        <v/>
      </c>
      <c r="W1862" s="16">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6" t="n">
        <v>67</v>
      </c>
      <c r="U1863" s="16" t="n">
        <v>47</v>
      </c>
      <c r="V1863" s="16">
        <f>ROUNDUP((T1863+U1863+2*'Read Me'!$B$13)*(1+'Read Me'!$B$12),-1)</f>
        <v/>
      </c>
      <c r="W1863" s="16">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6" t="n">
        <v>627</v>
      </c>
      <c r="U1864" s="16" t="n">
        <v>152</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6" t="n">
        <v>8</v>
      </c>
      <c r="U1865" s="16" t="n">
        <v>78</v>
      </c>
      <c r="V1865" s="16">
        <f>ROUNDUP((T1865+U1865+2*'Read Me'!$B$13)*(1+'Read Me'!$B$12),-1)</f>
        <v/>
      </c>
      <c r="W1865" s="16">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6" t="n">
        <v>0</v>
      </c>
      <c r="U1866" s="16" t="n">
        <v>72</v>
      </c>
      <c r="V1866" s="16">
        <f>ROUNDUP((T1866+U1866+2*'Read Me'!$B$13)*(1+'Read Me'!$B$12),-1)</f>
        <v/>
      </c>
      <c r="W1866" s="16">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6" t="n">
        <v>19</v>
      </c>
      <c r="U1867" s="16" t="n">
        <v>78</v>
      </c>
      <c r="V1867" s="16">
        <f>ROUNDUP((T1867+U1867+2*'Read Me'!$B$13)*(1+'Read Me'!$B$12),-1)</f>
        <v/>
      </c>
      <c r="W1867" s="16">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6" t="n">
        <v>0</v>
      </c>
      <c r="U1868" s="16" t="n">
        <v>72</v>
      </c>
      <c r="V1868" s="16">
        <f>ROUNDUP((T1868+U1868+2*'Read Me'!$B$13)*(1+'Read Me'!$B$12),-1)</f>
        <v/>
      </c>
      <c r="W1868" s="16">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6" t="n">
        <v>19</v>
      </c>
      <c r="U1869" s="16" t="n">
        <v>78</v>
      </c>
      <c r="V1869" s="16">
        <f>ROUNDUP((T1869+U1869+2*'Read Me'!$B$13)*(1+'Read Me'!$B$12),-1)</f>
        <v/>
      </c>
      <c r="W1869" s="16">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6" t="n">
        <v>0</v>
      </c>
      <c r="U1870" s="16" t="n">
        <v>72</v>
      </c>
      <c r="V1870" s="16">
        <f>ROUNDUP((T1870+U1870+2*'Read Me'!$B$13)*(1+'Read Me'!$B$12),-1)</f>
        <v/>
      </c>
      <c r="W1870" s="16">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6" t="n">
        <v>13</v>
      </c>
      <c r="U1871" s="16" t="n">
        <v>58</v>
      </c>
      <c r="V1871" s="16">
        <f>ROUNDUP((T1871+U1871+2*'Read Me'!$B$13)*(1+'Read Me'!$B$12),-1)</f>
        <v/>
      </c>
      <c r="W1871" s="16">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6" t="n">
        <v>0</v>
      </c>
      <c r="U1872" s="16" t="n">
        <v>32</v>
      </c>
      <c r="V1872" s="16">
        <f>ROUNDUP((T1872+U1872+2*'Read Me'!$B$13)*(1+'Read Me'!$B$12),-1)</f>
        <v/>
      </c>
      <c r="W1872" s="16">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6" t="n">
        <v>404</v>
      </c>
      <c r="U1873" s="16" t="n">
        <v>72</v>
      </c>
      <c r="V1873" s="16">
        <f>ROUNDUP((T1873+U1873+2*'Read Me'!$B$13)*(1+'Read Me'!$B$12),-1)</f>
        <v/>
      </c>
      <c r="W1873" s="16">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6" t="n">
        <v>404</v>
      </c>
      <c r="U1874" s="16" t="n">
        <v>72</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6" t="n">
        <v>404</v>
      </c>
      <c r="U1875" s="16" t="n">
        <v>72</v>
      </c>
      <c r="V1875" s="16">
        <f>ROUNDUP((T1875+U1875+2*'Read Me'!$B$13)*(1+'Read Me'!$B$12),-1)</f>
        <v/>
      </c>
      <c r="W1875" s="16">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6" t="n">
        <v>404</v>
      </c>
      <c r="U1876" s="16" t="n">
        <v>72</v>
      </c>
      <c r="V1876" s="16">
        <f>ROUNDUP((T1876+U1876+2*'Read Me'!$B$13)*(1+'Read Me'!$B$12),-1)</f>
        <v/>
      </c>
      <c r="W1876" s="16">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6" t="n">
        <v>404</v>
      </c>
      <c r="U1877" s="16" t="n">
        <v>72</v>
      </c>
      <c r="V1877" s="16">
        <f>ROUNDUP((T1877+U1877+2*'Read Me'!$B$13)*(1+'Read Me'!$B$12),-1)</f>
        <v/>
      </c>
      <c r="W1877" s="16">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6" t="n">
        <v>404</v>
      </c>
      <c r="U1878" s="16" t="n">
        <v>72</v>
      </c>
      <c r="V1878" s="16">
        <f>ROUNDUP((T1878+U1878+2*'Read Me'!$B$13)*(1+'Read Me'!$B$12),-1)</f>
        <v/>
      </c>
      <c r="W1878" s="16">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6" t="n">
        <v>481</v>
      </c>
      <c r="U1879" s="16" t="n">
        <v>189</v>
      </c>
      <c r="V1879" s="16">
        <f>ROUNDUP((T1879+U1879+2*'Read Me'!$B$13)*(1+'Read Me'!$B$12),-1)</f>
        <v/>
      </c>
      <c r="W1879" s="16">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6" t="n">
        <v>481</v>
      </c>
      <c r="U1880" s="16" t="n">
        <v>189</v>
      </c>
      <c r="V1880" s="16">
        <f>ROUNDUP((T1880+U1880+2*'Read Me'!$B$13)*(1+'Read Me'!$B$12),-1)</f>
        <v/>
      </c>
      <c r="W1880" s="16">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6" t="n">
        <v>481</v>
      </c>
      <c r="U1881" s="16" t="n">
        <v>189</v>
      </c>
      <c r="V1881" s="16">
        <f>ROUNDUP((T1881+U1881+2*'Read Me'!$B$13)*(1+'Read Me'!$B$12),-1)</f>
        <v/>
      </c>
      <c r="W1881" s="16">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6" t="n">
        <v>661</v>
      </c>
      <c r="U1882" s="16" t="n">
        <v>169</v>
      </c>
      <c r="V1882" s="16">
        <f>ROUNDUP((T1882+U1882+2*'Read Me'!$B$13)*(1+'Read Me'!$B$12),-1)</f>
        <v/>
      </c>
      <c r="W1882" s="16">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6" t="n">
        <v>661</v>
      </c>
      <c r="U1883" s="16" t="n">
        <v>169</v>
      </c>
      <c r="V1883" s="16">
        <f>ROUNDUP((T1883+U1883+2*'Read Me'!$B$13)*(1+'Read Me'!$B$12),-1)</f>
        <v/>
      </c>
      <c r="W1883" s="16">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6" t="n">
        <v>661</v>
      </c>
      <c r="U1884" s="16" t="n">
        <v>169</v>
      </c>
      <c r="V1884" s="16">
        <f>ROUNDUP((T1884+U1884+2*'Read Me'!$B$13)*(1+'Read Me'!$B$12),-1)</f>
        <v/>
      </c>
      <c r="W1884" s="16">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6" t="n">
        <v>829</v>
      </c>
      <c r="U1885" s="16" t="n">
        <v>177</v>
      </c>
      <c r="V1885" s="16">
        <f>ROUNDUP((T1885+U1885+2*'Read Me'!$B$13)*(1+'Read Me'!$B$12),-1)</f>
        <v/>
      </c>
      <c r="W1885" s="16">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6" t="n">
        <v>829</v>
      </c>
      <c r="U1886" s="16" t="n">
        <v>177</v>
      </c>
      <c r="V1886" s="16">
        <f>ROUNDUP((T1886+U1886+2*'Read Me'!$B$13)*(1+'Read Me'!$B$12),-1)</f>
        <v/>
      </c>
      <c r="W1886" s="16">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6" t="n">
        <v>829</v>
      </c>
      <c r="U1887" s="16" t="n">
        <v>177</v>
      </c>
      <c r="V1887" s="16">
        <f>ROUNDUP((T1887+U1887+2*'Read Me'!$B$13)*(1+'Read Me'!$B$12),-1)</f>
        <v/>
      </c>
      <c r="W1887" s="16">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6" t="n">
        <v>67</v>
      </c>
      <c r="U1888" s="16" t="n">
        <v>84</v>
      </c>
      <c r="V1888" s="16">
        <f>ROUNDUP((T1888+U1888+2*'Read Me'!$B$13)*(1+'Read Me'!$B$12),-1)</f>
        <v/>
      </c>
      <c r="W1888" s="16">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6" t="n">
        <v>67</v>
      </c>
      <c r="U1889" s="16" t="n">
        <v>84</v>
      </c>
      <c r="V1889" s="16">
        <f>ROUNDUP((T1889+U1889+2*'Read Me'!$B$13)*(1+'Read Me'!$B$12),-1)</f>
        <v/>
      </c>
      <c r="W1889" s="16">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6" t="n">
        <v>67</v>
      </c>
      <c r="U1890" s="16" t="n">
        <v>84</v>
      </c>
      <c r="V1890" s="16">
        <f>ROUNDUP((T1890+U1890+2*'Read Me'!$B$13)*(1+'Read Me'!$B$12),-1)</f>
        <v/>
      </c>
      <c r="W1890" s="16">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6" t="n">
        <v>67</v>
      </c>
      <c r="U1891" s="16" t="n">
        <v>84</v>
      </c>
      <c r="V1891" s="16">
        <f>ROUNDUP((T1891+U1891+2*'Read Me'!$B$13)*(1+'Read Me'!$B$12),-1)</f>
        <v/>
      </c>
      <c r="W1891" s="16">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6" t="n">
        <v>67</v>
      </c>
      <c r="U1892" s="16" t="n">
        <v>84</v>
      </c>
      <c r="V1892" s="16">
        <f>ROUNDUP((T1892+U1892+2*'Read Me'!$B$13)*(1+'Read Me'!$B$12),-1)</f>
        <v/>
      </c>
      <c r="W1892" s="16">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6" t="n">
        <v>67</v>
      </c>
      <c r="U1893" s="16" t="n">
        <v>84</v>
      </c>
      <c r="V1893" s="16">
        <f>ROUNDUP((T1893+U1893+2*'Read Me'!$B$13)*(1+'Read Me'!$B$12),-1)</f>
        <v/>
      </c>
      <c r="W1893" s="16">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6" t="n">
        <v>67</v>
      </c>
      <c r="U1894" s="16" t="n">
        <v>84</v>
      </c>
      <c r="V1894" s="16">
        <f>ROUNDUP((T1894+U1894+2*'Read Me'!$B$13)*(1+'Read Me'!$B$12),-1)</f>
        <v/>
      </c>
      <c r="W1894" s="16">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6" t="n">
        <v>67</v>
      </c>
      <c r="U1895" s="16" t="n">
        <v>84</v>
      </c>
      <c r="V1895" s="16">
        <f>ROUNDUP((T1895+U1895+2*'Read Me'!$B$13)*(1+'Read Me'!$B$12),-1)</f>
        <v/>
      </c>
      <c r="W1895" s="16">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6" t="n">
        <v>67</v>
      </c>
      <c r="U1896" s="16" t="n">
        <v>84</v>
      </c>
      <c r="V1896" s="16">
        <f>ROUNDUP((T1896+U1896+2*'Read Me'!$B$13)*(1+'Read Me'!$B$12),-1)</f>
        <v/>
      </c>
      <c r="W1896" s="16">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6" t="n">
        <v>67</v>
      </c>
      <c r="U1897" s="16" t="n">
        <v>84</v>
      </c>
      <c r="V1897" s="16">
        <f>ROUNDUP((T1897+U1897+2*'Read Me'!$B$13)*(1+'Read Me'!$B$12),-1)</f>
        <v/>
      </c>
      <c r="W1897" s="16">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6" t="n">
        <v>12</v>
      </c>
      <c r="U1903" s="16" t="n">
        <v>50</v>
      </c>
      <c r="V1903" s="16">
        <f>ROUNDUP((T1903+U1903+2*'Read Me'!$B$13)*(1+'Read Me'!$B$12),-1)</f>
        <v/>
      </c>
      <c r="W1903" s="16">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6" t="n">
        <v>12</v>
      </c>
      <c r="U1904" s="16" t="n">
        <v>50</v>
      </c>
      <c r="V1904" s="16">
        <f>ROUNDUP((T1904+U1904+2*'Read Me'!$B$13)*(1+'Read Me'!$B$12),-1)</f>
        <v/>
      </c>
      <c r="W1904" s="16">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6" t="n">
        <v>12</v>
      </c>
      <c r="U1905" s="16" t="n">
        <v>50</v>
      </c>
      <c r="V1905" s="16">
        <f>ROUNDUP((T1905+U1905+2*'Read Me'!$B$13)*(1+'Read Me'!$B$12),-1)</f>
        <v/>
      </c>
      <c r="W1905" s="16">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6" t="n">
        <v>12</v>
      </c>
      <c r="U1906" s="16" t="n">
        <v>50</v>
      </c>
      <c r="V1906" s="16">
        <f>ROUNDUP((T1906+U1906+2*'Read Me'!$B$13)*(1+'Read Me'!$B$12),-1)</f>
        <v/>
      </c>
      <c r="W1906" s="16">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6" t="n">
        <v>12</v>
      </c>
      <c r="U1907" s="16" t="n">
        <v>50</v>
      </c>
      <c r="V1907" s="16">
        <f>ROUNDUP((T1907+U1907+2*'Read Me'!$B$13)*(1+'Read Me'!$B$12),-1)</f>
        <v/>
      </c>
      <c r="W1907" s="16">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6" t="n">
        <v>12</v>
      </c>
      <c r="U1908" s="16" t="n">
        <v>50</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6" t="n">
        <v>12</v>
      </c>
      <c r="U1909" s="16" t="n">
        <v>50</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6" t="n">
        <v>12</v>
      </c>
      <c r="U1910" s="16" t="n">
        <v>50</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6" t="n">
        <v>12</v>
      </c>
      <c r="U1911" s="16" t="n">
        <v>50</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6" t="n">
        <v>12</v>
      </c>
      <c r="U1912" s="16" t="n">
        <v>50</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6" t="n">
        <v>12</v>
      </c>
      <c r="U1913" s="16" t="n">
        <v>50</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6" t="n">
        <v>12</v>
      </c>
      <c r="U1914" s="16" t="n">
        <v>50</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6" t="n">
        <v>12</v>
      </c>
      <c r="U1915" s="16" t="n">
        <v>50</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6" t="n">
        <v>12</v>
      </c>
      <c r="U1916" s="16" t="n">
        <v>50</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6" t="n">
        <v>12</v>
      </c>
      <c r="U1917" s="16" t="n">
        <v>50</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6" t="n">
        <v>12</v>
      </c>
      <c r="U1918" s="16" t="n">
        <v>50</v>
      </c>
      <c r="V1918" s="16">
        <f>ROUNDUP((T1918+U1918+2*'Read Me'!$B$13)*(1+'Read Me'!$B$12),-1)</f>
        <v/>
      </c>
      <c r="W1918" s="16">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6" t="n">
        <v>12</v>
      </c>
      <c r="U1919" s="16" t="n">
        <v>50</v>
      </c>
      <c r="V1919" s="16">
        <f>ROUNDUP((T1919+U1919+2*'Read Me'!$B$13)*(1+'Read Me'!$B$12),-1)</f>
        <v/>
      </c>
      <c r="W1919" s="16">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6" t="n">
        <v>12</v>
      </c>
      <c r="U1920" s="16" t="n">
        <v>50</v>
      </c>
      <c r="V1920" s="16">
        <f>ROUNDUP((T1920+U1920+2*'Read Me'!$B$13)*(1+'Read Me'!$B$12),-1)</f>
        <v/>
      </c>
      <c r="W1920" s="16">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6" t="n">
        <v>12</v>
      </c>
      <c r="U1921" s="16" t="n">
        <v>50</v>
      </c>
      <c r="V1921" s="16">
        <f>ROUNDUP((T1921+U1921+2*'Read Me'!$B$13)*(1+'Read Me'!$B$12),-1)</f>
        <v/>
      </c>
      <c r="W1921" s="16">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6" t="n">
        <v>12</v>
      </c>
      <c r="U1922" s="16" t="n">
        <v>50</v>
      </c>
      <c r="V1922" s="16">
        <f>ROUNDUP((T1922+U1922+2*'Read Me'!$B$13)*(1+'Read Me'!$B$12),-1)</f>
        <v/>
      </c>
      <c r="W1922" s="16">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6" t="n">
        <v>517</v>
      </c>
      <c r="U1923" s="16" t="n">
        <v>35</v>
      </c>
      <c r="V1923" s="16">
        <f>ROUNDUP((T1923+U1923+2*'Read Me'!$B$13)*(1+'Read Me'!$B$12),-1)</f>
        <v/>
      </c>
      <c r="W1923" s="16">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6" t="n">
        <v>517</v>
      </c>
      <c r="U1924" s="16" t="n">
        <v>35</v>
      </c>
      <c r="V1924" s="16">
        <f>ROUNDUP((T1924+U1924+2*'Read Me'!$B$13)*(1+'Read Me'!$B$12),-1)</f>
        <v/>
      </c>
      <c r="W1924" s="16">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6" t="n">
        <v>517</v>
      </c>
      <c r="U1925" s="16" t="n">
        <v>35</v>
      </c>
      <c r="V1925" s="16">
        <f>ROUNDUP((T1925+U1925+2*'Read Me'!$B$13)*(1+'Read Me'!$B$12),-1)</f>
        <v/>
      </c>
      <c r="W1925" s="16">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517</v>
      </c>
      <c r="U1926" s="16" t="n">
        <v>35</v>
      </c>
      <c r="V1926" s="16">
        <f>ROUNDUP((T1926+U1926+2*'Read Me'!$B$13)*(1+'Read Me'!$B$12),-1)</f>
        <v/>
      </c>
      <c r="W1926" s="16">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6" t="n">
        <v>258</v>
      </c>
      <c r="U1927" s="16" t="n">
        <v>32</v>
      </c>
      <c r="V1927" s="16">
        <f>ROUNDUP((T1927+U1927+2*'Read Me'!$B$13)*(1+'Read Me'!$B$12),-1)</f>
        <v/>
      </c>
      <c r="W1927" s="16">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6" t="n">
        <v>0</v>
      </c>
      <c r="U1928" s="16" t="n">
        <v>86</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6" t="n">
        <v>0</v>
      </c>
      <c r="U1929" s="16" t="n">
        <v>86</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6" t="n">
        <v>0</v>
      </c>
      <c r="U1930" s="16" t="n">
        <v>86</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6" t="n">
        <v>0</v>
      </c>
      <c r="U1931" s="16" t="n">
        <v>86</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6" t="n">
        <v>0</v>
      </c>
      <c r="U1932" s="16" t="n">
        <v>86</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6" t="n">
        <v>0</v>
      </c>
      <c r="U1933" s="16" t="n">
        <v>86</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6" t="n">
        <v>0</v>
      </c>
      <c r="U1934" s="16" t="n">
        <v>97</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6" t="n">
        <v>0</v>
      </c>
      <c r="U1935" s="16" t="n">
        <v>97</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6" t="n">
        <v>0</v>
      </c>
      <c r="U1936" s="16" t="n">
        <v>97</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6" t="n">
        <v>0</v>
      </c>
      <c r="U1937" s="16" t="n">
        <v>97</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6" t="n">
        <v>0</v>
      </c>
      <c r="U1938" s="16" t="n">
        <v>97</v>
      </c>
      <c r="V1938" s="16">
        <f>ROUNDUP((T1938+U1938+2*'Read Me'!$B$13)*(1+'Read Me'!$B$12),-1)</f>
        <v/>
      </c>
      <c r="W1938" s="16">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6" t="n">
        <v>0</v>
      </c>
      <c r="U1939" s="16" t="n">
        <v>97</v>
      </c>
      <c r="V1939" s="16">
        <f>ROUNDUP((T1939+U1939+2*'Read Me'!$B$13)*(1+'Read Me'!$B$12),-1)</f>
        <v/>
      </c>
      <c r="W1939" s="16">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6" t="n">
        <v>0</v>
      </c>
      <c r="U1940" s="16" t="n">
        <v>97</v>
      </c>
      <c r="V1940" s="16">
        <f>ROUNDUP((T1940+U1940+2*'Read Me'!$B$13)*(1+'Read Me'!$B$12),-1)</f>
        <v/>
      </c>
      <c r="W1940" s="16">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6" t="n">
        <v>0</v>
      </c>
      <c r="U1941" s="16" t="n">
        <v>97</v>
      </c>
      <c r="V1941" s="16">
        <f>ROUNDUP((T1941+U1941+2*'Read Me'!$B$13)*(1+'Read Me'!$B$12),-1)</f>
        <v/>
      </c>
      <c r="W1941" s="16">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6" t="n">
        <v>0</v>
      </c>
      <c r="U1942" s="16" t="n">
        <v>97</v>
      </c>
      <c r="V1942" s="16">
        <f>ROUNDUP((T1942+U1942+2*'Read Me'!$B$13)*(1+'Read Me'!$B$12),-1)</f>
        <v/>
      </c>
      <c r="W1942" s="16">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6" t="n">
        <v>0</v>
      </c>
      <c r="U1943" s="16" t="n">
        <v>97</v>
      </c>
      <c r="V1943" s="16">
        <f>ROUNDUP((T1943+U1943+2*'Read Me'!$B$13)*(1+'Read Me'!$B$12),-1)</f>
        <v/>
      </c>
      <c r="W1943" s="16">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6" t="n">
        <v>0</v>
      </c>
      <c r="U1944" s="16" t="n">
        <v>97</v>
      </c>
      <c r="V1944" s="16">
        <f>ROUNDUP((T1944+U1944+2*'Read Me'!$B$13)*(1+'Read Me'!$B$12),-1)</f>
        <v/>
      </c>
      <c r="W1944" s="16">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6" t="n">
        <v>0</v>
      </c>
      <c r="U1945" s="16" t="n">
        <v>97</v>
      </c>
      <c r="V1945" s="16">
        <f>ROUNDUP((T1945+U1945+2*'Read Me'!$B$13)*(1+'Read Me'!$B$12),-1)</f>
        <v/>
      </c>
      <c r="W1945" s="16">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6" t="n">
        <v>0</v>
      </c>
      <c r="U1946" s="16" t="n">
        <v>71</v>
      </c>
      <c r="V1946" s="16">
        <f>ROUNDUP((T1946+U1946+2*'Read Me'!$B$13)*(1+'Read Me'!$B$12),-1)</f>
        <v/>
      </c>
      <c r="W1946" s="16">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6" t="n">
        <v>0</v>
      </c>
      <c r="U1947" s="16" t="n">
        <v>71</v>
      </c>
      <c r="V1947" s="16">
        <f>ROUNDUP((T1947+U1947+2*'Read Me'!$B$13)*(1+'Read Me'!$B$12),-1)</f>
        <v/>
      </c>
      <c r="W1947" s="16">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6" t="n">
        <v>0</v>
      </c>
      <c r="U1948" s="16" t="n">
        <v>71</v>
      </c>
      <c r="V1948" s="16">
        <f>ROUNDUP((T1948+U1948+2*'Read Me'!$B$13)*(1+'Read Me'!$B$12),-1)</f>
        <v/>
      </c>
      <c r="W1948" s="16">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6" t="n">
        <v>0</v>
      </c>
      <c r="U1949" s="16" t="n">
        <v>71</v>
      </c>
      <c r="V1949" s="16">
        <f>ROUNDUP((T1949+U1949+2*'Read Me'!$B$13)*(1+'Read Me'!$B$12),-1)</f>
        <v/>
      </c>
      <c r="W1949" s="16">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6" t="n">
        <v>0</v>
      </c>
      <c r="U1950" s="16" t="n">
        <v>71</v>
      </c>
      <c r="V1950" s="16">
        <f>ROUNDUP((T1950+U1950+2*'Read Me'!$B$13)*(1+'Read Me'!$B$12),-1)</f>
        <v/>
      </c>
      <c r="W1950" s="16">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6" t="n">
        <v>0</v>
      </c>
      <c r="U1951" s="16" t="n">
        <v>71</v>
      </c>
      <c r="V1951" s="16">
        <f>ROUNDUP((T1951+U1951+2*'Read Me'!$B$13)*(1+'Read Me'!$B$12),-1)</f>
        <v/>
      </c>
      <c r="W1951" s="16">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6" t="n">
        <v>63</v>
      </c>
      <c r="U1952" s="16" t="n">
        <v>41</v>
      </c>
      <c r="V1952" s="16">
        <f>ROUNDUP((T1952+U1952+2*'Read Me'!$B$13)*(1+'Read Me'!$B$12),-1)</f>
        <v/>
      </c>
      <c r="W1952" s="16">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6" t="n">
        <v>63</v>
      </c>
      <c r="U1953" s="16" t="n">
        <v>41</v>
      </c>
      <c r="V1953" s="16">
        <f>ROUNDUP((T1953+U1953+2*'Read Me'!$B$13)*(1+'Read Me'!$B$12),-1)</f>
        <v/>
      </c>
      <c r="W1953" s="16">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6" t="n">
        <v>63</v>
      </c>
      <c r="U1954" s="16" t="n">
        <v>41</v>
      </c>
      <c r="V1954" s="16">
        <f>ROUNDUP((T1954+U1954+2*'Read Me'!$B$13)*(1+'Read Me'!$B$12),-1)</f>
        <v/>
      </c>
      <c r="W1954" s="16">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6" t="n">
        <v>63</v>
      </c>
      <c r="U1955" s="16" t="n">
        <v>41</v>
      </c>
      <c r="V1955" s="16">
        <f>ROUNDUP((T1955+U1955+2*'Read Me'!$B$13)*(1+'Read Me'!$B$12),-1)</f>
        <v/>
      </c>
      <c r="W1955" s="16">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6" t="n">
        <v>63</v>
      </c>
      <c r="U1956" s="16" t="n">
        <v>41</v>
      </c>
      <c r="V1956" s="16">
        <f>ROUNDUP((T1956+U1956+2*'Read Me'!$B$13)*(1+'Read Me'!$B$12),-1)</f>
        <v/>
      </c>
      <c r="W1956" s="16">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6" t="n">
        <v>63</v>
      </c>
      <c r="U1957" s="16" t="n">
        <v>41</v>
      </c>
      <c r="V1957" s="16">
        <f>ROUNDUP((T1957+U1957+2*'Read Me'!$B$13)*(1+'Read Me'!$B$12),-1)</f>
        <v/>
      </c>
      <c r="W1957" s="16">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6" t="n">
        <v>85</v>
      </c>
      <c r="U1958" s="16" t="n">
        <v>41</v>
      </c>
      <c r="V1958" s="16">
        <f>ROUNDUP((T1958+U1958+2*'Read Me'!$B$13)*(1+'Read Me'!$B$12),-1)</f>
        <v/>
      </c>
      <c r="W1958" s="16">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85</v>
      </c>
      <c r="U1959" s="16" t="n">
        <v>41</v>
      </c>
      <c r="V1959" s="16">
        <f>ROUNDUP((T1959+U1959+2*'Read Me'!$B$13)*(1+'Read Me'!$B$12),-1)</f>
        <v/>
      </c>
      <c r="W1959" s="16">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85</v>
      </c>
      <c r="U1960" s="16" t="n">
        <v>41</v>
      </c>
      <c r="V1960" s="16">
        <f>ROUNDUP((T1960+U1960+2*'Read Me'!$B$13)*(1+'Read Me'!$B$12),-1)</f>
        <v/>
      </c>
      <c r="W1960" s="16">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85</v>
      </c>
      <c r="U1961" s="16" t="n">
        <v>41</v>
      </c>
      <c r="V1961" s="16">
        <f>ROUNDUP((T1961+U1961+2*'Read Me'!$B$13)*(1+'Read Me'!$B$12),-1)</f>
        <v/>
      </c>
      <c r="W1961" s="16">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85</v>
      </c>
      <c r="U1962" s="16" t="n">
        <v>41</v>
      </c>
      <c r="V1962" s="16">
        <f>ROUNDUP((T1962+U1962+2*'Read Me'!$B$13)*(1+'Read Me'!$B$12),-1)</f>
        <v/>
      </c>
      <c r="W1962" s="16">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85</v>
      </c>
      <c r="U1963" s="16" t="n">
        <v>41</v>
      </c>
      <c r="V1963" s="16">
        <f>ROUNDUP((T1963+U1963+2*'Read Me'!$B$13)*(1+'Read Me'!$B$12),-1)</f>
        <v/>
      </c>
      <c r="W1963" s="16">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6" t="n">
        <v>178</v>
      </c>
      <c r="U1964" s="16" t="n">
        <v>94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6" t="n">
        <v>256</v>
      </c>
      <c r="U1965" s="16" t="n">
        <v>145</v>
      </c>
      <c r="V1965" s="16">
        <f>ROUNDUP((T1965+U1965+2*'Read Me'!$B$13)*(1+'Read Me'!$B$12),-1)</f>
        <v/>
      </c>
      <c r="W1965" s="16">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6" t="n">
        <v>1069</v>
      </c>
      <c r="U1966" s="16" t="n">
        <v>184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6" t="n">
        <v>436</v>
      </c>
      <c r="U1967" s="16" t="n">
        <v>125</v>
      </c>
      <c r="V1967" s="16">
        <f>ROUNDUP((T1967+U1967+2*'Read Me'!$B$13)*(1+'Read Me'!$B$12),-1)</f>
        <v/>
      </c>
      <c r="W1967" s="16">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6" t="n">
        <v>1024</v>
      </c>
      <c r="U1968" s="16" t="n">
        <v>240</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6" t="n">
        <v>604</v>
      </c>
      <c r="U1969" s="16" t="n">
        <v>133</v>
      </c>
      <c r="V1969" s="16">
        <f>ROUNDUP((T1969+U1969+2*'Read Me'!$B$13)*(1+'Read Me'!$B$12),-1)</f>
        <v/>
      </c>
      <c r="W1969" s="16">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6" t="n">
        <v>408</v>
      </c>
      <c r="U1970" s="16" t="n">
        <v>183</v>
      </c>
      <c r="V1970" s="16">
        <f>ROUNDUP((T1970+U1970+2*'Read Me'!$B$13)*(1+'Read Me'!$B$12),-1)</f>
        <v/>
      </c>
      <c r="W1970" s="16">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6" t="n">
        <v>506</v>
      </c>
      <c r="U1971" s="16" t="n">
        <v>136</v>
      </c>
      <c r="V1971" s="16">
        <f>ROUNDUP((T1971+U1971+2*'Read Me'!$B$13)*(1+'Read Me'!$B$12),-1)</f>
        <v/>
      </c>
      <c r="W1971" s="16">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6" t="n">
        <v>1069</v>
      </c>
      <c r="U1972" s="16" t="n">
        <v>184</v>
      </c>
      <c r="V1972" s="16">
        <f>ROUNDUP((T1972+U1972+2*'Read Me'!$B$13)*(1+'Read Me'!$B$12),-1)</f>
        <v/>
      </c>
      <c r="W1972" s="16">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6" t="n">
        <v>566</v>
      </c>
      <c r="U1973" s="16" t="n">
        <v>158</v>
      </c>
      <c r="V1973" s="16">
        <f>ROUNDUP((T1973+U1973+2*'Read Me'!$B$13)*(1+'Read Me'!$B$12),-1)</f>
        <v/>
      </c>
      <c r="W1973" s="16">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6" t="n">
        <v>566</v>
      </c>
      <c r="U1974" s="16" t="n">
        <v>158</v>
      </c>
      <c r="V1974" s="16">
        <f>ROUNDUP((T1974+U1974+2*'Read Me'!$B$13)*(1+'Read Me'!$B$12),-1)</f>
        <v/>
      </c>
      <c r="W1974" s="16">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6" t="n">
        <v>566</v>
      </c>
      <c r="U1975" s="16" t="n">
        <v>158</v>
      </c>
      <c r="V1975" s="16">
        <f>ROUNDUP((T1975+U1975+2*'Read Me'!$B$13)*(1+'Read Me'!$B$12),-1)</f>
        <v/>
      </c>
      <c r="W1975" s="16">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6" t="n">
        <v>566</v>
      </c>
      <c r="U1976" s="16" t="n">
        <v>158</v>
      </c>
      <c r="V1976" s="16">
        <f>ROUNDUP((T1976+U1976+2*'Read Me'!$B$13)*(1+'Read Me'!$B$12),-1)</f>
        <v/>
      </c>
      <c r="W1976" s="16">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6" t="n">
        <v>566</v>
      </c>
      <c r="U1977" s="16" t="n">
        <v>158</v>
      </c>
      <c r="V1977" s="16">
        <f>ROUNDUP((T1977+U1977+2*'Read Me'!$B$13)*(1+'Read Me'!$B$12),-1)</f>
        <v/>
      </c>
      <c r="W1977" s="16">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6" t="n">
        <v>566</v>
      </c>
      <c r="U1978" s="16" t="n">
        <v>158</v>
      </c>
      <c r="V1978" s="16">
        <f>ROUNDUP((T1978+U1978+2*'Read Me'!$B$13)*(1+'Read Me'!$B$12),-1)</f>
        <v/>
      </c>
      <c r="W1978" s="16">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6" t="n">
        <v>1423</v>
      </c>
      <c r="U1979" s="16" t="n">
        <v>96</v>
      </c>
      <c r="V1979" s="16">
        <f>ROUNDUP((T1979+U1979+2*'Read Me'!$B$13)*(1+'Read Me'!$B$12),-1)</f>
        <v/>
      </c>
      <c r="W1979" s="16">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6" t="n">
        <v>1423</v>
      </c>
      <c r="U1980" s="16" t="n">
        <v>96</v>
      </c>
      <c r="V1980" s="16">
        <f>ROUNDUP((T1980+U1980+2*'Read Me'!$B$13)*(1+'Read Me'!$B$12),-1)</f>
        <v/>
      </c>
      <c r="W1980" s="16">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6" t="n">
        <v>1423</v>
      </c>
      <c r="U1981" s="16" t="n">
        <v>96</v>
      </c>
      <c r="V1981" s="16">
        <f>ROUNDUP((T1981+U1981+2*'Read Me'!$B$13)*(1+'Read Me'!$B$12),-1)</f>
        <v/>
      </c>
      <c r="W1981" s="16">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6" t="n">
        <v>1423</v>
      </c>
      <c r="U1982" s="16" t="n">
        <v>96</v>
      </c>
      <c r="V1982" s="16">
        <f>ROUNDUP((T1982+U1982+2*'Read Me'!$B$13)*(1+'Read Me'!$B$12),-1)</f>
        <v/>
      </c>
      <c r="W1982" s="16">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6" t="n">
        <v>1423</v>
      </c>
      <c r="U1983" s="16" t="n">
        <v>96</v>
      </c>
      <c r="V1983" s="16">
        <f>ROUNDUP((T1983+U1983+2*'Read Me'!$B$13)*(1+'Read Me'!$B$12),-1)</f>
        <v/>
      </c>
      <c r="W1983" s="16">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6" t="n">
        <v>1423</v>
      </c>
      <c r="U1984" s="16" t="n">
        <v>96</v>
      </c>
      <c r="V1984" s="16">
        <f>ROUNDUP((T1984+U1984+2*'Read Me'!$B$13)*(1+'Read Me'!$B$12),-1)</f>
        <v/>
      </c>
      <c r="W1984" s="16">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6" t="n">
        <v>1103</v>
      </c>
      <c r="U1985" s="16" t="n">
        <v>96</v>
      </c>
      <c r="V1985" s="16">
        <f>ROUNDUP((T1985+U1985+2*'Read Me'!$B$13)*(1+'Read Me'!$B$12),-1)</f>
        <v/>
      </c>
      <c r="W1985" s="16">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6" t="n">
        <v>1103</v>
      </c>
      <c r="U1986" s="16" t="n">
        <v>96</v>
      </c>
      <c r="V1986" s="16">
        <f>ROUNDUP((T1986+U1986+2*'Read Me'!$B$13)*(1+'Read Me'!$B$12),-1)</f>
        <v/>
      </c>
      <c r="W1986" s="16">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6" t="n">
        <v>1103</v>
      </c>
      <c r="U1987" s="16" t="n">
        <v>96</v>
      </c>
      <c r="V1987" s="16">
        <f>ROUNDUP((T1987+U1987+2*'Read Me'!$B$13)*(1+'Read Me'!$B$12),-1)</f>
        <v/>
      </c>
      <c r="W1987" s="16">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6" t="n">
        <v>1103</v>
      </c>
      <c r="U1988" s="16" t="n">
        <v>96</v>
      </c>
      <c r="V1988" s="16">
        <f>ROUNDUP((T1988+U1988+2*'Read Me'!$B$13)*(1+'Read Me'!$B$12),-1)</f>
        <v/>
      </c>
      <c r="W1988" s="16">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6" t="n">
        <v>1103</v>
      </c>
      <c r="U1989" s="16" t="n">
        <v>96</v>
      </c>
      <c r="V1989" s="16">
        <f>ROUNDUP((T1989+U1989+2*'Read Me'!$B$13)*(1+'Read Me'!$B$12),-1)</f>
        <v/>
      </c>
      <c r="W1989" s="16">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6" t="n">
        <v>1103</v>
      </c>
      <c r="U1990" s="16" t="n">
        <v>96</v>
      </c>
      <c r="V1990" s="16">
        <f>ROUNDUP((T1990+U1990+2*'Read Me'!$B$13)*(1+'Read Me'!$B$12),-1)</f>
        <v/>
      </c>
      <c r="W1990" s="16">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6" t="n">
        <v>261</v>
      </c>
      <c r="U1991" s="16" t="n">
        <v>145</v>
      </c>
      <c r="V1991" s="16">
        <f>ROUNDUP((T1991+U1991+2*'Read Me'!$B$13)*(1+'Read Me'!$B$12),-1)</f>
        <v/>
      </c>
      <c r="W1991" s="16">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6" t="n">
        <v>261</v>
      </c>
      <c r="U1992" s="16" t="n">
        <v>145</v>
      </c>
      <c r="V1992" s="16">
        <f>ROUNDUP((T1992+U1992+2*'Read Me'!$B$13)*(1+'Read Me'!$B$12),-1)</f>
        <v/>
      </c>
      <c r="W1992" s="16">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6" t="n">
        <v>441</v>
      </c>
      <c r="U1993" s="16" t="n">
        <v>125</v>
      </c>
      <c r="V1993" s="16">
        <f>ROUNDUP((T1993+U1993+2*'Read Me'!$B$13)*(1+'Read Me'!$B$12),-1)</f>
        <v/>
      </c>
      <c r="W1993" s="16">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6" t="n">
        <v>441</v>
      </c>
      <c r="U1994" s="16" t="n">
        <v>125</v>
      </c>
      <c r="V1994" s="16">
        <f>ROUNDUP((T1994+U1994+2*'Read Me'!$B$13)*(1+'Read Me'!$B$12),-1)</f>
        <v/>
      </c>
      <c r="W1994" s="16">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6" t="n">
        <v>609</v>
      </c>
      <c r="U1995" s="16" t="n">
        <v>133</v>
      </c>
      <c r="V1995" s="16">
        <f>ROUNDUP((T1995+U1995+2*'Read Me'!$B$13)*(1+'Read Me'!$B$12),-1)</f>
        <v/>
      </c>
      <c r="W1995" s="16">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6" t="n">
        <v>609</v>
      </c>
      <c r="U1996" s="16" t="n">
        <v>133</v>
      </c>
      <c r="V1996" s="16">
        <f>ROUNDUP((T1996+U1996+2*'Read Me'!$B$13)*(1+'Read Me'!$B$12),-1)</f>
        <v/>
      </c>
      <c r="W1996" s="16">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6" t="n">
        <v>1041</v>
      </c>
      <c r="U1997" s="16" t="n">
        <v>206</v>
      </c>
      <c r="V1997" s="16">
        <f>ROUNDUP((T1997+U1997+2*'Read Me'!$B$13)*(1+'Read Me'!$B$12),-1)</f>
        <v/>
      </c>
      <c r="W1997" s="16">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6" t="n">
        <v>1041</v>
      </c>
      <c r="U1998" s="16" t="n">
        <v>206</v>
      </c>
      <c r="V1998" s="16">
        <f>ROUNDUP((T1998+U1998+2*'Read Me'!$B$13)*(1+'Read Me'!$B$12),-1)</f>
        <v/>
      </c>
      <c r="W1998" s="16">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6" t="n">
        <v>673</v>
      </c>
      <c r="U1999" s="16" t="n">
        <v>130</v>
      </c>
      <c r="V1999" s="16">
        <f>ROUNDUP((T1999+U1999+2*'Read Me'!$B$13)*(1+'Read Me'!$B$12),-1)</f>
        <v/>
      </c>
      <c r="W1999" s="16">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6" t="n">
        <v>673</v>
      </c>
      <c r="U2000" s="16" t="n">
        <v>130</v>
      </c>
      <c r="V2000" s="16">
        <f>ROUNDUP((T2000+U2000+2*'Read Me'!$B$13)*(1+'Read Me'!$B$12),-1)</f>
        <v/>
      </c>
      <c r="W2000" s="16">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6" t="n">
        <v>823</v>
      </c>
      <c r="U2001" s="16" t="n">
        <v>112</v>
      </c>
      <c r="V2001" s="16">
        <f>ROUNDUP((T2001+U2001+2*'Read Me'!$B$13)*(1+'Read Me'!$B$12),-1)</f>
        <v/>
      </c>
      <c r="W2001" s="16">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6" t="n">
        <v>823</v>
      </c>
      <c r="U2002" s="16" t="n">
        <v>112</v>
      </c>
      <c r="V2002" s="16">
        <f>ROUNDUP((T2002+U2002+2*'Read Me'!$B$13)*(1+'Read Me'!$B$12),-1)</f>
        <v/>
      </c>
      <c r="W2002" s="16">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6" t="n">
        <v>620</v>
      </c>
      <c r="U2003" s="16" t="n">
        <v>130</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6" t="n">
        <v>67</v>
      </c>
      <c r="U2004" s="16" t="n">
        <v>58</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6" t="n">
        <v>644</v>
      </c>
      <c r="U2005" s="16" t="n">
        <v>170</v>
      </c>
      <c r="V2005" s="16">
        <f>ROUNDUP((T2005+U2005+2*'Read Me'!$B$13)*(1+'Read Me'!$B$12),-1)</f>
        <v/>
      </c>
      <c r="W2005" s="16">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6" t="n">
        <v>804</v>
      </c>
      <c r="U2006" s="16" t="n">
        <v>215</v>
      </c>
      <c r="V2006" s="16">
        <f>ROUNDUP((T2006+U2006+2*'Read Me'!$B$13)*(1+'Read Me'!$B$12),-1)</f>
        <v/>
      </c>
      <c r="W2006" s="16">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6" t="n">
        <v>976</v>
      </c>
      <c r="U2007" s="16" t="n">
        <v>124</v>
      </c>
      <c r="V2007" s="16">
        <f>ROUNDUP((T2007+U2007+2*'Read Me'!$B$13)*(1+'Read Me'!$B$12),-1)</f>
        <v/>
      </c>
      <c r="W2007" s="16">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6" t="n">
        <v>82</v>
      </c>
      <c r="U2008" s="16" t="n">
        <v>79</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6" t="n">
        <v>0</v>
      </c>
      <c r="U2009" s="16" t="n">
        <v>126</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6" t="n">
        <v>16</v>
      </c>
      <c r="U2010" s="16" t="n">
        <v>56</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6" t="n">
        <v>104</v>
      </c>
      <c r="U2011" s="16" t="n">
        <v>72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6" t="n">
        <v>523</v>
      </c>
      <c r="U2012" s="16" t="n">
        <v>130</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6" t="n">
        <v>671</v>
      </c>
      <c r="U2013" s="16" t="n">
        <v>112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6" t="n">
        <v>897</v>
      </c>
      <c r="U2014" s="16" t="n">
        <v>249</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6" t="n">
        <v>632</v>
      </c>
      <c r="U2015" s="16" t="n">
        <v>130</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6" t="n">
        <v>101</v>
      </c>
      <c r="U2016" s="16" t="n">
        <v>36</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6" t="n">
        <v>21</v>
      </c>
      <c r="U2017" s="16" t="n">
        <v>38</v>
      </c>
      <c r="V2017" s="16">
        <f>ROUNDUP((T2017+U2017+2*'Read Me'!$B$13)*(1+'Read Me'!$B$12),-1)</f>
        <v/>
      </c>
      <c r="W2017" s="16">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6" t="n">
        <v>21</v>
      </c>
      <c r="U2018" s="16" t="n">
        <v>38</v>
      </c>
      <c r="V2018" s="16">
        <f>ROUNDUP((T2018+U2018+2*'Read Me'!$B$13)*(1+'Read Me'!$B$12),-1)</f>
        <v/>
      </c>
      <c r="W2018" s="16">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6" t="n">
        <v>21</v>
      </c>
      <c r="U2019" s="16" t="n">
        <v>38</v>
      </c>
      <c r="V2019" s="16">
        <f>ROUNDUP((T2019+U2019+2*'Read Me'!$B$13)*(1+'Read Me'!$B$12),-1)</f>
        <v/>
      </c>
      <c r="W2019" s="16">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6" t="n">
        <v>4</v>
      </c>
      <c r="U2020" s="16" t="n">
        <v>60</v>
      </c>
      <c r="V2020" s="16">
        <f>ROUNDUP((T2020+U2020+2*'Read Me'!$B$13)*(1+'Read Me'!$B$12),-1)</f>
        <v/>
      </c>
      <c r="W2020" s="16">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6" t="n">
        <v>4</v>
      </c>
      <c r="U2021" s="16" t="n">
        <v>60</v>
      </c>
      <c r="V2021" s="16">
        <f>ROUNDUP((T2021+U2021+2*'Read Me'!$B$13)*(1+'Read Me'!$B$12),-1)</f>
        <v/>
      </c>
      <c r="W2021" s="16">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6" t="n">
        <v>4</v>
      </c>
      <c r="U2022" s="16" t="n">
        <v>60</v>
      </c>
      <c r="V2022" s="16">
        <f>ROUNDUP((T2022+U2022+2*'Read Me'!$B$13)*(1+'Read Me'!$B$12),-1)</f>
        <v/>
      </c>
      <c r="W2022" s="16">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6" t="n">
        <v>2</v>
      </c>
      <c r="U2023" s="16" t="n">
        <v>35</v>
      </c>
      <c r="V2023" s="16">
        <f>ROUNDUP((T2023+U2023+2*'Read Me'!$B$13)*(1+'Read Me'!$B$12),-1)</f>
        <v/>
      </c>
      <c r="W2023" s="16">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6" t="n">
        <v>30</v>
      </c>
      <c r="U2024" s="16" t="n">
        <v>45</v>
      </c>
      <c r="V2024" s="16">
        <f>ROUNDUP((T2024+U2024+2*'Read Me'!$B$13)*(1+'Read Me'!$B$12),-1)</f>
        <v/>
      </c>
      <c r="W2024" s="16">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6" t="n">
        <v>30</v>
      </c>
      <c r="U2025" s="16" t="n">
        <v>45</v>
      </c>
      <c r="V2025" s="16">
        <f>ROUNDUP((T2025+U2025+2*'Read Me'!$B$13)*(1+'Read Me'!$B$12),-1)</f>
        <v/>
      </c>
      <c r="W2025" s="16">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6" t="n">
        <v>30</v>
      </c>
      <c r="U2026" s="16" t="n">
        <v>45</v>
      </c>
      <c r="V2026" s="16">
        <f>ROUNDUP((T2026+U2026+2*'Read Me'!$B$13)*(1+'Read Me'!$B$12),-1)</f>
        <v/>
      </c>
      <c r="W2026" s="16">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6" t="n">
        <v>49</v>
      </c>
      <c r="U2027" s="16" t="n">
        <v>53</v>
      </c>
      <c r="V2027" s="16">
        <f>ROUNDUP((T2027+U2027+2*'Read Me'!$B$13)*(1+'Read Me'!$B$12),-1)</f>
        <v/>
      </c>
      <c r="W2027" s="16">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6" t="n">
        <v>49</v>
      </c>
      <c r="U2028" s="16" t="n">
        <v>53</v>
      </c>
      <c r="V2028" s="16">
        <f>ROUNDUP((T2028+U2028+2*'Read Me'!$B$13)*(1+'Read Me'!$B$12),-1)</f>
        <v/>
      </c>
      <c r="W2028" s="16">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6" t="n">
        <v>58</v>
      </c>
      <c r="U2029" s="16" t="n">
        <v>53</v>
      </c>
      <c r="V2029" s="16">
        <f>ROUNDUP((T2029+U2029+2*'Read Me'!$B$13)*(1+'Read Me'!$B$12),-1)</f>
        <v/>
      </c>
      <c r="W2029" s="16">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6" t="n">
        <v>644</v>
      </c>
      <c r="U2030" s="16" t="n">
        <v>134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6" t="n">
        <v>85</v>
      </c>
      <c r="U2031" s="16" t="n">
        <v>79</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6" t="n">
        <v>523</v>
      </c>
      <c r="U2032" s="16" t="n">
        <v>206</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6" t="n">
        <v>688</v>
      </c>
      <c r="U2033" s="16" t="n">
        <v>212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6" t="n">
        <v>964</v>
      </c>
      <c r="U2034" s="16" t="n">
        <v>140</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6" t="n">
        <v>11520</v>
      </c>
      <c r="U2035" s="16" t="n">
        <v>0</v>
      </c>
      <c r="V2035" s="16">
        <f>ROUNDUP((T2035+U2035+2*'Read Me'!$B$13)*(1+'Read Me'!$B$12),-1)</f>
        <v/>
      </c>
      <c r="W2035" s="16">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389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357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325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293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261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261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293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325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357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389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339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307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275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243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211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211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243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275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307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339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289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257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225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193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161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161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193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225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257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289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239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207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175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143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111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111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143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175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207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239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239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207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175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143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111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111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143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175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207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239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289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257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225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193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161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161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193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225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257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289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6" t="n">
        <v>339</v>
      </c>
      <c r="U2096" s="16" t="n">
        <v>44</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6" t="n">
        <v>307</v>
      </c>
      <c r="U2097" s="16" t="n">
        <v>44</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6" t="n">
        <v>275</v>
      </c>
      <c r="U2098" s="16" t="n">
        <v>44</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6" t="n">
        <v>243</v>
      </c>
      <c r="U2099" s="16" t="n">
        <v>44</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211</v>
      </c>
      <c r="U2100" s="16" t="n">
        <v>44</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211</v>
      </c>
      <c r="U2101" s="16" t="n">
        <v>44</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6" t="n">
        <v>243</v>
      </c>
      <c r="U2102" s="16" t="n">
        <v>44</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6" t="n">
        <v>275</v>
      </c>
      <c r="U2103" s="16" t="n">
        <v>44</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6" t="n">
        <v>307</v>
      </c>
      <c r="U2104" s="16" t="n">
        <v>44</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6" t="n">
        <v>339</v>
      </c>
      <c r="U2105" s="16" t="n">
        <v>44</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6" t="n">
        <v>389</v>
      </c>
      <c r="U2106" s="16" t="n">
        <v>44</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6" t="n">
        <v>357</v>
      </c>
      <c r="U2107" s="16" t="n">
        <v>44</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6" t="n">
        <v>325</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6" t="n">
        <v>293</v>
      </c>
      <c r="U2109" s="16" t="n">
        <v>44</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6" t="n">
        <v>261</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6" t="n">
        <v>261</v>
      </c>
      <c r="U2111" s="16" t="n">
        <v>44</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6" t="n">
        <v>293</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6" t="n">
        <v>325</v>
      </c>
      <c r="U2113" s="16" t="n">
        <v>44</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6" t="n">
        <v>357</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6" t="n">
        <v>389</v>
      </c>
      <c r="U2115" s="16" t="n">
        <v>44</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6" t="n">
        <v>0</v>
      </c>
      <c r="U2126" s="16" t="n">
        <v>52</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6" t="n">
        <v>0</v>
      </c>
      <c r="U2127" s="16" t="n">
        <v>52</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6" t="n">
        <v>0</v>
      </c>
      <c r="U2128" s="16" t="n">
        <v>52</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6" t="n">
        <v>0</v>
      </c>
      <c r="U2129" s="16" t="n">
        <v>52</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6" t="n">
        <v>0</v>
      </c>
      <c r="U2130" s="16" t="n">
        <v>52</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6" t="n">
        <v>0</v>
      </c>
      <c r="U2131" s="16" t="n">
        <v>52</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6" t="n">
        <v>0</v>
      </c>
      <c r="U2132" s="16" t="n">
        <v>52</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6" t="n">
        <v>0</v>
      </c>
      <c r="U2133" s="16" t="n">
        <v>52</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6" t="n">
        <v>0</v>
      </c>
      <c r="U2134" s="16" t="n">
        <v>52</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6" t="n">
        <v>0</v>
      </c>
      <c r="U2135" s="16" t="n">
        <v>52</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6" t="n">
        <v>0</v>
      </c>
      <c r="U2136" s="16" t="n">
        <v>52</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6" t="n">
        <v>0</v>
      </c>
      <c r="U2137" s="16" t="n">
        <v>52</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6" t="n">
        <v>0</v>
      </c>
      <c r="U2138" s="16" t="n">
        <v>52</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6" t="n">
        <v>0</v>
      </c>
      <c r="U2139" s="16" t="n">
        <v>52</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6" t="n">
        <v>0</v>
      </c>
      <c r="U2140" s="16" t="n">
        <v>52</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0</v>
      </c>
      <c r="U2141" s="16" t="n">
        <v>52</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6" t="n">
        <v>0</v>
      </c>
      <c r="U2142" s="16" t="n">
        <v>52</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6" t="n">
        <v>0</v>
      </c>
      <c r="U2143" s="16" t="n">
        <v>52</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6" t="n">
        <v>0</v>
      </c>
      <c r="U2144" s="16" t="n">
        <v>52</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52</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6" t="n">
        <v>655</v>
      </c>
      <c r="U2146" s="16" t="n">
        <v>211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6" t="n">
        <v>655</v>
      </c>
      <c r="U2147" s="16" t="n">
        <v>211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655</v>
      </c>
      <c r="U2148" s="16" t="n">
        <v>211</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6" t="n">
        <v>655</v>
      </c>
      <c r="U2149" s="16" t="n">
        <v>211</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6" t="n">
        <v>655</v>
      </c>
      <c r="U2150" s="16" t="n">
        <v>211</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6" t="n">
        <v>655</v>
      </c>
      <c r="U2151" s="16" t="n">
        <v>211</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655</v>
      </c>
      <c r="U2152" s="16" t="n">
        <v>211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6" t="n">
        <v>655</v>
      </c>
      <c r="U2153" s="16" t="n">
        <v>211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6" t="n">
        <v>655</v>
      </c>
      <c r="U2154" s="16" t="n">
        <v>211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6" t="n">
        <v>655</v>
      </c>
      <c r="U2155" s="16" t="n">
        <v>211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655</v>
      </c>
      <c r="U2156" s="16" t="n">
        <v>211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655</v>
      </c>
      <c r="U2157" s="16" t="n">
        <v>211</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6" t="n">
        <v>664</v>
      </c>
      <c r="U2158" s="16" t="n">
        <v>175</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6" t="n">
        <v>664</v>
      </c>
      <c r="U2159" s="16" t="n">
        <v>175</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6" t="n">
        <v>18</v>
      </c>
      <c r="U2160" s="16" t="n">
        <v>81</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18</v>
      </c>
      <c r="U2161" s="16" t="n">
        <v>81</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6" t="n">
        <v>18</v>
      </c>
      <c r="U2162" s="16" t="n">
        <v>81</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6" t="n">
        <v>18</v>
      </c>
      <c r="U2163" s="16" t="n">
        <v>81</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6" t="n">
        <v>0</v>
      </c>
      <c r="U2164" s="16" t="n">
        <v>91</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6" t="n">
        <v>0</v>
      </c>
      <c r="U2165" s="16" t="n">
        <v>91</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6" t="n">
        <v>0</v>
      </c>
      <c r="U2166" s="16" t="n">
        <v>91</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6" t="n">
        <v>0</v>
      </c>
      <c r="U2167" s="16" t="n">
        <v>91</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6" t="n">
        <v>0</v>
      </c>
      <c r="U2168" s="16" t="n">
        <v>73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6" t="n">
        <v>0</v>
      </c>
      <c r="U2169" s="16" t="n">
        <v>73</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6" t="n">
        <v>0</v>
      </c>
      <c r="U2170" s="16" t="n">
        <v>73</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6" t="n">
        <v>0</v>
      </c>
      <c r="U2171" s="16" t="n">
        <v>73</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6" t="n">
        <v>0</v>
      </c>
      <c r="U2172" s="16" t="n">
        <v>61</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6" t="n">
        <v>0</v>
      </c>
      <c r="U2173" s="16" t="n">
        <v>61</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6" t="n">
        <v>0</v>
      </c>
      <c r="U2174" s="16" t="n">
        <v>61</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6" t="n">
        <v>0</v>
      </c>
      <c r="U2175" s="16" t="n">
        <v>61</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6" t="n">
        <v>0</v>
      </c>
      <c r="U2176" s="16" t="n">
        <v>46</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6" t="n">
        <v>0</v>
      </c>
      <c r="U2177" s="16" t="n">
        <v>46</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6" t="n">
        <v>0</v>
      </c>
      <c r="U2178" s="16" t="n">
        <v>46</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6" t="n">
        <v>0</v>
      </c>
      <c r="U2179" s="16" t="n">
        <v>46</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6" t="n">
        <v>0</v>
      </c>
      <c r="U2180" s="16" t="n">
        <v>46</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6" t="n">
        <v>0</v>
      </c>
      <c r="U2181" s="16" t="n">
        <v>46</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6" t="n">
        <v>0</v>
      </c>
      <c r="U2182" s="16" t="n">
        <v>46</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6" t="n">
        <v>0</v>
      </c>
      <c r="U2183" s="16" t="n">
        <v>46</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160</v>
      </c>
      <c r="U2184" s="16" t="n">
        <v>64</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160</v>
      </c>
      <c r="U2185" s="16" t="n">
        <v>64</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160</v>
      </c>
      <c r="U2186" s="16" t="n">
        <v>64</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160</v>
      </c>
      <c r="U2187" s="16" t="n">
        <v>64</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6" t="n">
        <v>160</v>
      </c>
      <c r="U2188" s="16" t="n">
        <v>64</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6" t="n">
        <v>160</v>
      </c>
      <c r="U2189" s="16" t="n">
        <v>64</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6" t="n">
        <v>186</v>
      </c>
      <c r="U2190" s="16" t="n">
        <v>64</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6" t="n">
        <v>186</v>
      </c>
      <c r="U2191" s="16" t="n">
        <v>64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6" t="n">
        <v>186</v>
      </c>
      <c r="U2192" s="16" t="n">
        <v>64</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6" t="n">
        <v>186</v>
      </c>
      <c r="U2193" s="16" t="n">
        <v>64</v>
      </c>
      <c r="V2193" s="16">
        <f>ROUNDUP((T2193+U2193+2*'Read Me'!$B$13)*(1+'Read Me'!$B$12),-1)</f>
        <v/>
      </c>
      <c r="W2193" s="16">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6" t="n">
        <v>186</v>
      </c>
      <c r="U2194" s="16" t="n">
        <v>64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6" t="n">
        <v>186</v>
      </c>
      <c r="U2195" s="16" t="n">
        <v>64</v>
      </c>
      <c r="V2195" s="16">
        <f>ROUNDUP((T2195+U2195+2*'Read Me'!$B$13)*(1+'Read Me'!$B$12),-1)</f>
        <v/>
      </c>
      <c r="W2195" s="16">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6" t="n">
        <v>215</v>
      </c>
      <c r="U2196" s="16" t="n">
        <v>51</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6" t="n">
        <v>215</v>
      </c>
      <c r="U2197" s="16" t="n">
        <v>51</v>
      </c>
      <c r="V2197" s="16">
        <f>ROUNDUP((T2197+U2197+2*'Read Me'!$B$13)*(1+'Read Me'!$B$12),-1)</f>
        <v/>
      </c>
      <c r="W2197" s="16">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6" t="n">
        <v>215</v>
      </c>
      <c r="U2198" s="16" t="n">
        <v>51</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6" t="n">
        <v>215</v>
      </c>
      <c r="U2199" s="16" t="n">
        <v>51</v>
      </c>
      <c r="V2199" s="16">
        <f>ROUNDUP((T2199+U2199+2*'Read Me'!$B$13)*(1+'Read Me'!$B$12),-1)</f>
        <v/>
      </c>
      <c r="W2199" s="16">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6" t="n">
        <v>215</v>
      </c>
      <c r="U2200" s="16" t="n">
        <v>51</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6" t="n">
        <v>215</v>
      </c>
      <c r="U2201" s="16" t="n">
        <v>51</v>
      </c>
      <c r="V2201" s="16">
        <f>ROUNDUP((T2201+U2201+2*'Read Me'!$B$13)*(1+'Read Me'!$B$12),-1)</f>
        <v/>
      </c>
      <c r="W2201" s="16">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6" t="n">
        <v>209</v>
      </c>
      <c r="U2202" s="16" t="n">
        <v>77</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6" t="n">
        <v>209</v>
      </c>
      <c r="U2203" s="16" t="n">
        <v>77</v>
      </c>
      <c r="V2203" s="16">
        <f>ROUNDUP((T2203+U2203+2*'Read Me'!$B$13)*(1+'Read Me'!$B$12),-1)</f>
        <v/>
      </c>
      <c r="W2203" s="16">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6" t="n">
        <v>209</v>
      </c>
      <c r="U2204" s="16" t="n">
        <v>77</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6" t="n">
        <v>209</v>
      </c>
      <c r="U2205" s="16" t="n">
        <v>77</v>
      </c>
      <c r="V2205" s="16">
        <f>ROUNDUP((T2205+U2205+2*'Read Me'!$B$13)*(1+'Read Me'!$B$12),-1)</f>
        <v/>
      </c>
      <c r="W2205" s="16">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6" t="n">
        <v>209</v>
      </c>
      <c r="U2206" s="16" t="n">
        <v>77</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6" t="n">
        <v>209</v>
      </c>
      <c r="U2207" s="16" t="n">
        <v>77</v>
      </c>
      <c r="V2207" s="16">
        <f>ROUNDUP((T2207+U2207+2*'Read Me'!$B$13)*(1+'Read Me'!$B$12),-1)</f>
        <v/>
      </c>
      <c r="W2207" s="16">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6" t="n">
        <v>520</v>
      </c>
      <c r="U2208" s="16" t="n">
        <v>99</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6" t="n">
        <v>520</v>
      </c>
      <c r="U2209" s="16" t="n">
        <v>99</v>
      </c>
      <c r="V2209" s="16">
        <f>ROUNDUP((T2209+U2209+2*'Read Me'!$B$13)*(1+'Read Me'!$B$12),-1)</f>
        <v/>
      </c>
      <c r="W2209" s="16">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6" t="n">
        <v>1408</v>
      </c>
      <c r="U2210" s="16" t="n">
        <v>57</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6" t="n">
        <v>0</v>
      </c>
      <c r="U2211" s="16" t="n">
        <v>54</v>
      </c>
      <c r="V2211" s="16">
        <f>ROUNDUP((T2211+U2211+2*'Read Me'!$B$13)*(1+'Read Me'!$B$12),-1)</f>
        <v/>
      </c>
      <c r="W2211" s="16">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6" t="n">
        <v>0</v>
      </c>
      <c r="U2212" s="16" t="n">
        <v>46</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6" t="n">
        <v>250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0</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250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0</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6" t="n">
        <v>250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0</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6" t="n">
        <v>250</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0</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6" t="n">
        <v>250</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0</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6" t="n">
        <v>250</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0</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6" t="n">
        <v>250</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0</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6" t="n">
        <v>250</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6" t="n">
        <v>0</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6" t="n">
        <v>250</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6" t="n">
        <v>0</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6" t="n">
        <v>250</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0</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6" t="n">
        <v>110</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667</v>
      </c>
      <c r="U2240" s="16" t="n">
        <v>203</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6" t="n">
        <v>110</v>
      </c>
      <c r="U2241" s="16" t="n">
        <v>10</v>
      </c>
      <c r="V2241" s="16">
        <f>ROUNDUP((T2241+U2241+2*'Read Me'!$B$13)*(1+'Read Me'!$B$12),-1)</f>
        <v/>
      </c>
      <c r="W2241" s="16">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6" t="n">
        <v>667</v>
      </c>
      <c r="U2242" s="16" t="n">
        <v>203</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6" t="n">
        <v>110</v>
      </c>
      <c r="U2243" s="16" t="n">
        <v>10</v>
      </c>
      <c r="V2243" s="16">
        <f>ROUNDUP((T2243+U2243+2*'Read Me'!$B$13)*(1+'Read Me'!$B$12),-1)</f>
        <v/>
      </c>
      <c r="W2243" s="16">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6" t="n">
        <v>667</v>
      </c>
      <c r="U2244" s="16" t="n">
        <v>203</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6" t="n">
        <v>53</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6" t="n">
        <v>676</v>
      </c>
      <c r="U2246" s="16" t="n">
        <v>167</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6" t="n">
        <v>53</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6" t="n">
        <v>676</v>
      </c>
      <c r="U2248" s="16" t="n">
        <v>167</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6" t="n">
        <v>55</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6" t="n">
        <v>532</v>
      </c>
      <c r="U2250" s="16" t="n">
        <v>135</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6" t="n">
        <v>55</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6" t="n">
        <v>532</v>
      </c>
      <c r="U2252" s="16" t="n">
        <v>135</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6" t="n">
        <v>55</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6" t="n">
        <v>532</v>
      </c>
      <c r="U2254" s="16" t="n">
        <v>135</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6" t="n">
        <v>55</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6" t="n">
        <v>532</v>
      </c>
      <c r="U2256" s="16" t="n">
        <v>135</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6" t="n">
        <v>66</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6" t="n">
        <v>410</v>
      </c>
      <c r="U2258" s="16" t="n">
        <v>105</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6" t="n">
        <v>66</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6" t="n">
        <v>410</v>
      </c>
      <c r="U2260" s="16" t="n">
        <v>105</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6" t="n">
        <v>18</v>
      </c>
      <c r="U2261" s="16" t="n">
        <v>81</v>
      </c>
      <c r="V2261" s="16">
        <f>ROUNDUP((T2261+U2261+2*'Read Me'!$B$13)*(1+'Read Me'!$B$12),-1)</f>
        <v/>
      </c>
      <c r="W2261" s="16">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6" t="n">
        <v>0</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6" t="n">
        <v>0</v>
      </c>
      <c r="U2263" s="16" t="n">
        <v>73</v>
      </c>
      <c r="V2263" s="16">
        <f>ROUNDUP((T2263+U2263+2*'Read Me'!$B$13)*(1+'Read Me'!$B$12),-1)</f>
        <v/>
      </c>
      <c r="W2263" s="16">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6" t="n">
        <v>0</v>
      </c>
      <c r="U2264" s="16" t="n">
        <v>61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6" t="n">
        <v>42</v>
      </c>
      <c r="U2265" s="16" t="n">
        <v>10</v>
      </c>
      <c r="V2265" s="16">
        <f>ROUNDUP((T2265+U2265+2*'Read Me'!$B$13)*(1+'Read Me'!$B$12),-1)</f>
        <v/>
      </c>
      <c r="W2265" s="16">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6" t="n">
        <v>159</v>
      </c>
      <c r="U2266" s="16" t="n">
        <v>56</v>
      </c>
      <c r="V2266" s="16">
        <f>ROUNDUP((T2266+U2266+2*'Read Me'!$B$13)*(1+'Read Me'!$B$12),-1)</f>
        <v/>
      </c>
      <c r="W2266" s="16">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6" t="n">
        <v>42</v>
      </c>
      <c r="U2267" s="16" t="n">
        <v>10</v>
      </c>
      <c r="V2267" s="16">
        <f>ROUNDUP((T2267+U2267+2*'Read Me'!$B$13)*(1+'Read Me'!$B$12),-1)</f>
        <v/>
      </c>
      <c r="W2267" s="16">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6" t="n">
        <v>159</v>
      </c>
      <c r="U2268" s="16" t="n">
        <v>56</v>
      </c>
      <c r="V2268" s="16">
        <f>ROUNDUP((T2268+U2268+2*'Read Me'!$B$13)*(1+'Read Me'!$B$12),-1)</f>
        <v/>
      </c>
      <c r="W2268" s="16">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6" t="n">
        <v>42</v>
      </c>
      <c r="U2269" s="16" t="n">
        <v>10</v>
      </c>
      <c r="V2269" s="16">
        <f>ROUNDUP((T2269+U2269+2*'Read Me'!$B$13)*(1+'Read Me'!$B$12),-1)</f>
        <v/>
      </c>
      <c r="W2269" s="16">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6" t="n">
        <v>185</v>
      </c>
      <c r="U2270" s="16" t="n">
        <v>56</v>
      </c>
      <c r="V2270" s="16">
        <f>ROUNDUP((T2270+U2270+2*'Read Me'!$B$13)*(1+'Read Me'!$B$12),-1)</f>
        <v/>
      </c>
      <c r="W2270" s="16">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6" t="n">
        <v>42</v>
      </c>
      <c r="U2271" s="16" t="n">
        <v>10</v>
      </c>
      <c r="V2271" s="16">
        <f>ROUNDUP((T2271+U2271+2*'Read Me'!$B$13)*(1+'Read Me'!$B$12),-1)</f>
        <v/>
      </c>
      <c r="W2271" s="16">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6" t="n">
        <v>185</v>
      </c>
      <c r="U2272" s="16" t="n">
        <v>56</v>
      </c>
      <c r="V2272" s="16">
        <f>ROUNDUP((T2272+U2272+2*'Read Me'!$B$13)*(1+'Read Me'!$B$12),-1)</f>
        <v/>
      </c>
      <c r="W2272" s="16">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6" t="n">
        <v>42</v>
      </c>
      <c r="U2273" s="16" t="n">
        <v>10</v>
      </c>
      <c r="V2273" s="16">
        <f>ROUNDUP((T2273+U2273+2*'Read Me'!$B$13)*(1+'Read Me'!$B$12),-1)</f>
        <v/>
      </c>
      <c r="W2273" s="16">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6" t="n">
        <v>214</v>
      </c>
      <c r="U2274" s="16" t="n">
        <v>43</v>
      </c>
      <c r="V2274" s="16">
        <f>ROUNDUP((T2274+U2274+2*'Read Me'!$B$13)*(1+'Read Me'!$B$12),-1)</f>
        <v/>
      </c>
      <c r="W2274" s="16">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6" t="n">
        <v>42</v>
      </c>
      <c r="U2275" s="16" t="n">
        <v>10</v>
      </c>
      <c r="V2275" s="16">
        <f>ROUNDUP((T2275+U2275+2*'Read Me'!$B$13)*(1+'Read Me'!$B$12),-1)</f>
        <v/>
      </c>
      <c r="W2275" s="16">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6" t="n">
        <v>214</v>
      </c>
      <c r="U2276" s="16" t="n">
        <v>43</v>
      </c>
      <c r="V2276" s="16">
        <f>ROUNDUP((T2276+U2276+2*'Read Me'!$B$13)*(1+'Read Me'!$B$12),-1)</f>
        <v/>
      </c>
      <c r="W2276" s="16">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6" t="n">
        <v>42</v>
      </c>
      <c r="U2277" s="16" t="n">
        <v>10</v>
      </c>
      <c r="V2277" s="16">
        <f>ROUNDUP((T2277+U2277+2*'Read Me'!$B$13)*(1+'Read Me'!$B$12),-1)</f>
        <v/>
      </c>
      <c r="W2277" s="16">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6" t="n">
        <v>208</v>
      </c>
      <c r="U2278" s="16" t="n">
        <v>69</v>
      </c>
      <c r="V2278" s="16">
        <f>ROUNDUP((T2278+U2278+2*'Read Me'!$B$13)*(1+'Read Me'!$B$12),-1)</f>
        <v/>
      </c>
      <c r="W2278" s="16">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6" t="n">
        <v>42</v>
      </c>
      <c r="U2279" s="16" t="n">
        <v>10</v>
      </c>
      <c r="V2279" s="16">
        <f>ROUNDUP((T2279+U2279+2*'Read Me'!$B$13)*(1+'Read Me'!$B$12),-1)</f>
        <v/>
      </c>
      <c r="W2279" s="16">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6" t="n">
        <v>208</v>
      </c>
      <c r="U2280" s="16" t="n">
        <v>69</v>
      </c>
      <c r="V2280" s="16">
        <f>ROUNDUP((T2280+U2280+2*'Read Me'!$B$13)*(1+'Read Me'!$B$12),-1)</f>
        <v/>
      </c>
      <c r="W2280" s="16">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6" t="n">
        <v>53</v>
      </c>
      <c r="U2281" s="16" t="n">
        <v>10</v>
      </c>
      <c r="V2281" s="16">
        <f>ROUNDUP((T2281+U2281+2*'Read Me'!$B$13)*(1+'Read Me'!$B$12),-1)</f>
        <v/>
      </c>
      <c r="W2281" s="16">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6" t="n">
        <v>532</v>
      </c>
      <c r="U2282" s="16" t="n">
        <v>91</v>
      </c>
      <c r="V2282" s="16">
        <f>ROUNDUP((T2282+U2282+2*'Read Me'!$B$13)*(1+'Read Me'!$B$12),-1)</f>
        <v/>
      </c>
      <c r="W2282" s="16">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6" t="n">
        <v>53</v>
      </c>
      <c r="U2283" s="16" t="n">
        <v>10</v>
      </c>
      <c r="V2283" s="16">
        <f>ROUNDUP((T2283+U2283+2*'Read Me'!$B$13)*(1+'Read Me'!$B$12),-1)</f>
        <v/>
      </c>
      <c r="W2283" s="16">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6" t="n">
        <v>532</v>
      </c>
      <c r="U2284" s="16" t="n">
        <v>91</v>
      </c>
      <c r="V2284" s="16">
        <f>ROUNDUP((T2284+U2284+2*'Read Me'!$B$13)*(1+'Read Me'!$B$12),-1)</f>
        <v/>
      </c>
      <c r="W2284" s="16">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389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357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325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293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261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261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293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325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357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389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339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307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275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243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211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211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243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275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307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339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289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257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225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193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161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161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193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225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257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289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239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207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175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143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111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111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143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175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207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239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239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207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175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143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111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111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143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175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207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239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289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257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225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193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161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161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193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225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257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289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6" t="n">
        <v>339</v>
      </c>
      <c r="U2345" s="16" t="n">
        <v>44</v>
      </c>
      <c r="V2345" s="16">
        <f>ROUNDUP((T2345+U2345+2*'Read Me'!$B$13)*(1+'Read Me'!$B$12),-1)</f>
        <v/>
      </c>
      <c r="W2345" s="16">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6" t="n">
        <v>307</v>
      </c>
      <c r="U2346" s="16" t="n">
        <v>44</v>
      </c>
      <c r="V2346" s="16">
        <f>ROUNDUP((T2346+U2346+2*'Read Me'!$B$13)*(1+'Read Me'!$B$12),-1)</f>
        <v/>
      </c>
      <c r="W2346" s="16">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6" t="n">
        <v>275</v>
      </c>
      <c r="U2347" s="16" t="n">
        <v>44</v>
      </c>
      <c r="V2347" s="16">
        <f>ROUNDUP((T2347+U2347+2*'Read Me'!$B$13)*(1+'Read Me'!$B$12),-1)</f>
        <v/>
      </c>
      <c r="W2347" s="16">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6" t="n">
        <v>243</v>
      </c>
      <c r="U2348" s="16" t="n">
        <v>44</v>
      </c>
      <c r="V2348" s="16">
        <f>ROUNDUP((T2348+U2348+2*'Read Me'!$B$13)*(1+'Read Me'!$B$12),-1)</f>
        <v/>
      </c>
      <c r="W2348" s="16">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6" t="n">
        <v>211</v>
      </c>
      <c r="U2349" s="16" t="n">
        <v>44</v>
      </c>
      <c r="V2349" s="16">
        <f>ROUNDUP((T2349+U2349+2*'Read Me'!$B$13)*(1+'Read Me'!$B$12),-1)</f>
        <v/>
      </c>
      <c r="W2349" s="16">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6" t="n">
        <v>211</v>
      </c>
      <c r="U2350" s="16" t="n">
        <v>44</v>
      </c>
      <c r="V2350" s="16">
        <f>ROUNDUP((T2350+U2350+2*'Read Me'!$B$13)*(1+'Read Me'!$B$12),-1)</f>
        <v/>
      </c>
      <c r="W2350" s="16">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6" t="n">
        <v>243</v>
      </c>
      <c r="U2351" s="16" t="n">
        <v>44</v>
      </c>
      <c r="V2351" s="16">
        <f>ROUNDUP((T2351+U2351+2*'Read Me'!$B$13)*(1+'Read Me'!$B$12),-1)</f>
        <v/>
      </c>
      <c r="W2351" s="16">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6" t="n">
        <v>275</v>
      </c>
      <c r="U2352" s="16" t="n">
        <v>44</v>
      </c>
      <c r="V2352" s="16">
        <f>ROUNDUP((T2352+U2352+2*'Read Me'!$B$13)*(1+'Read Me'!$B$12),-1)</f>
        <v/>
      </c>
      <c r="W2352" s="16">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6" t="n">
        <v>307</v>
      </c>
      <c r="U2353" s="16" t="n">
        <v>44</v>
      </c>
      <c r="V2353" s="16">
        <f>ROUNDUP((T2353+U2353+2*'Read Me'!$B$13)*(1+'Read Me'!$B$12),-1)</f>
        <v/>
      </c>
      <c r="W2353" s="16">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6" t="n">
        <v>339</v>
      </c>
      <c r="U2354" s="16" t="n">
        <v>44</v>
      </c>
      <c r="V2354" s="16">
        <f>ROUNDUP((T2354+U2354+2*'Read Me'!$B$13)*(1+'Read Me'!$B$12),-1)</f>
        <v/>
      </c>
      <c r="W2354" s="16">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6" t="n">
        <v>389</v>
      </c>
      <c r="U2355" s="16" t="n">
        <v>44</v>
      </c>
      <c r="V2355" s="16">
        <f>ROUNDUP((T2355+U2355+2*'Read Me'!$B$13)*(1+'Read Me'!$B$12),-1)</f>
        <v/>
      </c>
      <c r="W2355" s="16">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6" t="n">
        <v>357</v>
      </c>
      <c r="U2356" s="16" t="n">
        <v>44</v>
      </c>
      <c r="V2356" s="16">
        <f>ROUNDUP((T2356+U2356+2*'Read Me'!$B$13)*(1+'Read Me'!$B$12),-1)</f>
        <v/>
      </c>
      <c r="W2356" s="16">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6" t="n">
        <v>325</v>
      </c>
      <c r="U2357" s="16" t="n">
        <v>44</v>
      </c>
      <c r="V2357" s="16">
        <f>ROUNDUP((T2357+U2357+2*'Read Me'!$B$13)*(1+'Read Me'!$B$12),-1)</f>
        <v/>
      </c>
      <c r="W2357" s="16">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6" t="n">
        <v>293</v>
      </c>
      <c r="U2358" s="16" t="n">
        <v>44</v>
      </c>
      <c r="V2358" s="16">
        <f>ROUNDUP((T2358+U2358+2*'Read Me'!$B$13)*(1+'Read Me'!$B$12),-1)</f>
        <v/>
      </c>
      <c r="W2358" s="16">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6" t="n">
        <v>261</v>
      </c>
      <c r="U2359" s="16" t="n">
        <v>44</v>
      </c>
      <c r="V2359" s="16">
        <f>ROUNDUP((T2359+U2359+2*'Read Me'!$B$13)*(1+'Read Me'!$B$12),-1)</f>
        <v/>
      </c>
      <c r="W2359" s="16">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6" t="n">
        <v>261</v>
      </c>
      <c r="U2360" s="16" t="n">
        <v>44</v>
      </c>
      <c r="V2360" s="16">
        <f>ROUNDUP((T2360+U2360+2*'Read Me'!$B$13)*(1+'Read Me'!$B$12),-1)</f>
        <v/>
      </c>
      <c r="W2360" s="16">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6" t="n">
        <v>293</v>
      </c>
      <c r="U2361" s="16" t="n">
        <v>44</v>
      </c>
      <c r="V2361" s="16">
        <f>ROUNDUP((T2361+U2361+2*'Read Me'!$B$13)*(1+'Read Me'!$B$12),-1)</f>
        <v/>
      </c>
      <c r="W2361" s="16">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6" t="n">
        <v>325</v>
      </c>
      <c r="U2362" s="16" t="n">
        <v>44</v>
      </c>
      <c r="V2362" s="16">
        <f>ROUNDUP((T2362+U2362+2*'Read Me'!$B$13)*(1+'Read Me'!$B$12),-1)</f>
        <v/>
      </c>
      <c r="W2362" s="16">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6" t="n">
        <v>357</v>
      </c>
      <c r="U2363" s="16" t="n">
        <v>44</v>
      </c>
      <c r="V2363" s="16">
        <f>ROUNDUP((T2363+U2363+2*'Read Me'!$B$13)*(1+'Read Me'!$B$12),-1)</f>
        <v/>
      </c>
      <c r="W2363" s="16">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6" t="n">
        <v>389</v>
      </c>
      <c r="U2364" s="16" t="n">
        <v>44</v>
      </c>
      <c r="V2364" s="16">
        <f>ROUNDUP((T2364+U2364+2*'Read Me'!$B$13)*(1+'Read Me'!$B$12),-1)</f>
        <v/>
      </c>
      <c r="W2364" s="16">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6" t="n">
        <v>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6" t="n">
        <v>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6" t="n">
        <v>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6" t="n">
        <v>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6" t="n">
        <v>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6" t="n">
        <v>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6" t="n">
        <v>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6" t="n">
        <v>0</v>
      </c>
      <c r="U2386" s="16" t="n">
        <v>52</v>
      </c>
      <c r="V2386" s="16">
        <f>ROUNDUP((T2386+U2386+2*'Read Me'!$B$13)*(1+'Read Me'!$B$12),-1)</f>
        <v/>
      </c>
      <c r="W2386" s="16">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6" t="n">
        <v>0</v>
      </c>
      <c r="U2387" s="16" t="n">
        <v>52</v>
      </c>
      <c r="V2387" s="16">
        <f>ROUNDUP((T2387+U2387+2*'Read Me'!$B$13)*(1+'Read Me'!$B$12),-1)</f>
        <v/>
      </c>
      <c r="W2387" s="16">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6" t="n">
        <v>0</v>
      </c>
      <c r="U2388" s="16" t="n">
        <v>52</v>
      </c>
      <c r="V2388" s="16">
        <f>ROUNDUP((T2388+U2388+2*'Read Me'!$B$13)*(1+'Read Me'!$B$12),-1)</f>
        <v/>
      </c>
      <c r="W2388" s="16">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6" t="n">
        <v>0</v>
      </c>
      <c r="U2389" s="16" t="n">
        <v>52</v>
      </c>
      <c r="V2389" s="16">
        <f>ROUNDUP((T2389+U2389+2*'Read Me'!$B$13)*(1+'Read Me'!$B$12),-1)</f>
        <v/>
      </c>
      <c r="W2389" s="16">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6" t="n">
        <v>0</v>
      </c>
      <c r="U2390" s="16" t="n">
        <v>52</v>
      </c>
      <c r="V2390" s="16">
        <f>ROUNDUP((T2390+U2390+2*'Read Me'!$B$13)*(1+'Read Me'!$B$12),-1)</f>
        <v/>
      </c>
      <c r="W2390" s="16">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6" t="n">
        <v>0</v>
      </c>
      <c r="U2391" s="16" t="n">
        <v>52</v>
      </c>
      <c r="V2391" s="16">
        <f>ROUNDUP((T2391+U2391+2*'Read Me'!$B$13)*(1+'Read Me'!$B$12),-1)</f>
        <v/>
      </c>
      <c r="W2391" s="16">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6" t="n">
        <v>0</v>
      </c>
      <c r="U2392" s="16" t="n">
        <v>52</v>
      </c>
      <c r="V2392" s="16">
        <f>ROUNDUP((T2392+U2392+2*'Read Me'!$B$13)*(1+'Read Me'!$B$12),-1)</f>
        <v/>
      </c>
      <c r="W2392" s="16">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6" t="n">
        <v>0</v>
      </c>
      <c r="U2393" s="16" t="n">
        <v>52</v>
      </c>
      <c r="V2393" s="16">
        <f>ROUNDUP((T2393+U2393+2*'Read Me'!$B$13)*(1+'Read Me'!$B$12),-1)</f>
        <v/>
      </c>
      <c r="W2393" s="16">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6" t="n">
        <v>0</v>
      </c>
      <c r="U2394" s="16" t="n">
        <v>52</v>
      </c>
      <c r="V2394" s="16">
        <f>ROUNDUP((T2394+U2394+2*'Read Me'!$B$13)*(1+'Read Me'!$B$12),-1)</f>
        <v/>
      </c>
      <c r="W2394" s="16">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6" t="n">
        <v>300</v>
      </c>
      <c r="U2395" s="16" t="n">
        <v>52</v>
      </c>
      <c r="V2395" s="16">
        <f>ROUNDUP((T2395+U2395+2*'Read Me'!$B$13)*(1+'Read Me'!$B$12),-1)</f>
        <v/>
      </c>
      <c r="W2395" s="16">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6" t="n">
        <v>300</v>
      </c>
      <c r="U2396" s="16" t="n">
        <v>52</v>
      </c>
      <c r="V2396" s="16">
        <f>ROUNDUP((T2396+U2396+2*'Read Me'!$B$13)*(1+'Read Me'!$B$12),-1)</f>
        <v/>
      </c>
      <c r="W2396" s="16">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6" t="n">
        <v>300</v>
      </c>
      <c r="U2397" s="16" t="n">
        <v>52</v>
      </c>
      <c r="V2397" s="16">
        <f>ROUNDUP((T2397+U2397+2*'Read Me'!$B$13)*(1+'Read Me'!$B$12),-1)</f>
        <v/>
      </c>
      <c r="W2397" s="16">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6" t="n">
        <v>300</v>
      </c>
      <c r="U2398" s="16" t="n">
        <v>52</v>
      </c>
      <c r="V2398" s="16">
        <f>ROUNDUP((T2398+U2398+2*'Read Me'!$B$13)*(1+'Read Me'!$B$12),-1)</f>
        <v/>
      </c>
      <c r="W2398" s="16">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6" t="n">
        <v>300</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6" t="n">
        <v>300</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6" t="n">
        <v>300</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6" t="n">
        <v>0</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6" t="n">
        <v>0</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6" t="n">
        <v>0</v>
      </c>
      <c r="U2404" s="16" t="n">
        <v>52</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6" t="n">
        <v>0</v>
      </c>
      <c r="U2405" s="16" t="n">
        <v>52</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6" t="n">
        <v>765</v>
      </c>
      <c r="U2406" s="16" t="n">
        <v>211</v>
      </c>
      <c r="V2406" s="16">
        <f>ROUNDUP((T2406+U2406+2*'Read Me'!$B$13)*(1+'Read Me'!$B$12),-1)</f>
        <v/>
      </c>
      <c r="W2406" s="16">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6" t="n">
        <v>765</v>
      </c>
      <c r="U2407" s="16" t="n">
        <v>211</v>
      </c>
      <c r="V2407" s="16">
        <f>ROUNDUP((T2407+U2407+2*'Read Me'!$B$13)*(1+'Read Me'!$B$12),-1)</f>
        <v/>
      </c>
      <c r="W2407" s="16">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6" t="n">
        <v>765</v>
      </c>
      <c r="U2408" s="16" t="n">
        <v>211</v>
      </c>
      <c r="V2408" s="16">
        <f>ROUNDUP((T2408+U2408+2*'Read Me'!$B$13)*(1+'Read Me'!$B$12),-1)</f>
        <v/>
      </c>
      <c r="W2408" s="16">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6" t="n">
        <v>765</v>
      </c>
      <c r="U2409" s="16" t="n">
        <v>211</v>
      </c>
      <c r="V2409" s="16">
        <f>ROUNDUP((T2409+U2409+2*'Read Me'!$B$13)*(1+'Read Me'!$B$12),-1)</f>
        <v/>
      </c>
      <c r="W2409" s="16">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6" t="n">
        <v>765</v>
      </c>
      <c r="U2410" s="16" t="n">
        <v>211</v>
      </c>
      <c r="V2410" s="16">
        <f>ROUNDUP((T2410+U2410+2*'Read Me'!$B$13)*(1+'Read Me'!$B$12),-1)</f>
        <v/>
      </c>
      <c r="W2410" s="16">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6" t="n">
        <v>765</v>
      </c>
      <c r="U2411" s="16" t="n">
        <v>211</v>
      </c>
      <c r="V2411" s="16">
        <f>ROUNDUP((T2411+U2411+2*'Read Me'!$B$13)*(1+'Read Me'!$B$12),-1)</f>
        <v/>
      </c>
      <c r="W2411" s="16">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6" t="n">
        <v>765</v>
      </c>
      <c r="U2412" s="16" t="n">
        <v>211</v>
      </c>
      <c r="V2412" s="16">
        <f>ROUNDUP((T2412+U2412+2*'Read Me'!$B$13)*(1+'Read Me'!$B$12),-1)</f>
        <v/>
      </c>
      <c r="W2412" s="16">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6" t="n">
        <v>765</v>
      </c>
      <c r="U2413" s="16" t="n">
        <v>211</v>
      </c>
      <c r="V2413" s="16">
        <f>ROUNDUP((T2413+U2413+2*'Read Me'!$B$13)*(1+'Read Me'!$B$12),-1)</f>
        <v/>
      </c>
      <c r="W2413" s="16">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6" t="n">
        <v>765</v>
      </c>
      <c r="U2414" s="16" t="n">
        <v>211</v>
      </c>
      <c r="V2414" s="16">
        <f>ROUNDUP((T2414+U2414+2*'Read Me'!$B$13)*(1+'Read Me'!$B$12),-1)</f>
        <v/>
      </c>
      <c r="W2414" s="16">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6" t="n">
        <v>765</v>
      </c>
      <c r="U2415" s="16" t="n">
        <v>211</v>
      </c>
      <c r="V2415" s="16">
        <f>ROUNDUP((T2415+U2415+2*'Read Me'!$B$13)*(1+'Read Me'!$B$12),-1)</f>
        <v/>
      </c>
      <c r="W2415" s="16">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6" t="n">
        <v>765</v>
      </c>
      <c r="U2416" s="16" t="n">
        <v>211</v>
      </c>
      <c r="V2416" s="16">
        <f>ROUNDUP((T2416+U2416+2*'Read Me'!$B$13)*(1+'Read Me'!$B$12),-1)</f>
        <v/>
      </c>
      <c r="W2416" s="16">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6" t="n">
        <v>765</v>
      </c>
      <c r="U2417" s="16" t="n">
        <v>211</v>
      </c>
      <c r="V2417" s="16">
        <f>ROUNDUP((T2417+U2417+2*'Read Me'!$B$13)*(1+'Read Me'!$B$12),-1)</f>
        <v/>
      </c>
      <c r="W2417" s="16">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6" t="n">
        <v>664</v>
      </c>
      <c r="U2418" s="16" t="n">
        <v>175</v>
      </c>
      <c r="V2418" s="16">
        <f>ROUNDUP((T2418+U2418+2*'Read Me'!$B$13)*(1+'Read Me'!$B$12),-1)</f>
        <v/>
      </c>
      <c r="W2418" s="16">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6" t="n">
        <v>664</v>
      </c>
      <c r="U2419" s="16" t="n">
        <v>175</v>
      </c>
      <c r="V2419" s="16">
        <f>ROUNDUP((T2419+U2419+2*'Read Me'!$B$13)*(1+'Read Me'!$B$12),-1)</f>
        <v/>
      </c>
      <c r="W2419" s="16">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6" t="n">
        <v>398</v>
      </c>
      <c r="U2420" s="16" t="n">
        <v>113</v>
      </c>
      <c r="V2420" s="16">
        <f>ROUNDUP((T2420+U2420+2*'Read Me'!$B$13)*(1+'Read Me'!$B$12),-1)</f>
        <v/>
      </c>
      <c r="W2420" s="16">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6" t="n">
        <v>0</v>
      </c>
      <c r="U2421" s="16" t="n">
        <v>54</v>
      </c>
      <c r="V2421" s="16">
        <f>ROUNDUP((T2421+U2421+2*'Read Me'!$B$13)*(1+'Read Me'!$B$12),-1)</f>
        <v/>
      </c>
      <c r="W2421" s="16">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160</v>
      </c>
      <c r="U2422" s="16" t="n">
        <v>64</v>
      </c>
      <c r="V2422" s="16">
        <f>ROUNDUP((T2422+U2422+2*'Read Me'!$B$13)*(1+'Read Me'!$B$12),-1)</f>
        <v/>
      </c>
      <c r="W2422" s="16">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160</v>
      </c>
      <c r="U2423" s="16" t="n">
        <v>64</v>
      </c>
      <c r="V2423" s="16">
        <f>ROUNDUP((T2423+U2423+2*'Read Me'!$B$13)*(1+'Read Me'!$B$12),-1)</f>
        <v/>
      </c>
      <c r="W2423" s="16">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160</v>
      </c>
      <c r="U2424" s="16" t="n">
        <v>64</v>
      </c>
      <c r="V2424" s="16">
        <f>ROUNDUP((T2424+U2424+2*'Read Me'!$B$13)*(1+'Read Me'!$B$12),-1)</f>
        <v/>
      </c>
      <c r="W2424" s="16">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160</v>
      </c>
      <c r="U2425" s="16" t="n">
        <v>64</v>
      </c>
      <c r="V2425" s="16">
        <f>ROUNDUP((T2425+U2425+2*'Read Me'!$B$13)*(1+'Read Me'!$B$12),-1)</f>
        <v/>
      </c>
      <c r="W2425" s="16">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6" t="n">
        <v>160</v>
      </c>
      <c r="U2426" s="16" t="n">
        <v>64</v>
      </c>
      <c r="V2426" s="16">
        <f>ROUNDUP((T2426+U2426+2*'Read Me'!$B$13)*(1+'Read Me'!$B$12),-1)</f>
        <v/>
      </c>
      <c r="W2426" s="16">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6" t="n">
        <v>160</v>
      </c>
      <c r="U2427" s="16" t="n">
        <v>64</v>
      </c>
      <c r="V2427" s="16">
        <f>ROUNDUP((T2427+U2427+2*'Read Me'!$B$13)*(1+'Read Me'!$B$12),-1)</f>
        <v/>
      </c>
      <c r="W2427" s="16">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6" t="n">
        <v>186</v>
      </c>
      <c r="U2428" s="16" t="n">
        <v>64</v>
      </c>
      <c r="V2428" s="16">
        <f>ROUNDUP((T2428+U2428+2*'Read Me'!$B$13)*(1+'Read Me'!$B$12),-1)</f>
        <v/>
      </c>
      <c r="W2428" s="16">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6" t="n">
        <v>186</v>
      </c>
      <c r="U2429" s="16" t="n">
        <v>64</v>
      </c>
      <c r="V2429" s="16">
        <f>ROUNDUP((T2429+U2429+2*'Read Me'!$B$13)*(1+'Read Me'!$B$12),-1)</f>
        <v/>
      </c>
      <c r="W2429" s="16">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6" t="n">
        <v>186</v>
      </c>
      <c r="U2430" s="16" t="n">
        <v>64</v>
      </c>
      <c r="V2430" s="16">
        <f>ROUNDUP((T2430+U2430+2*'Read Me'!$B$13)*(1+'Read Me'!$B$12),-1)</f>
        <v/>
      </c>
      <c r="W2430" s="16">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6" t="n">
        <v>186</v>
      </c>
      <c r="U2431" s="16" t="n">
        <v>64</v>
      </c>
      <c r="V2431" s="16">
        <f>ROUNDUP((T2431+U2431+2*'Read Me'!$B$13)*(1+'Read Me'!$B$12),-1)</f>
        <v/>
      </c>
      <c r="W2431" s="16">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6" t="n">
        <v>186</v>
      </c>
      <c r="U2432" s="16" t="n">
        <v>64</v>
      </c>
      <c r="V2432" s="16">
        <f>ROUNDUP((T2432+U2432+2*'Read Me'!$B$13)*(1+'Read Me'!$B$12),-1)</f>
        <v/>
      </c>
      <c r="W2432" s="16">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6" t="n">
        <v>186</v>
      </c>
      <c r="U2433" s="16" t="n">
        <v>64</v>
      </c>
      <c r="V2433" s="16">
        <f>ROUNDUP((T2433+U2433+2*'Read Me'!$B$13)*(1+'Read Me'!$B$12),-1)</f>
        <v/>
      </c>
      <c r="W2433" s="16">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6" t="n">
        <v>215</v>
      </c>
      <c r="U2434" s="16" t="n">
        <v>51</v>
      </c>
      <c r="V2434" s="16">
        <f>ROUNDUP((T2434+U2434+2*'Read Me'!$B$13)*(1+'Read Me'!$B$12),-1)</f>
        <v/>
      </c>
      <c r="W2434" s="16">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6" t="n">
        <v>215</v>
      </c>
      <c r="U2435" s="16" t="n">
        <v>51</v>
      </c>
      <c r="V2435" s="16">
        <f>ROUNDUP((T2435+U2435+2*'Read Me'!$B$13)*(1+'Read Me'!$B$12),-1)</f>
        <v/>
      </c>
      <c r="W2435" s="16">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6" t="n">
        <v>215</v>
      </c>
      <c r="U2436" s="16" t="n">
        <v>51</v>
      </c>
      <c r="V2436" s="16">
        <f>ROUNDUP((T2436+U2436+2*'Read Me'!$B$13)*(1+'Read Me'!$B$12),-1)</f>
        <v/>
      </c>
      <c r="W2436" s="16">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6" t="n">
        <v>215</v>
      </c>
      <c r="U2437" s="16" t="n">
        <v>51</v>
      </c>
      <c r="V2437" s="16">
        <f>ROUNDUP((T2437+U2437+2*'Read Me'!$B$13)*(1+'Read Me'!$B$12),-1)</f>
        <v/>
      </c>
      <c r="W2437" s="16">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6" t="n">
        <v>215</v>
      </c>
      <c r="U2438" s="16" t="n">
        <v>51</v>
      </c>
      <c r="V2438" s="16">
        <f>ROUNDUP((T2438+U2438+2*'Read Me'!$B$13)*(1+'Read Me'!$B$12),-1)</f>
        <v/>
      </c>
      <c r="W2438" s="16">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6" t="n">
        <v>215</v>
      </c>
      <c r="U2439" s="16" t="n">
        <v>51</v>
      </c>
      <c r="V2439" s="16">
        <f>ROUNDUP((T2439+U2439+2*'Read Me'!$B$13)*(1+'Read Me'!$B$12),-1)</f>
        <v/>
      </c>
      <c r="W2439" s="16">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6" t="n">
        <v>209</v>
      </c>
      <c r="U2440" s="16" t="n">
        <v>77</v>
      </c>
      <c r="V2440" s="16">
        <f>ROUNDUP((T2440+U2440+2*'Read Me'!$B$13)*(1+'Read Me'!$B$12),-1)</f>
        <v/>
      </c>
      <c r="W2440" s="16">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6" t="n">
        <v>209</v>
      </c>
      <c r="U2441" s="16" t="n">
        <v>77</v>
      </c>
      <c r="V2441" s="16">
        <f>ROUNDUP((T2441+U2441+2*'Read Me'!$B$13)*(1+'Read Me'!$B$12),-1)</f>
        <v/>
      </c>
      <c r="W2441" s="16">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6" t="n">
        <v>209</v>
      </c>
      <c r="U2442" s="16" t="n">
        <v>77</v>
      </c>
      <c r="V2442" s="16">
        <f>ROUNDUP((T2442+U2442+2*'Read Me'!$B$13)*(1+'Read Me'!$B$12),-1)</f>
        <v/>
      </c>
      <c r="W2442" s="16">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6" t="n">
        <v>209</v>
      </c>
      <c r="U2443" s="16" t="n">
        <v>77</v>
      </c>
      <c r="V2443" s="16">
        <f>ROUNDUP((T2443+U2443+2*'Read Me'!$B$13)*(1+'Read Me'!$B$12),-1)</f>
        <v/>
      </c>
      <c r="W2443" s="16">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6" t="n">
        <v>209</v>
      </c>
      <c r="U2444" s="16" t="n">
        <v>77</v>
      </c>
      <c r="V2444" s="16">
        <f>ROUNDUP((T2444+U2444+2*'Read Me'!$B$13)*(1+'Read Me'!$B$12),-1)</f>
        <v/>
      </c>
      <c r="W2444" s="16">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6" t="n">
        <v>209</v>
      </c>
      <c r="U2445" s="16" t="n">
        <v>77</v>
      </c>
      <c r="V2445" s="16">
        <f>ROUNDUP((T2445+U2445+2*'Read Me'!$B$13)*(1+'Read Me'!$B$12),-1)</f>
        <v/>
      </c>
      <c r="W2445" s="16">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6" t="n">
        <v>520</v>
      </c>
      <c r="U2446" s="16" t="n">
        <v>99</v>
      </c>
      <c r="V2446" s="16">
        <f>ROUNDUP((T2446+U2446+2*'Read Me'!$B$13)*(1+'Read Me'!$B$12),-1)</f>
        <v/>
      </c>
      <c r="W2446" s="16">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6" t="n">
        <v>520</v>
      </c>
      <c r="U2447" s="16" t="n">
        <v>99</v>
      </c>
      <c r="V2447" s="16">
        <f>ROUNDUP((T2447+U2447+2*'Read Me'!$B$13)*(1+'Read Me'!$B$12),-1)</f>
        <v/>
      </c>
      <c r="W2447" s="16">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6" t="n">
        <v>1173</v>
      </c>
      <c r="U2448" s="16" t="n">
        <v>147</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6" t="n">
        <v>1228</v>
      </c>
      <c r="U2449" s="16" t="n">
        <v>163</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6" t="n">
        <v>1310</v>
      </c>
      <c r="U2450" s="16" t="n">
        <v>128</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6" t="n">
        <v>1222</v>
      </c>
      <c r="U2451" s="16" t="n">
        <v>160</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6" t="n">
        <v>1215</v>
      </c>
      <c r="U2452" s="16" t="n">
        <v>274</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6" t="n">
        <v>855</v>
      </c>
      <c r="U2453" s="16" t="n">
        <v>155</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6" t="n">
        <v>1215</v>
      </c>
      <c r="U2454" s="16" t="n">
        <v>274</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6" t="n">
        <v>5824</v>
      </c>
      <c r="U2455" s="16" t="n">
        <v>0</v>
      </c>
      <c r="V2455" s="16">
        <f>ROUNDUP((T2455+U2455+2*'Read Me'!$B$13)*(1+'Read Me'!$B$12),-1)</f>
        <v/>
      </c>
      <c r="W2455" s="16">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274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274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274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274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6" t="n">
        <v>274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274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274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274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274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274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274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6" t="n">
        <v>274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274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274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274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274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274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274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6" t="n">
        <v>274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274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274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6" t="n">
        <v>474</v>
      </c>
      <c r="U2477" s="16" t="n">
        <v>40</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474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474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474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6" t="n">
        <v>474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474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474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6" t="n">
        <v>474</v>
      </c>
      <c r="U2484" s="16" t="n">
        <v>52</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474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474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474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6" t="n">
        <v>474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474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474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6" t="n">
        <v>474</v>
      </c>
      <c r="U2491" s="16" t="n">
        <v>92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474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474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474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6" t="n">
        <v>474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474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474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6" t="n">
        <v>674</v>
      </c>
      <c r="U2498" s="16" t="n">
        <v>40</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674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674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674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6" t="n">
        <v>674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674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674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6" t="n">
        <v>674</v>
      </c>
      <c r="U2505" s="16" t="n">
        <v>52</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674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674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674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6" t="n">
        <v>674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674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674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6" t="n">
        <v>674</v>
      </c>
      <c r="U2512" s="16" t="n">
        <v>92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674</v>
      </c>
      <c r="U2513" s="16" t="n">
        <v>92</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674</v>
      </c>
      <c r="U2514" s="16" t="n">
        <v>92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674</v>
      </c>
      <c r="U2515" s="16" t="n">
        <v>92</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6" t="n">
        <v>674</v>
      </c>
      <c r="U2516" s="16" t="n">
        <v>92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674</v>
      </c>
      <c r="U2517" s="16" t="n">
        <v>92</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674</v>
      </c>
      <c r="U2518" s="16" t="n">
        <v>92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6" t="n">
        <v>1294</v>
      </c>
      <c r="U2519" s="16" t="n">
        <v>40</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1294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1294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1294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6" t="n">
        <v>1294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1294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6" t="n">
        <v>1294</v>
      </c>
      <c r="U2526" s="16" t="n">
        <v>52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1294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1294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6" t="n">
        <v>1294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1294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1294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6" t="n">
        <v>1340</v>
      </c>
      <c r="U2533" s="16" t="n">
        <v>46</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1340</v>
      </c>
      <c r="U2534" s="16" t="n">
        <v>46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1340</v>
      </c>
      <c r="U2535" s="16" t="n">
        <v>46</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1340</v>
      </c>
      <c r="U2536" s="16" t="n">
        <v>46</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6" t="n">
        <v>1340</v>
      </c>
      <c r="U2537" s="16" t="n">
        <v>46</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1340</v>
      </c>
      <c r="U2538" s="16" t="n">
        <v>46</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1340</v>
      </c>
      <c r="U2539" s="16" t="n">
        <v>46</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6" t="n">
        <v>1434</v>
      </c>
      <c r="U2540" s="16" t="n">
        <v>40</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1434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1434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1434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6" t="n">
        <v>1434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1434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1434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6" t="n">
        <v>1434</v>
      </c>
      <c r="U2547" s="16" t="n">
        <v>52</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1434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1434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1434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6" t="n">
        <v>1434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1434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1434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6" t="n">
        <v>1434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1434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1434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1434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6" t="n">
        <v>1434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1434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1434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6" t="n">
        <v>1584</v>
      </c>
      <c r="U2561" s="16" t="n">
        <v>40</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6" t="n">
        <v>1584</v>
      </c>
      <c r="U2562" s="16" t="n">
        <v>40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6" t="n">
        <v>1584</v>
      </c>
      <c r="U2563" s="16" t="n">
        <v>40</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6" t="n">
        <v>1584</v>
      </c>
      <c r="U2564" s="16" t="n">
        <v>40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6" t="n">
        <v>1584</v>
      </c>
      <c r="U2565" s="16" t="n">
        <v>40</v>
      </c>
      <c r="V2565" s="16">
        <f>ROUNDUP((T2565+U2565+2*'Read Me'!$B$13)*(1+'Read Me'!$B$12),-1)</f>
        <v/>
      </c>
      <c r="W2565" s="16">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6" t="n">
        <v>1584</v>
      </c>
      <c r="U2566" s="16" t="n">
        <v>40</v>
      </c>
      <c r="V2566" s="16">
        <f>ROUNDUP((T2566+U2566+2*'Read Me'!$B$13)*(1+'Read Me'!$B$12),-1)</f>
        <v/>
      </c>
      <c r="W2566" s="16">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6" t="n">
        <v>1584</v>
      </c>
      <c r="U2567" s="16" t="n">
        <v>40</v>
      </c>
      <c r="V2567" s="16">
        <f>ROUNDUP((T2567+U2567+2*'Read Me'!$B$13)*(1+'Read Me'!$B$12),-1)</f>
        <v/>
      </c>
      <c r="W2567" s="16">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6" t="n">
        <v>1584</v>
      </c>
      <c r="U2568" s="16" t="n">
        <v>52</v>
      </c>
      <c r="V2568" s="16">
        <f>ROUNDUP((T2568+U2568+2*'Read Me'!$B$13)*(1+'Read Me'!$B$12),-1)</f>
        <v/>
      </c>
      <c r="W2568" s="16">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6" t="n">
        <v>1584</v>
      </c>
      <c r="U2569" s="16" t="n">
        <v>52</v>
      </c>
      <c r="V2569" s="16">
        <f>ROUNDUP((T2569+U2569+2*'Read Me'!$B$13)*(1+'Read Me'!$B$12),-1)</f>
        <v/>
      </c>
      <c r="W2569" s="16">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6" t="n">
        <v>1584</v>
      </c>
      <c r="U2570" s="16" t="n">
        <v>52</v>
      </c>
      <c r="V2570" s="16">
        <f>ROUNDUP((T2570+U2570+2*'Read Me'!$B$13)*(1+'Read Me'!$B$12),-1)</f>
        <v/>
      </c>
      <c r="W2570" s="16">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6" t="n">
        <v>1584</v>
      </c>
      <c r="U2571" s="16" t="n">
        <v>52</v>
      </c>
      <c r="V2571" s="16">
        <f>ROUNDUP((T2571+U2571+2*'Read Me'!$B$13)*(1+'Read Me'!$B$12),-1)</f>
        <v/>
      </c>
      <c r="W2571" s="16">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6" t="n">
        <v>1584</v>
      </c>
      <c r="U2572" s="16" t="n">
        <v>52</v>
      </c>
      <c r="V2572" s="16">
        <f>ROUNDUP((T2572+U2572+2*'Read Me'!$B$13)*(1+'Read Me'!$B$12),-1)</f>
        <v/>
      </c>
      <c r="W2572" s="16">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6" t="n">
        <v>1584</v>
      </c>
      <c r="U2573" s="16" t="n">
        <v>52</v>
      </c>
      <c r="V2573" s="16">
        <f>ROUNDUP((T2573+U2573+2*'Read Me'!$B$13)*(1+'Read Me'!$B$12),-1)</f>
        <v/>
      </c>
      <c r="W2573" s="16">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6" t="n">
        <v>1584</v>
      </c>
      <c r="U2574" s="16" t="n">
        <v>52</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6" t="n">
        <v>1584</v>
      </c>
      <c r="U2575" s="16" t="n">
        <v>92</v>
      </c>
      <c r="V2575" s="16">
        <f>ROUNDUP((T2575+U2575+2*'Read Me'!$B$13)*(1+'Read Me'!$B$12),-1)</f>
        <v/>
      </c>
      <c r="W2575" s="16">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6" t="n">
        <v>1584</v>
      </c>
      <c r="U2576" s="16" t="n">
        <v>92</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6" t="n">
        <v>1584</v>
      </c>
      <c r="U2577" s="16" t="n">
        <v>92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6" t="n">
        <v>1584</v>
      </c>
      <c r="U2578" s="16" t="n">
        <v>92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6" t="n">
        <v>1584</v>
      </c>
      <c r="U2579" s="16" t="n">
        <v>92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6" t="n">
        <v>1584</v>
      </c>
      <c r="U2580" s="16" t="n">
        <v>92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6" t="n">
        <v>1584</v>
      </c>
      <c r="U2581" s="16" t="n">
        <v>92</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6" t="n">
        <v>0</v>
      </c>
      <c r="U2582" s="16" t="n">
        <v>30</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6" t="n">
        <v>809</v>
      </c>
      <c r="U2583" s="16" t="n">
        <v>32</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6" t="n">
        <v>0</v>
      </c>
      <c r="U2584" s="16" t="n">
        <v>30</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1217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6" t="n">
        <v>73020</v>
      </c>
      <c r="U2585" s="16" t="n">
        <v>0</v>
      </c>
      <c r="V2585" s="16">
        <f>ROUNDUP((T2585+U2585+2*'Read Me'!$B$13)*(1+'Read Me'!$B$12),-1)</f>
        <v/>
      </c>
      <c r="W2585" s="16">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6" t="n">
        <v>68700</v>
      </c>
      <c r="U2586" s="16" t="n">
        <v>0</v>
      </c>
      <c r="V2586" s="16">
        <f>ROUNDUP((T2586+U2586+2*'Read Me'!$B$13)*(1+'Read Me'!$B$12),-1)</f>
        <v/>
      </c>
      <c r="W2586" s="16">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6" t="n">
        <v>182</v>
      </c>
      <c r="U2587" s="16" t="n">
        <v>80</v>
      </c>
      <c r="V2587" s="16">
        <f>ROUNDUP((T2587+U2587+2*'Read Me'!$B$13)*(1+'Read Me'!$B$12),-1)</f>
        <v/>
      </c>
      <c r="W2587" s="16">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6" t="n">
        <v>1486</v>
      </c>
      <c r="U2588" s="16" t="n">
        <v>80</v>
      </c>
      <c r="V2588" s="16">
        <f>ROUNDUP((T2588+U2588+2*'Read Me'!$B$13)*(1+'Read Me'!$B$12),-1)</f>
        <v/>
      </c>
      <c r="W2588" s="16">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6" t="n">
        <v>1536</v>
      </c>
      <c r="U2589" s="16" t="n">
        <v>80</v>
      </c>
      <c r="V2589" s="16">
        <f>ROUNDUP((T2589+U2589+2*'Read Me'!$B$13)*(1+'Read Me'!$B$12),-1)</f>
        <v/>
      </c>
      <c r="W2589" s="16">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6" t="n">
        <v>1720</v>
      </c>
      <c r="U2590" s="16" t="n">
        <v>80</v>
      </c>
      <c r="V2590" s="16">
        <f>ROUNDUP((T2590+U2590+2*'Read Me'!$B$13)*(1+'Read Me'!$B$12),-1)</f>
        <v/>
      </c>
      <c r="W2590" s="16">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6" t="n">
        <v>12</v>
      </c>
      <c r="U2591" s="16" t="n">
        <v>80</v>
      </c>
      <c r="V2591" s="16">
        <f>ROUNDUP((T2591+U2591+2*'Read Me'!$B$13)*(1+'Read Me'!$B$12),-1)</f>
        <v/>
      </c>
      <c r="W2591" s="16">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6" t="n">
        <v>10</v>
      </c>
      <c r="U2592" s="16" t="n">
        <v>80</v>
      </c>
      <c r="V2592" s="16">
        <f>ROUNDUP((T2592+U2592+2*'Read Me'!$B$13)*(1+'Read Me'!$B$12),-1)</f>
        <v/>
      </c>
      <c r="W2592" s="16">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274</v>
      </c>
      <c r="U2594" s="16" t="n">
        <v>40</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274</v>
      </c>
      <c r="U2596" s="16" t="n">
        <v>40</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274</v>
      </c>
      <c r="U2598" s="16" t="n">
        <v>52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274</v>
      </c>
      <c r="U2600" s="16" t="n">
        <v>52</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274</v>
      </c>
      <c r="U2602" s="16" t="n">
        <v>92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274</v>
      </c>
      <c r="U2604" s="16" t="n">
        <v>92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474</v>
      </c>
      <c r="U2606" s="16" t="n">
        <v>40</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474</v>
      </c>
      <c r="U2608" s="16" t="n">
        <v>40</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474</v>
      </c>
      <c r="U2610" s="16" t="n">
        <v>52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474</v>
      </c>
      <c r="U2612" s="16" t="n">
        <v>52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474</v>
      </c>
      <c r="U2614" s="16" t="n">
        <v>92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474</v>
      </c>
      <c r="U2616" s="16" t="n">
        <v>92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674</v>
      </c>
      <c r="U2618" s="16" t="n">
        <v>40</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674</v>
      </c>
      <c r="U2620" s="16" t="n">
        <v>40</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674</v>
      </c>
      <c r="U2622" s="16" t="n">
        <v>52</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674</v>
      </c>
      <c r="U2624" s="16" t="n">
        <v>52</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674</v>
      </c>
      <c r="U2626" s="16" t="n">
        <v>92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674</v>
      </c>
      <c r="U2628" s="16" t="n">
        <v>92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1294</v>
      </c>
      <c r="U2630" s="16" t="n">
        <v>40</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1294</v>
      </c>
      <c r="U2632" s="16" t="n">
        <v>40</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1294</v>
      </c>
      <c r="U2634" s="16" t="n">
        <v>52</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1294</v>
      </c>
      <c r="U2636" s="16" t="n">
        <v>52</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1340</v>
      </c>
      <c r="U2638" s="16" t="n">
        <v>46</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1340</v>
      </c>
      <c r="U2640" s="16" t="n">
        <v>46</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1434</v>
      </c>
      <c r="U2642" s="16" t="n">
        <v>40</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1434</v>
      </c>
      <c r="U2644" s="16" t="n">
        <v>40</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6" t="n">
        <v>52</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1434</v>
      </c>
      <c r="U2646" s="16" t="n">
        <v>52</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6" t="n">
        <v>52</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1434</v>
      </c>
      <c r="U2648" s="16" t="n">
        <v>52</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6" t="n">
        <v>52</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1434</v>
      </c>
      <c r="U2650" s="16" t="n">
        <v>92</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6" t="n">
        <v>52</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1434</v>
      </c>
      <c r="U2652" s="16" t="n">
        <v>92</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6" t="n">
        <v>52</v>
      </c>
      <c r="U2653" s="16" t="n">
        <v>10</v>
      </c>
      <c r="V2653" s="16">
        <f>ROUNDUP((T2653+U2653+2*'Read Me'!$B$13)*(1+'Read Me'!$B$12),-1)</f>
        <v/>
      </c>
      <c r="W2653" s="16">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6" t="n">
        <v>1584</v>
      </c>
      <c r="U2654" s="16" t="n">
        <v>40</v>
      </c>
      <c r="V2654" s="16">
        <f>ROUNDUP((T2654+U2654+2*'Read Me'!$B$13)*(1+'Read Me'!$B$12),-1)</f>
        <v/>
      </c>
      <c r="W2654" s="16">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6" t="n">
        <v>52</v>
      </c>
      <c r="U2655" s="16" t="n">
        <v>10</v>
      </c>
      <c r="V2655" s="16">
        <f>ROUNDUP((T2655+U2655+2*'Read Me'!$B$13)*(1+'Read Me'!$B$12),-1)</f>
        <v/>
      </c>
      <c r="W2655" s="16">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6" t="n">
        <v>1584</v>
      </c>
      <c r="U2656" s="16" t="n">
        <v>40</v>
      </c>
      <c r="V2656" s="16">
        <f>ROUNDUP((T2656+U2656+2*'Read Me'!$B$13)*(1+'Read Me'!$B$12),-1)</f>
        <v/>
      </c>
      <c r="W2656" s="16">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6" t="n">
        <v>52</v>
      </c>
      <c r="U2657" s="16" t="n">
        <v>10</v>
      </c>
      <c r="V2657" s="16">
        <f>ROUNDUP((T2657+U2657+2*'Read Me'!$B$13)*(1+'Read Me'!$B$12),-1)</f>
        <v/>
      </c>
      <c r="W2657" s="16">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6" t="n">
        <v>1584</v>
      </c>
      <c r="U2658" s="16" t="n">
        <v>52</v>
      </c>
      <c r="V2658" s="16">
        <f>ROUNDUP((T2658+U2658+2*'Read Me'!$B$13)*(1+'Read Me'!$B$12),-1)</f>
        <v/>
      </c>
      <c r="W2658" s="16">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6" t="n">
        <v>52</v>
      </c>
      <c r="U2659" s="16" t="n">
        <v>10</v>
      </c>
      <c r="V2659" s="16">
        <f>ROUNDUP((T2659+U2659+2*'Read Me'!$B$13)*(1+'Read Me'!$B$12),-1)</f>
        <v/>
      </c>
      <c r="W2659" s="16">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6" t="n">
        <v>1584</v>
      </c>
      <c r="U2660" s="16" t="n">
        <v>52</v>
      </c>
      <c r="V2660" s="16">
        <f>ROUNDUP((T2660+U2660+2*'Read Me'!$B$13)*(1+'Read Me'!$B$12),-1)</f>
        <v/>
      </c>
      <c r="W2660" s="16">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6" t="n">
        <v>52</v>
      </c>
      <c r="U2661" s="16" t="n">
        <v>10</v>
      </c>
      <c r="V2661" s="16">
        <f>ROUNDUP((T2661+U2661+2*'Read Me'!$B$13)*(1+'Read Me'!$B$12),-1)</f>
        <v/>
      </c>
      <c r="W2661" s="16">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6" t="n">
        <v>1584</v>
      </c>
      <c r="U2662" s="16" t="n">
        <v>92</v>
      </c>
      <c r="V2662" s="16">
        <f>ROUNDUP((T2662+U2662+2*'Read Me'!$B$13)*(1+'Read Me'!$B$12),-1)</f>
        <v/>
      </c>
      <c r="W2662" s="16">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6" t="n">
        <v>52</v>
      </c>
      <c r="U2663" s="16" t="n">
        <v>10</v>
      </c>
      <c r="V2663" s="16">
        <f>ROUNDUP((T2663+U2663+2*'Read Me'!$B$13)*(1+'Read Me'!$B$12),-1)</f>
        <v/>
      </c>
      <c r="W2663" s="16">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6" t="n">
        <v>1584</v>
      </c>
      <c r="U2664" s="16" t="n">
        <v>92</v>
      </c>
      <c r="V2664" s="16">
        <f>ROUNDUP((T2664+U2664+2*'Read Me'!$B$13)*(1+'Read Me'!$B$12),-1)</f>
        <v/>
      </c>
      <c r="W2664" s="16">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6" t="n">
        <v>77</v>
      </c>
      <c r="U2665" s="16" t="n">
        <v>10</v>
      </c>
      <c r="V2665" s="16">
        <f>ROUNDUP((T2665+U2665+2*'Read Me'!$B$13)*(1+'Read Me'!$B$12),-1)</f>
        <v/>
      </c>
      <c r="W2665" s="16">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6" t="n">
        <v>91</v>
      </c>
      <c r="U2666" s="16" t="n">
        <v>285</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6" t="n">
        <v>55</v>
      </c>
      <c r="U2667" s="16" t="n">
        <v>10</v>
      </c>
      <c r="V2667" s="16">
        <f>ROUNDUP((T2667+U2667+2*'Read Me'!$B$13)*(1+'Read Me'!$B$12),-1)</f>
        <v/>
      </c>
      <c r="W2667" s="16">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6" t="n">
        <v>91</v>
      </c>
      <c r="U2668" s="16" t="n">
        <v>226</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6" t="n">
        <v>77</v>
      </c>
      <c r="U2669" s="16" t="n">
        <v>10</v>
      </c>
      <c r="V2669" s="16">
        <f>ROUNDUP((T2669+U2669+2*'Read Me'!$B$13)*(1+'Read Me'!$B$12),-1)</f>
        <v/>
      </c>
      <c r="W2669" s="16">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6" t="n">
        <v>526</v>
      </c>
      <c r="U2670" s="16" t="n">
        <v>86</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6" t="n">
        <v>55</v>
      </c>
      <c r="U2671" s="16" t="n">
        <v>10</v>
      </c>
      <c r="V2671" s="16">
        <f>ROUNDUP((T2671+U2671+2*'Read Me'!$B$13)*(1+'Read Me'!$B$12),-1)</f>
        <v/>
      </c>
      <c r="W2671" s="16">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6" t="n">
        <v>474</v>
      </c>
      <c r="U2672" s="16" t="n">
        <v>78</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6" t="n">
        <v>900</v>
      </c>
      <c r="U2673" s="16" t="n">
        <v>30</v>
      </c>
      <c r="V2673" s="16">
        <f>ROUNDUP((T2673+U2673+2*'Read Me'!$B$13)*(1+'Read Me'!$B$12),-1)</f>
        <v/>
      </c>
      <c r="W2673" s="16">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6" t="n">
        <v>900</v>
      </c>
      <c r="U2674" s="16" t="n">
        <v>30</v>
      </c>
      <c r="V2674" s="16">
        <f>ROUNDUP((T2674+U2674+2*'Read Me'!$B$13)*(1+'Read Me'!$B$12),-1)</f>
        <v/>
      </c>
      <c r="W2674" s="16">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6" t="n">
        <v>900</v>
      </c>
      <c r="U2675" s="16" t="n">
        <v>30</v>
      </c>
      <c r="V2675" s="16">
        <f>ROUNDUP((T2675+U2675+2*'Read Me'!$B$13)*(1+'Read Me'!$B$12),-1)</f>
        <v/>
      </c>
      <c r="W2675" s="16">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6" t="n">
        <v>900</v>
      </c>
      <c r="U2676" s="16" t="n">
        <v>30</v>
      </c>
      <c r="V2676" s="16">
        <f>ROUNDUP((T2676+U2676+2*'Read Me'!$B$13)*(1+'Read Me'!$B$12),-1)</f>
        <v/>
      </c>
      <c r="W2676" s="16">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6" t="n">
        <v>0</v>
      </c>
      <c r="U2677" s="16" t="n">
        <v>30</v>
      </c>
      <c r="V2677" s="16">
        <f>ROUNDUP((T2677+U2677+2*'Read Me'!$B$13)*(1+'Read Me'!$B$12),-1)</f>
        <v/>
      </c>
      <c r="W2677" s="16">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6" t="n">
        <v>115</v>
      </c>
      <c r="U2678" s="16" t="n">
        <v>0</v>
      </c>
      <c r="V2678" s="16">
        <f>ROUNDUP((T2678+U2678+2*'Read Me'!$B$13)*(1+'Read Me'!$B$12),-1)</f>
        <v/>
      </c>
      <c r="W2678" s="16">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6" t="n">
        <v>115</v>
      </c>
      <c r="U2679" s="16" t="n">
        <v>0</v>
      </c>
      <c r="V2679" s="16">
        <f>ROUNDUP((T2679+U2679+2*'Read Me'!$B$13)*(1+'Read Me'!$B$12),-1)</f>
        <v/>
      </c>
      <c r="W2679" s="16">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6" t="n">
        <v>263</v>
      </c>
      <c r="U2680" s="16" t="n">
        <v>0</v>
      </c>
      <c r="V2680" s="16">
        <f>ROUNDUP((T2680+U2680+2*'Read Me'!$B$13)*(1+'Read Me'!$B$12),-1)</f>
        <v/>
      </c>
      <c r="W2680" s="16">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6" t="n">
        <v>304</v>
      </c>
      <c r="U2681" s="16" t="n">
        <v>0</v>
      </c>
      <c r="V2681" s="16">
        <f>ROUNDUP((T2681+U2681+2*'Read Me'!$B$13)*(1+'Read Me'!$B$12),-1)</f>
        <v/>
      </c>
      <c r="W2681" s="16">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6" t="n">
        <v>324</v>
      </c>
      <c r="U2682" s="16" t="n">
        <v>0</v>
      </c>
      <c r="V2682" s="16">
        <f>ROUNDUP((T2682+U2682+2*'Read Me'!$B$13)*(1+'Read Me'!$B$12),-1)</f>
        <v/>
      </c>
      <c r="W2682" s="16">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6" t="n">
        <v>236</v>
      </c>
      <c r="U2683" s="16" t="n">
        <v>0</v>
      </c>
      <c r="V2683" s="16">
        <f>ROUNDUP((T2683+U2683+2*'Read Me'!$B$13)*(1+'Read Me'!$B$12),-1)</f>
        <v/>
      </c>
      <c r="W2683" s="16">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6" t="n">
        <v>1544</v>
      </c>
      <c r="U2684" s="16" t="n">
        <v>0</v>
      </c>
      <c r="V2684" s="16">
        <f>ROUNDUP((T2684+U2684+2*'Read Me'!$B$13)*(1+'Read Me'!$B$12),-1)</f>
        <v/>
      </c>
      <c r="W2684" s="16">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6" t="n">
        <v>65</v>
      </c>
      <c r="U2685" s="16" t="n">
        <v>132</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6" t="n">
        <v>65</v>
      </c>
      <c r="U2686" s="16" t="n">
        <v>59</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6" t="n">
        <v>65</v>
      </c>
      <c r="U2687" s="16" t="n">
        <v>42</v>
      </c>
      <c r="V2687" s="16">
        <f>ROUNDUP((T2687+U2687+2*'Read Me'!$B$13)*(1+'Read Me'!$B$12),-1)</f>
        <v/>
      </c>
      <c r="W2687" s="16">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6" t="n">
        <v>2412</v>
      </c>
      <c r="U2688" s="16" t="n">
        <v>157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6" t="n">
        <v>2412</v>
      </c>
      <c r="U2689" s="16" t="n">
        <v>157</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6" t="n">
        <v>2412</v>
      </c>
      <c r="U2690" s="16" t="n">
        <v>157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6" t="n">
        <v>2412</v>
      </c>
      <c r="U2691" s="16" t="n">
        <v>157</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6" t="n">
        <v>2412</v>
      </c>
      <c r="U2692" s="16" t="n">
        <v>157</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6" t="n">
        <v>2412</v>
      </c>
      <c r="U2693" s="16" t="n">
        <v>157</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6" t="n">
        <v>0</v>
      </c>
      <c r="U2694" s="16" t="n">
        <v>84</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6" t="n">
        <v>60</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6" t="n">
        <v>193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6" t="n">
        <v>60</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6" t="n">
        <v>83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6" t="n">
        <v>46</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6" t="n">
        <v>193</v>
      </c>
      <c r="U2700" s="16" t="n">
        <v>129</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6" t="n">
        <v>0</v>
      </c>
      <c r="U2701" s="16" t="n">
        <v>32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15</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6" t="n">
        <v>134</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6" t="n">
        <v>199</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6" t="n">
        <v>134</v>
      </c>
      <c r="U2705" s="16" t="n">
        <v>10</v>
      </c>
      <c r="V2705" s="16">
        <f>ROUNDUP((T2705+U2705+2*'Read Me'!$B$13)*(1+'Read Me'!$B$12),-1)</f>
        <v/>
      </c>
      <c r="W2705" s="16">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6" t="n">
        <v>199</v>
      </c>
      <c r="U2706" s="16" t="n">
        <v>32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6" t="n">
        <v>137</v>
      </c>
      <c r="U2707" s="16" t="n">
        <v>10</v>
      </c>
      <c r="V2707" s="16">
        <f>ROUNDUP((T2707+U2707+2*'Read Me'!$B$13)*(1+'Read Me'!$B$12),-1)</f>
        <v/>
      </c>
      <c r="W2707" s="16">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6" t="n">
        <v>154</v>
      </c>
      <c r="U2708" s="16" t="n">
        <v>67</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6" t="n">
        <v>137</v>
      </c>
      <c r="U2709" s="16" t="n">
        <v>10</v>
      </c>
      <c r="V2709" s="16">
        <f>ROUNDUP((T2709+U2709+2*'Read Me'!$B$13)*(1+'Read Me'!$B$12),-1)</f>
        <v/>
      </c>
      <c r="W2709" s="16">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6" t="n">
        <v>154</v>
      </c>
      <c r="U2710" s="16" t="n">
        <v>67</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6" t="n">
        <v>65</v>
      </c>
      <c r="U2711" s="16" t="n">
        <v>132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6" t="n">
        <v>65</v>
      </c>
      <c r="U2712" s="16" t="n">
        <v>59</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6" t="n">
        <v>65</v>
      </c>
      <c r="U2713" s="16" t="n">
        <v>59</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6" t="n">
        <v>65</v>
      </c>
      <c r="U2714" s="16" t="n">
        <v>42</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6" t="n">
        <v>133</v>
      </c>
      <c r="U2715" s="16" t="n">
        <v>10</v>
      </c>
      <c r="V2715" s="16">
        <f>ROUNDUP((T2715+U2715+2*'Read Me'!$B$13)*(1+'Read Me'!$B$12),-1)</f>
        <v/>
      </c>
      <c r="W2715" s="16">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6" t="n">
        <v>553</v>
      </c>
      <c r="U2716" s="16" t="n">
        <v>32</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6" t="n">
        <v>133</v>
      </c>
      <c r="U2717" s="16" t="n">
        <v>10</v>
      </c>
      <c r="V2717" s="16">
        <f>ROUNDUP((T2717+U2717+2*'Read Me'!$B$13)*(1+'Read Me'!$B$12),-1)</f>
        <v/>
      </c>
      <c r="W2717" s="16">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6" t="n">
        <v>553</v>
      </c>
      <c r="U2718" s="16" t="n">
        <v>32</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6" t="n">
        <v>133</v>
      </c>
      <c r="U2719" s="16" t="n">
        <v>10</v>
      </c>
      <c r="V2719" s="16">
        <f>ROUNDUP((T2719+U2719+2*'Read Me'!$B$13)*(1+'Read Me'!$B$12),-1)</f>
        <v/>
      </c>
      <c r="W2719" s="16">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6" t="n">
        <v>553</v>
      </c>
      <c r="U2720" s="16" t="n">
        <v>32</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6" t="n">
        <v>133</v>
      </c>
      <c r="U2721" s="16" t="n">
        <v>10</v>
      </c>
      <c r="V2721" s="16">
        <f>ROUNDUP((T2721+U2721+2*'Read Me'!$B$13)*(1+'Read Me'!$B$12),-1)</f>
        <v/>
      </c>
      <c r="W2721" s="16">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6" t="n">
        <v>553</v>
      </c>
      <c r="U2722" s="16" t="n">
        <v>32</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6" t="n">
        <v>133</v>
      </c>
      <c r="U2723" s="16" t="n">
        <v>10</v>
      </c>
      <c r="V2723" s="16">
        <f>ROUNDUP((T2723+U2723+2*'Read Me'!$B$13)*(1+'Read Me'!$B$12),-1)</f>
        <v/>
      </c>
      <c r="W2723" s="16">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6" t="n">
        <v>553</v>
      </c>
      <c r="U2724" s="16" t="n">
        <v>32</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6" t="n">
        <v>0</v>
      </c>
      <c r="U2725" s="16" t="n">
        <v>84</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6" t="n">
        <v>61</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143</v>
      </c>
      <c r="U2727" s="16" t="n">
        <v>32</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6" t="n">
        <v>61</v>
      </c>
      <c r="U2728" s="16" t="n">
        <v>10</v>
      </c>
      <c r="V2728" s="16">
        <f>ROUNDUP((T2728+U2728+2*'Read Me'!$B$13)*(1+'Read Me'!$B$12),-1)</f>
        <v/>
      </c>
      <c r="W2728" s="16">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6" t="n">
        <v>143</v>
      </c>
      <c r="U2729" s="16" t="n">
        <v>32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6" t="n">
        <v>64</v>
      </c>
      <c r="U2730" s="16" t="n">
        <v>10</v>
      </c>
      <c r="V2730" s="16">
        <f>ROUNDUP((T2730+U2730+2*'Read Me'!$B$13)*(1+'Read Me'!$B$12),-1)</f>
        <v/>
      </c>
      <c r="W2730" s="16">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6" t="n">
        <v>83</v>
      </c>
      <c r="U2731" s="16" t="n">
        <v>72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6" t="n">
        <v>64</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6" t="n">
        <v>83</v>
      </c>
      <c r="U2733" s="16" t="n">
        <v>72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6" t="n">
        <v>60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6" t="n">
        <v>193</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6" t="n">
        <v>60</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6" t="n">
        <v>193</v>
      </c>
      <c r="U2737" s="16" t="n">
        <v>32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6" t="n">
        <v>56</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6" t="n">
        <v>4</v>
      </c>
      <c r="U2739" s="16" t="n">
        <v>114</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6" t="n">
        <v>56</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6" t="n">
        <v>4</v>
      </c>
      <c r="U2741" s="16" t="n">
        <v>114</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6" t="n">
        <v>60</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6" t="n">
        <v>83</v>
      </c>
      <c r="U2743" s="16" t="n">
        <v>32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6" t="n">
        <v>60</v>
      </c>
      <c r="U2744" s="16" t="n">
        <v>10</v>
      </c>
      <c r="V2744" s="16">
        <f>ROUNDUP((T2744+U2744+2*'Read Me'!$B$13)*(1+'Read Me'!$B$12),-1)</f>
        <v/>
      </c>
      <c r="W2744" s="16">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6" t="n">
        <v>83</v>
      </c>
      <c r="U2745" s="16" t="n">
        <v>32</v>
      </c>
      <c r="V2745" s="16">
        <f>ROUNDUP((T2745+U2745+2*'Read Me'!$B$13)*(1+'Read Me'!$B$12),-1)</f>
        <v/>
      </c>
      <c r="W2745" s="16">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6" t="n">
        <v>46</v>
      </c>
      <c r="U2746" s="16" t="n">
        <v>10</v>
      </c>
      <c r="V2746" s="16">
        <f>ROUNDUP((T2746+U2746+2*'Read Me'!$B$13)*(1+'Read Me'!$B$12),-1)</f>
        <v/>
      </c>
      <c r="W2746" s="16">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6" t="n">
        <v>193</v>
      </c>
      <c r="U2747" s="16" t="n">
        <v>129</v>
      </c>
      <c r="V2747" s="16">
        <f>ROUNDUP((T2747+U2747+2*'Read Me'!$B$13)*(1+'Read Me'!$B$12),-1)</f>
        <v/>
      </c>
      <c r="W2747" s="16">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6" t="n">
        <v>0</v>
      </c>
      <c r="U2748" s="16" t="n">
        <v>32</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6" t="n">
        <v>1902</v>
      </c>
      <c r="U2749" s="16" t="n">
        <v>157</v>
      </c>
      <c r="V2749" s="16">
        <f>ROUNDUP((T2749+U2749+2*'Read Me'!$B$13)*(1+'Read Me'!$B$12),-1)</f>
        <v/>
      </c>
      <c r="W2749" s="16">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6" t="n">
        <v>1768</v>
      </c>
      <c r="U2750" s="16" t="n">
        <v>257</v>
      </c>
      <c r="V2750" s="16">
        <f>ROUNDUP((T2750+U2750+2*'Read Me'!$B$13)*(1+'Read Me'!$B$12),-1)</f>
        <v/>
      </c>
      <c r="W2750" s="16">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6" t="n">
        <v>1768</v>
      </c>
      <c r="U2751" s="16" t="n">
        <v>184</v>
      </c>
      <c r="V2751" s="16">
        <f>ROUNDUP((T2751+U2751+2*'Read Me'!$B$13)*(1+'Read Me'!$B$12),-1)</f>
        <v/>
      </c>
      <c r="W2751" s="16">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6" t="n">
        <v>1768</v>
      </c>
      <c r="U2752" s="16" t="n">
        <v>167</v>
      </c>
      <c r="V2752" s="16">
        <f>ROUNDUP((T2752+U2752+2*'Read Me'!$B$13)*(1+'Read Me'!$B$12),-1)</f>
        <v/>
      </c>
      <c r="W2752" s="16">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6" t="n">
        <v>2412</v>
      </c>
      <c r="U2753" s="16" t="n">
        <v>157</v>
      </c>
      <c r="V2753" s="16">
        <f>ROUNDUP((T2753+U2753+2*'Read Me'!$B$13)*(1+'Read Me'!$B$12),-1)</f>
        <v/>
      </c>
      <c r="W2753" s="16">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6" t="n">
        <v>2412</v>
      </c>
      <c r="U2754" s="16" t="n">
        <v>157</v>
      </c>
      <c r="V2754" s="16">
        <f>ROUNDUP((T2754+U2754+2*'Read Me'!$B$13)*(1+'Read Me'!$B$12),-1)</f>
        <v/>
      </c>
      <c r="W2754" s="16">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6" t="n">
        <v>2412</v>
      </c>
      <c r="U2755" s="16" t="n">
        <v>157</v>
      </c>
      <c r="V2755" s="16">
        <f>ROUNDUP((T2755+U2755+2*'Read Me'!$B$13)*(1+'Read Me'!$B$12),-1)</f>
        <v/>
      </c>
      <c r="W2755" s="16">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6" t="n">
        <v>2412</v>
      </c>
      <c r="U2756" s="16" t="n">
        <v>157</v>
      </c>
      <c r="V2756" s="16">
        <f>ROUNDUP((T2756+U2756+2*'Read Me'!$B$13)*(1+'Read Me'!$B$12),-1)</f>
        <v/>
      </c>
      <c r="W2756" s="16">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6" t="n">
        <v>2412</v>
      </c>
      <c r="U2757" s="16" t="n">
        <v>157</v>
      </c>
      <c r="V2757" s="16">
        <f>ROUNDUP((T2757+U2757+2*'Read Me'!$B$13)*(1+'Read Me'!$B$12),-1)</f>
        <v/>
      </c>
      <c r="W2757" s="16">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6" t="n">
        <v>2412</v>
      </c>
      <c r="U2758" s="16" t="n">
        <v>157</v>
      </c>
      <c r="V2758" s="16">
        <f>ROUNDUP((T2758+U2758+2*'Read Me'!$B$13)*(1+'Read Me'!$B$12),-1)</f>
        <v/>
      </c>
      <c r="W2758" s="16">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6" t="n">
        <v>1833</v>
      </c>
      <c r="U2759" s="16" t="n">
        <v>209</v>
      </c>
      <c r="V2759" s="16">
        <f>ROUNDUP((T2759+U2759+2*'Read Me'!$B$13)*(1+'Read Me'!$B$12),-1)</f>
        <v/>
      </c>
      <c r="W2759" s="16">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6" t="n">
        <v>1500</v>
      </c>
      <c r="U2760" s="16" t="n">
        <v>0</v>
      </c>
      <c r="V2760" s="16">
        <f>ROUNDUP((T2760+U2760+2*'Read Me'!$B$13)*(1+'Read Me'!$B$12),-1)</f>
        <v/>
      </c>
      <c r="W2760" s="16">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6" t="n">
        <v>2002</v>
      </c>
      <c r="U2761" s="16" t="n">
        <v>157</v>
      </c>
      <c r="V2761" s="16">
        <f>ROUNDUP((T2761+U2761+2*'Read Me'!$B$13)*(1+'Read Me'!$B$12),-1)</f>
        <v/>
      </c>
      <c r="W2761" s="16">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6" t="n">
        <v>1942</v>
      </c>
      <c r="U2762" s="16" t="n">
        <v>197</v>
      </c>
      <c r="V2762" s="16">
        <f>ROUNDUP((T2762+U2762+2*'Read Me'!$B$13)*(1+'Read Me'!$B$12),-1)</f>
        <v/>
      </c>
      <c r="W2762" s="16">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6" t="n">
        <v>2052</v>
      </c>
      <c r="U2763" s="16" t="n">
        <v>157</v>
      </c>
      <c r="V2763" s="16">
        <f>ROUNDUP((T2763+U2763+2*'Read Me'!$B$13)*(1+'Read Me'!$B$12),-1)</f>
        <v/>
      </c>
      <c r="W2763" s="16">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6" t="n">
        <v>1942</v>
      </c>
      <c r="U2764" s="16" t="n">
        <v>157</v>
      </c>
      <c r="V2764" s="16">
        <f>ROUNDUP((T2764+U2764+2*'Read Me'!$B$13)*(1+'Read Me'!$B$12),-1)</f>
        <v/>
      </c>
      <c r="W2764" s="16">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6" t="n">
        <v>2052</v>
      </c>
      <c r="U2765" s="16" t="n">
        <v>254</v>
      </c>
      <c r="V2765" s="16">
        <f>ROUNDUP((T2765+U2765+2*'Read Me'!$B$13)*(1+'Read Me'!$B$12),-1)</f>
        <v/>
      </c>
      <c r="W2765" s="16">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6" t="n">
        <v>1833</v>
      </c>
      <c r="U2766" s="16" t="n">
        <v>157</v>
      </c>
      <c r="V2766" s="16">
        <f>ROUNDUP((T2766+U2766+2*'Read Me'!$B$13)*(1+'Read Me'!$B$12),-1)</f>
        <v/>
      </c>
      <c r="W2766" s="16">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6" t="n">
        <v>1868</v>
      </c>
      <c r="U2767" s="16" t="n">
        <v>157</v>
      </c>
      <c r="V2767" s="16">
        <f>ROUNDUP((T2767+U2767+2*'Read Me'!$B$13)*(1+'Read Me'!$B$12),-1)</f>
        <v/>
      </c>
      <c r="W2767" s="16">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6" t="n">
        <v>180</v>
      </c>
      <c r="U2772" s="16" t="n">
        <v>20</v>
      </c>
      <c r="V2772" s="16">
        <f>ROUNDUP((T2772+U2772+2*'Read Me'!$B$13)*(1+'Read Me'!$B$12),-1)</f>
        <v/>
      </c>
      <c r="W2772" s="16">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6" t="n">
        <v>180</v>
      </c>
      <c r="U2773" s="16" t="n">
        <v>20</v>
      </c>
      <c r="V2773" s="16">
        <f>ROUNDUP((T2773+U2773+2*'Read Me'!$B$13)*(1+'Read Me'!$B$12),-1)</f>
        <v/>
      </c>
      <c r="W2773" s="16">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6" t="n">
        <v>180</v>
      </c>
      <c r="U2774" s="16" t="n">
        <v>20</v>
      </c>
      <c r="V2774" s="16">
        <f>ROUNDUP((T2774+U2774+2*'Read Me'!$B$13)*(1+'Read Me'!$B$12),-1)</f>
        <v/>
      </c>
      <c r="W2774" s="16">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6" t="n">
        <v>180</v>
      </c>
      <c r="U2775" s="16" t="n">
        <v>20</v>
      </c>
      <c r="V2775" s="16">
        <f>ROUNDUP((T2775+U2775+2*'Read Me'!$B$13)*(1+'Read Me'!$B$12),-1)</f>
        <v/>
      </c>
      <c r="W2775" s="16">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6" t="n">
        <v>180</v>
      </c>
      <c r="U2776" s="16" t="n">
        <v>20</v>
      </c>
      <c r="V2776" s="16">
        <f>ROUNDUP((T2776+U2776+2*'Read Me'!$B$13)*(1+'Read Me'!$B$12),-1)</f>
        <v/>
      </c>
      <c r="W2776" s="16">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6" t="n">
        <v>180</v>
      </c>
      <c r="U2777" s="16" t="n">
        <v>20</v>
      </c>
      <c r="V2777" s="16">
        <f>ROUNDUP((T2777+U2777+2*'Read Me'!$B$13)*(1+'Read Me'!$B$12),-1)</f>
        <v/>
      </c>
      <c r="W2777" s="16">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6" t="n">
        <v>180</v>
      </c>
      <c r="U2778" s="16" t="n">
        <v>20</v>
      </c>
      <c r="V2778" s="16">
        <f>ROUNDUP((T2778+U2778+2*'Read Me'!$B$13)*(1+'Read Me'!$B$12),-1)</f>
        <v/>
      </c>
      <c r="W2778" s="16">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6" t="n">
        <v>180</v>
      </c>
      <c r="U2779" s="16" t="n">
        <v>20</v>
      </c>
      <c r="V2779" s="16">
        <f>ROUNDUP((T2779+U2779+2*'Read Me'!$B$13)*(1+'Read Me'!$B$12),-1)</f>
        <v/>
      </c>
      <c r="W2779" s="16">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6" t="n">
        <v>180</v>
      </c>
      <c r="U2780" s="16" t="n">
        <v>20</v>
      </c>
      <c r="V2780" s="16">
        <f>ROUNDUP((T2780+U2780+2*'Read Me'!$B$13)*(1+'Read Me'!$B$12),-1)</f>
        <v/>
      </c>
      <c r="W2780" s="16">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6" t="n">
        <v>180</v>
      </c>
      <c r="U2781" s="16" t="n">
        <v>20</v>
      </c>
      <c r="V2781" s="16">
        <f>ROUNDUP((T2781+U2781+2*'Read Me'!$B$13)*(1+'Read Me'!$B$12),-1)</f>
        <v/>
      </c>
      <c r="W2781" s="16">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6" t="n">
        <v>180</v>
      </c>
      <c r="U2782" s="16" t="n">
        <v>20</v>
      </c>
      <c r="V2782" s="16">
        <f>ROUNDUP((T2782+U2782+2*'Read Me'!$B$13)*(1+'Read Me'!$B$12),-1)</f>
        <v/>
      </c>
      <c r="W2782" s="16">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6" t="n">
        <v>180</v>
      </c>
      <c r="U2783" s="16" t="n">
        <v>20</v>
      </c>
      <c r="V2783" s="16">
        <f>ROUNDUP((T2783+U2783+2*'Read Me'!$B$13)*(1+'Read Me'!$B$12),-1)</f>
        <v/>
      </c>
      <c r="W2783" s="16">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6" t="n">
        <v>180</v>
      </c>
      <c r="U2784" s="16" t="n">
        <v>20</v>
      </c>
      <c r="V2784" s="16">
        <f>ROUNDUP((T2784+U2784+2*'Read Me'!$B$13)*(1+'Read Me'!$B$12),-1)</f>
        <v/>
      </c>
      <c r="W2784" s="16">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6" t="n">
        <v>180</v>
      </c>
      <c r="U2785" s="16" t="n">
        <v>20</v>
      </c>
      <c r="V2785" s="16">
        <f>ROUNDUP((T2785+U2785+2*'Read Me'!$B$13)*(1+'Read Me'!$B$12),-1)</f>
        <v/>
      </c>
      <c r="W2785" s="16">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6" t="n">
        <v>180</v>
      </c>
      <c r="U2786" s="16" t="n">
        <v>20</v>
      </c>
      <c r="V2786" s="16">
        <f>ROUNDUP((T2786+U2786+2*'Read Me'!$B$13)*(1+'Read Me'!$B$12),-1)</f>
        <v/>
      </c>
      <c r="W2786" s="16">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6" t="n">
        <v>180</v>
      </c>
      <c r="U2787" s="16" t="n">
        <v>20</v>
      </c>
      <c r="V2787" s="16">
        <f>ROUNDUP((T2787+U2787+2*'Read Me'!$B$13)*(1+'Read Me'!$B$12),-1)</f>
        <v/>
      </c>
      <c r="W2787" s="16">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6" t="n">
        <v>180</v>
      </c>
      <c r="U2788" s="16" t="n">
        <v>20</v>
      </c>
      <c r="V2788" s="16">
        <f>ROUNDUP((T2788+U2788+2*'Read Me'!$B$13)*(1+'Read Me'!$B$12),-1)</f>
        <v/>
      </c>
      <c r="W2788" s="16">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6" t="n">
        <v>180</v>
      </c>
      <c r="U2789" s="16" t="n">
        <v>20</v>
      </c>
      <c r="V2789" s="16">
        <f>ROUNDUP((T2789+U2789+2*'Read Me'!$B$13)*(1+'Read Me'!$B$12),-1)</f>
        <v/>
      </c>
      <c r="W2789" s="16">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6" t="n">
        <v>180</v>
      </c>
      <c r="U2790" s="16" t="n">
        <v>20</v>
      </c>
      <c r="V2790" s="16">
        <f>ROUNDUP((T2790+U2790+2*'Read Me'!$B$13)*(1+'Read Me'!$B$12),-1)</f>
        <v/>
      </c>
      <c r="W2790" s="16">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6" t="n">
        <v>180</v>
      </c>
      <c r="U2791" s="16" t="n">
        <v>20</v>
      </c>
      <c r="V2791" s="16">
        <f>ROUNDUP((T2791+U2791+2*'Read Me'!$B$13)*(1+'Read Me'!$B$12),-1)</f>
        <v/>
      </c>
      <c r="W2791" s="16">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6" t="n">
        <v>2380</v>
      </c>
      <c r="U2792" s="16" t="n">
        <v>124</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6" t="n">
        <v>2380</v>
      </c>
      <c r="U2793" s="16" t="n">
        <v>124</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6" t="n">
        <v>2380</v>
      </c>
      <c r="U2794" s="16" t="n">
        <v>124</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6" t="n">
        <v>1920</v>
      </c>
      <c r="U2795" s="16" t="n">
        <v>0</v>
      </c>
      <c r="V2795" s="16">
        <f>ROUNDUP((T2795+U2795+2*'Read Me'!$B$13)*(1+'Read Me'!$B$12),-1)</f>
        <v/>
      </c>
      <c r="W2795" s="16">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6" t="n">
        <v>21760</v>
      </c>
      <c r="U2796" s="16" t="n">
        <v>0</v>
      </c>
      <c r="V2796" s="16">
        <f>ROUNDUP((T2796+U2796+2*'Read Me'!$B$13)*(1+'Read Me'!$B$12),-1)</f>
        <v/>
      </c>
      <c r="W2796" s="16">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2010</v>
      </c>
      <c r="U2797" s="16" t="n">
        <v>145</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2010</v>
      </c>
      <c r="U2798" s="16" t="n">
        <v>145</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2089</v>
      </c>
      <c r="U2800" s="16" t="n">
        <v>165</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2089</v>
      </c>
      <c r="U2801" s="16" t="n">
        <v>165</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2089</v>
      </c>
      <c r="U2802" s="16" t="n">
        <v>165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2089</v>
      </c>
      <c r="U2803" s="16" t="n">
        <v>165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6" t="n">
        <v>128</v>
      </c>
      <c r="U2804" s="16" t="n">
        <v>10</v>
      </c>
      <c r="V2804" s="16">
        <f>ROUNDUP((T2804+U2804+2*'Read Me'!$B$13)*(1+'Read Me'!$B$12),-1)</f>
        <v/>
      </c>
      <c r="W2804" s="16">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6" t="n">
        <v>370</v>
      </c>
      <c r="U2805" s="16" t="n">
        <v>52</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2089</v>
      </c>
      <c r="U2806" s="16" t="n">
        <v>264</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2089</v>
      </c>
      <c r="U2807" s="16" t="n">
        <v>264</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115</v>
      </c>
      <c r="U2808" s="16" t="n">
        <v>96</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2004</v>
      </c>
      <c r="U2809" s="16" t="n">
        <v>209</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2004</v>
      </c>
      <c r="U2810" s="16" t="n">
        <v>209</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292</v>
      </c>
      <c r="U2811" s="16" t="n">
        <v>108</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2002</v>
      </c>
      <c r="U2812" s="16" t="n">
        <v>347</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2002</v>
      </c>
      <c r="U2813" s="16" t="n">
        <v>347</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1859</v>
      </c>
      <c r="U2814" s="16" t="n">
        <v>212</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1859</v>
      </c>
      <c r="U2815" s="16" t="n">
        <v>212</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1859</v>
      </c>
      <c r="U2816" s="16" t="n">
        <v>212</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1859</v>
      </c>
      <c r="U2817" s="16" t="n">
        <v>212</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1859</v>
      </c>
      <c r="U2818" s="16" t="n">
        <v>212</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1859</v>
      </c>
      <c r="U2819" s="16" t="n">
        <v>212</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6" t="n">
        <v>1859</v>
      </c>
      <c r="U2820" s="16" t="n">
        <v>212</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6" t="n">
        <v>1859</v>
      </c>
      <c r="U2821" s="16" t="n">
        <v>212</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6" t="n">
        <v>1629</v>
      </c>
      <c r="U2822" s="16" t="n">
        <v>145</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6" t="n">
        <v>1629</v>
      </c>
      <c r="U2823" s="16" t="n">
        <v>145</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6" t="n">
        <v>1629</v>
      </c>
      <c r="U2824" s="16" t="n">
        <v>145</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6" t="n">
        <v>1629</v>
      </c>
      <c r="U2825" s="16" t="n">
        <v>145</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6" t="n">
        <v>1629</v>
      </c>
      <c r="U2826" s="16" t="n">
        <v>145</v>
      </c>
      <c r="V2826" s="16">
        <f>ROUNDUP((T2826+U2826+2*'Read Me'!$B$13)*(1+'Read Me'!$B$12),-1)</f>
        <v/>
      </c>
      <c r="W2826" s="16">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6" t="n">
        <v>1629</v>
      </c>
      <c r="U2827" s="16" t="n">
        <v>145</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6" t="n">
        <v>1629</v>
      </c>
      <c r="U2828" s="16" t="n">
        <v>145</v>
      </c>
      <c r="V2828" s="16">
        <f>ROUNDUP((T2828+U2828+2*'Read Me'!$B$13)*(1+'Read Me'!$B$12),-1)</f>
        <v/>
      </c>
      <c r="W2828" s="16">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6" t="n">
        <v>1629</v>
      </c>
      <c r="U2829" s="16" t="n">
        <v>145</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6" t="n">
        <v>1629</v>
      </c>
      <c r="U2830" s="16" t="n">
        <v>145</v>
      </c>
      <c r="V2830" s="16">
        <f>ROUNDUP((T2830+U2830+2*'Read Me'!$B$13)*(1+'Read Me'!$B$12),-1)</f>
        <v/>
      </c>
      <c r="W2830" s="16">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6" t="n">
        <v>1629</v>
      </c>
      <c r="U2831" s="16" t="n">
        <v>145</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6" t="n">
        <v>1629</v>
      </c>
      <c r="U2832" s="16" t="n">
        <v>145</v>
      </c>
      <c r="V2832" s="16">
        <f>ROUNDUP((T2832+U2832+2*'Read Me'!$B$13)*(1+'Read Me'!$B$12),-1)</f>
        <v/>
      </c>
      <c r="W2832" s="16">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6" t="n">
        <v>1629</v>
      </c>
      <c r="U2833" s="16" t="n">
        <v>145</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6" t="n">
        <v>1629</v>
      </c>
      <c r="U2834" s="16" t="n">
        <v>145</v>
      </c>
      <c r="V2834" s="16">
        <f>ROUNDUP((T2834+U2834+2*'Read Me'!$B$13)*(1+'Read Me'!$B$12),-1)</f>
        <v/>
      </c>
      <c r="W2834" s="16">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6" t="n">
        <v>1629</v>
      </c>
      <c r="U2835" s="16" t="n">
        <v>145</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6" t="n">
        <v>1629</v>
      </c>
      <c r="U2836" s="16" t="n">
        <v>145</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6" t="n">
        <v>1629</v>
      </c>
      <c r="U2837" s="16" t="n">
        <v>145</v>
      </c>
      <c r="V2837" s="16">
        <f>ROUNDUP((T2837+U2837+2*'Read Me'!$B$13)*(1+'Read Me'!$B$12),-1)</f>
        <v/>
      </c>
      <c r="W2837" s="16">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6" t="n">
        <v>1629</v>
      </c>
      <c r="U2838" s="16" t="n">
        <v>145</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6" t="n">
        <v>1629</v>
      </c>
      <c r="U2839" s="16" t="n">
        <v>145</v>
      </c>
      <c r="V2839" s="16">
        <f>ROUNDUP((T2839+U2839+2*'Read Me'!$B$13)*(1+'Read Me'!$B$12),-1)</f>
        <v/>
      </c>
      <c r="W2839" s="16">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6" t="n">
        <v>1629</v>
      </c>
      <c r="U2840" s="16" t="n">
        <v>145</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6" t="n">
        <v>1629</v>
      </c>
      <c r="U2841" s="16" t="n">
        <v>145</v>
      </c>
      <c r="V2841" s="16">
        <f>ROUNDUP((T2841+U2841+2*'Read Me'!$B$13)*(1+'Read Me'!$B$12),-1)</f>
        <v/>
      </c>
      <c r="W2841" s="16">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6" t="n">
        <v>1251</v>
      </c>
      <c r="U2842" s="16" t="n">
        <v>32</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6" t="n">
        <v>370</v>
      </c>
      <c r="U2843" s="16" t="n">
        <v>52</v>
      </c>
      <c r="V2843" s="16">
        <f>ROUNDUP((T2843+U2843+2*'Read Me'!$B$13)*(1+'Read Me'!$B$12),-1)</f>
        <v/>
      </c>
      <c r="W2843" s="16">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6" t="n">
        <v>160</v>
      </c>
      <c r="U2844" s="16" t="n">
        <v>96</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6" t="n">
        <v>0</v>
      </c>
      <c r="U2845" s="16" t="n">
        <v>32</v>
      </c>
      <c r="V2845" s="16">
        <f>ROUNDUP((T2845+U2845+2*'Read Me'!$B$13)*(1+'Read Me'!$B$12),-1)</f>
        <v/>
      </c>
      <c r="W2845" s="16">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6" t="n">
        <v>90</v>
      </c>
      <c r="U2846" s="16" t="n">
        <v>10</v>
      </c>
      <c r="V2846" s="16">
        <f>ROUNDUP((T2846+U2846+2*'Read Me'!$B$13)*(1+'Read Me'!$B$12),-1)</f>
        <v/>
      </c>
      <c r="W2846" s="16">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6" t="n">
        <v>292</v>
      </c>
      <c r="U2847" s="16" t="n">
        <v>32</v>
      </c>
      <c r="V2847" s="16">
        <f>ROUNDUP((T2847+U2847+2*'Read Me'!$B$13)*(1+'Read Me'!$B$12),-1)</f>
        <v/>
      </c>
      <c r="W2847" s="16">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6" t="n">
        <v>90</v>
      </c>
      <c r="U2848" s="16" t="n">
        <v>10</v>
      </c>
      <c r="V2848" s="16">
        <f>ROUNDUP((T2848+U2848+2*'Read Me'!$B$13)*(1+'Read Me'!$B$12),-1)</f>
        <v/>
      </c>
      <c r="W2848" s="16">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6" t="n">
        <v>292</v>
      </c>
      <c r="U2849" s="16" t="n">
        <v>32</v>
      </c>
      <c r="V2849" s="16">
        <f>ROUNDUP((T2849+U2849+2*'Read Me'!$B$13)*(1+'Read Me'!$B$12),-1)</f>
        <v/>
      </c>
      <c r="W2849" s="16">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6" t="n">
        <v>128</v>
      </c>
      <c r="U2850" s="16" t="n">
        <v>10</v>
      </c>
      <c r="V2850" s="16">
        <f>ROUNDUP((T2850+U2850+2*'Read Me'!$B$13)*(1+'Read Me'!$B$12),-1)</f>
        <v/>
      </c>
      <c r="W2850" s="16">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6" t="n">
        <v>370</v>
      </c>
      <c r="U2851" s="16" t="n">
        <v>52</v>
      </c>
      <c r="V2851" s="16">
        <f>ROUNDUP((T2851+U2851+2*'Read Me'!$B$13)*(1+'Read Me'!$B$12),-1)</f>
        <v/>
      </c>
      <c r="W2851" s="16">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6" t="n">
        <v>128</v>
      </c>
      <c r="U2852" s="16" t="n">
        <v>10</v>
      </c>
      <c r="V2852" s="16">
        <f>ROUNDUP((T2852+U2852+2*'Read Me'!$B$13)*(1+'Read Me'!$B$12),-1)</f>
        <v/>
      </c>
      <c r="W2852" s="16">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6" t="n">
        <v>370</v>
      </c>
      <c r="U2853" s="16" t="n">
        <v>52</v>
      </c>
      <c r="V2853" s="16">
        <f>ROUNDUP((T2853+U2853+2*'Read Me'!$B$13)*(1+'Read Me'!$B$12),-1)</f>
        <v/>
      </c>
      <c r="W2853" s="16">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6" t="n">
        <v>128</v>
      </c>
      <c r="U2854" s="16" t="n">
        <v>10</v>
      </c>
      <c r="V2854" s="16">
        <f>ROUNDUP((T2854+U2854+2*'Read Me'!$B$13)*(1+'Read Me'!$B$12),-1)</f>
        <v/>
      </c>
      <c r="W2854" s="16">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6" t="n">
        <v>370</v>
      </c>
      <c r="U2855" s="16" t="n">
        <v>52</v>
      </c>
      <c r="V2855" s="16">
        <f>ROUNDUP((T2855+U2855+2*'Read Me'!$B$13)*(1+'Read Me'!$B$12),-1)</f>
        <v/>
      </c>
      <c r="W2855" s="16">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6" t="n">
        <v>128</v>
      </c>
      <c r="U2856" s="16" t="n">
        <v>10</v>
      </c>
      <c r="V2856" s="16">
        <f>ROUNDUP((T2856+U2856+2*'Read Me'!$B$13)*(1+'Read Me'!$B$12),-1)</f>
        <v/>
      </c>
      <c r="W2856" s="16">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6" t="n">
        <v>370</v>
      </c>
      <c r="U2857" s="16" t="n">
        <v>52</v>
      </c>
      <c r="V2857" s="16">
        <f>ROUNDUP((T2857+U2857+2*'Read Me'!$B$13)*(1+'Read Me'!$B$12),-1)</f>
        <v/>
      </c>
      <c r="W2857" s="16">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6" t="n">
        <v>62</v>
      </c>
      <c r="U2858" s="16" t="n">
        <v>10</v>
      </c>
      <c r="V2858" s="16">
        <f>ROUNDUP((T2858+U2858+2*'Read Me'!$B$13)*(1+'Read Me'!$B$12),-1)</f>
        <v/>
      </c>
      <c r="W2858" s="16">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6" t="n">
        <v>370</v>
      </c>
      <c r="U2859" s="16" t="n">
        <v>151</v>
      </c>
      <c r="V2859" s="16">
        <f>ROUNDUP((T2859+U2859+2*'Read Me'!$B$13)*(1+'Read Me'!$B$12),-1)</f>
        <v/>
      </c>
      <c r="W2859" s="16">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6" t="n">
        <v>62</v>
      </c>
      <c r="U2860" s="16" t="n">
        <v>10</v>
      </c>
      <c r="V2860" s="16">
        <f>ROUNDUP((T2860+U2860+2*'Read Me'!$B$13)*(1+'Read Me'!$B$12),-1)</f>
        <v/>
      </c>
      <c r="W2860" s="16">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6" t="n">
        <v>370</v>
      </c>
      <c r="U2861" s="16" t="n">
        <v>151</v>
      </c>
      <c r="V2861" s="16">
        <f>ROUNDUP((T2861+U2861+2*'Read Me'!$B$13)*(1+'Read Me'!$B$12),-1)</f>
        <v/>
      </c>
      <c r="W2861" s="16">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6" t="n">
        <v>115</v>
      </c>
      <c r="U2862" s="16" t="n">
        <v>96</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86</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28</v>
      </c>
      <c r="U2864" s="16" t="n">
        <v>123</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86</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28</v>
      </c>
      <c r="U2866" s="16" t="n">
        <v>123</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6" t="n">
        <v>95</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0</v>
      </c>
      <c r="U2868" s="16" t="n">
        <v>100</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6" t="n">
        <v>95</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0</v>
      </c>
      <c r="U2870" s="16" t="n">
        <v>100</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6" t="n">
        <v>66</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160</v>
      </c>
      <c r="U2872" s="16" t="n">
        <v>96</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66</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6" t="n">
        <v>160</v>
      </c>
      <c r="U2874" s="16" t="n">
        <v>96</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6" t="n">
        <v>66</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6" t="n">
        <v>160</v>
      </c>
      <c r="U2876" s="16" t="n">
        <v>96</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6" t="n">
        <v>82</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6" t="n">
        <v>535</v>
      </c>
      <c r="U2878" s="16" t="n">
        <v>32</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6" t="n">
        <v>82</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6" t="n">
        <v>535</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6" t="n">
        <v>40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6" t="n">
        <v>0</v>
      </c>
      <c r="U2882" s="16" t="n">
        <v>58</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6" t="n">
        <v>40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6" t="n">
        <v>0</v>
      </c>
      <c r="U2884" s="16" t="n">
        <v>58</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6" t="n">
        <v>45</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6" t="n">
        <v>655</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6" t="n">
        <v>45</v>
      </c>
      <c r="U2887" s="16" t="n">
        <v>10</v>
      </c>
      <c r="V2887" s="16">
        <f>ROUNDUP((T2887+U2887+2*'Read Me'!$B$13)*(1+'Read Me'!$B$12),-1)</f>
        <v/>
      </c>
      <c r="W2887" s="16">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6" t="n">
        <v>655</v>
      </c>
      <c r="U2888" s="16" t="n">
        <v>32</v>
      </c>
      <c r="V2888" s="16">
        <f>ROUNDUP((T2888+U2888+2*'Read Me'!$B$13)*(1+'Read Me'!$B$12),-1)</f>
        <v/>
      </c>
      <c r="W2888" s="16">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6" t="n">
        <v>86</v>
      </c>
      <c r="U2889" s="16" t="n">
        <v>10</v>
      </c>
      <c r="V2889" s="16">
        <f>ROUNDUP((T2889+U2889+2*'Read Me'!$B$13)*(1+'Read Me'!$B$12),-1)</f>
        <v/>
      </c>
      <c r="W2889" s="16">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6" t="n">
        <v>125</v>
      </c>
      <c r="U2890" s="16" t="n">
        <v>32</v>
      </c>
      <c r="V2890" s="16">
        <f>ROUNDUP((T2890+U2890+2*'Read Me'!$B$13)*(1+'Read Me'!$B$12),-1)</f>
        <v/>
      </c>
      <c r="W2890" s="16">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6" t="n">
        <v>86</v>
      </c>
      <c r="U2891" s="16" t="n">
        <v>10</v>
      </c>
      <c r="V2891" s="16">
        <f>ROUNDUP((T2891+U2891+2*'Read Me'!$B$13)*(1+'Read Me'!$B$12),-1)</f>
        <v/>
      </c>
      <c r="W2891" s="16">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6" t="n">
        <v>125</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6" t="n">
        <v>140</v>
      </c>
      <c r="U2893" s="16" t="n">
        <v>10</v>
      </c>
      <c r="V2893" s="16">
        <f>ROUNDUP((T2893+U2893+2*'Read Me'!$B$13)*(1+'Read Me'!$B$12),-1)</f>
        <v/>
      </c>
      <c r="W2893" s="16">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6" t="n">
        <v>15</v>
      </c>
      <c r="U2894" s="16" t="n">
        <v>99</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6" t="n">
        <v>140</v>
      </c>
      <c r="U2895" s="16" t="n">
        <v>10</v>
      </c>
      <c r="V2895" s="16">
        <f>ROUNDUP((T2895+U2895+2*'Read Me'!$B$13)*(1+'Read Me'!$B$12),-1)</f>
        <v/>
      </c>
      <c r="W2895" s="16">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6" t="n">
        <v>15</v>
      </c>
      <c r="U2896" s="16" t="n">
        <v>99</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6" t="n">
        <v>140</v>
      </c>
      <c r="U2897" s="16" t="n">
        <v>10</v>
      </c>
      <c r="V2897" s="16">
        <f>ROUNDUP((T2897+U2897+2*'Read Me'!$B$13)*(1+'Read Me'!$B$12),-1)</f>
        <v/>
      </c>
      <c r="W2897" s="16">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6" t="n">
        <v>15</v>
      </c>
      <c r="U2898" s="16" t="n">
        <v>99</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6" t="n">
        <v>160</v>
      </c>
      <c r="U2899" s="16" t="n">
        <v>10</v>
      </c>
      <c r="V2899" s="16">
        <f>ROUNDUP((T2899+U2899+2*'Read Me'!$B$13)*(1+'Read Me'!$B$12),-1)</f>
        <v/>
      </c>
      <c r="W2899" s="16">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6" t="n">
        <v>0</v>
      </c>
      <c r="U2900" s="16" t="n">
        <v>32</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6" t="n">
        <v>160</v>
      </c>
      <c r="U2901" s="16" t="n">
        <v>10</v>
      </c>
      <c r="V2901" s="16">
        <f>ROUNDUP((T2901+U2901+2*'Read Me'!$B$13)*(1+'Read Me'!$B$12),-1)</f>
        <v/>
      </c>
      <c r="W2901" s="16">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6" t="n">
        <v>0</v>
      </c>
      <c r="U2902" s="16" t="n">
        <v>32</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6" t="n">
        <v>160</v>
      </c>
      <c r="U2903" s="16" t="n">
        <v>10</v>
      </c>
      <c r="V2903" s="16">
        <f>ROUNDUP((T2903+U2903+2*'Read Me'!$B$13)*(1+'Read Me'!$B$12),-1)</f>
        <v/>
      </c>
      <c r="W2903" s="16">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6" t="n">
        <v>160</v>
      </c>
      <c r="U2905" s="16" t="n">
        <v>10</v>
      </c>
      <c r="V2905" s="16">
        <f>ROUNDUP((T2905+U2905+2*'Read Me'!$B$13)*(1+'Read Me'!$B$12),-1)</f>
        <v/>
      </c>
      <c r="W2905" s="16">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6" t="n">
        <v>0</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6" t="n">
        <v>160</v>
      </c>
      <c r="U2907" s="16" t="n">
        <v>10</v>
      </c>
      <c r="V2907" s="16">
        <f>ROUNDUP((T2907+U2907+2*'Read Me'!$B$13)*(1+'Read Me'!$B$12),-1)</f>
        <v/>
      </c>
      <c r="W2907" s="16">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6" t="n">
        <v>160</v>
      </c>
      <c r="U2909" s="16" t="n">
        <v>10</v>
      </c>
      <c r="V2909" s="16">
        <f>ROUNDUP((T2909+U2909+2*'Read Me'!$B$13)*(1+'Read Me'!$B$12),-1)</f>
        <v/>
      </c>
      <c r="W2909" s="16">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6" t="n">
        <v>0</v>
      </c>
      <c r="U2910" s="16" t="n">
        <v>32</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6" t="n">
        <v>160</v>
      </c>
      <c r="U2911" s="16" t="n">
        <v>10</v>
      </c>
      <c r="V2911" s="16">
        <f>ROUNDUP((T2911+U2911+2*'Read Me'!$B$13)*(1+'Read Me'!$B$12),-1)</f>
        <v/>
      </c>
      <c r="W2911" s="16">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6" t="n">
        <v>0</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6" t="n">
        <v>2010</v>
      </c>
      <c r="U2913" s="16" t="n">
        <v>145</v>
      </c>
      <c r="V2913" s="16">
        <f>ROUNDUP((T2913+U2913+2*'Read Me'!$B$13)*(1+'Read Me'!$B$12),-1)</f>
        <v/>
      </c>
      <c r="W2913" s="16">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6" t="n">
        <v>2010</v>
      </c>
      <c r="U2914" s="16" t="n">
        <v>145</v>
      </c>
      <c r="V2914" s="16">
        <f>ROUNDUP((T2914+U2914+2*'Read Me'!$B$13)*(1+'Read Me'!$B$12),-1)</f>
        <v/>
      </c>
      <c r="W2914" s="16">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6" t="n">
        <v>2089</v>
      </c>
      <c r="U2915" s="16" t="n">
        <v>165</v>
      </c>
      <c r="V2915" s="16">
        <f>ROUNDUP((T2915+U2915+2*'Read Me'!$B$13)*(1+'Read Me'!$B$12),-1)</f>
        <v/>
      </c>
      <c r="W2915" s="16">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6" t="n">
        <v>2089</v>
      </c>
      <c r="U2916" s="16" t="n">
        <v>165</v>
      </c>
      <c r="V2916" s="16">
        <f>ROUNDUP((T2916+U2916+2*'Read Me'!$B$13)*(1+'Read Me'!$B$12),-1)</f>
        <v/>
      </c>
      <c r="W2916" s="16">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6" t="n">
        <v>2089</v>
      </c>
      <c r="U2917" s="16" t="n">
        <v>165</v>
      </c>
      <c r="V2917" s="16">
        <f>ROUNDUP((T2917+U2917+2*'Read Me'!$B$13)*(1+'Read Me'!$B$12),-1)</f>
        <v/>
      </c>
      <c r="W2917" s="16">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6" t="n">
        <v>2089</v>
      </c>
      <c r="U2918" s="16" t="n">
        <v>165</v>
      </c>
      <c r="V2918" s="16">
        <f>ROUNDUP((T2918+U2918+2*'Read Me'!$B$13)*(1+'Read Me'!$B$12),-1)</f>
        <v/>
      </c>
      <c r="W2918" s="16">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6" t="n">
        <v>2089</v>
      </c>
      <c r="U2919" s="16" t="n">
        <v>165</v>
      </c>
      <c r="V2919" s="16">
        <f>ROUNDUP((T2919+U2919+2*'Read Me'!$B$13)*(1+'Read Me'!$B$12),-1)</f>
        <v/>
      </c>
      <c r="W2919" s="16">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6" t="n">
        <v>2089</v>
      </c>
      <c r="U2920" s="16" t="n">
        <v>264</v>
      </c>
      <c r="V2920" s="16">
        <f>ROUNDUP((T2920+U2920+2*'Read Me'!$B$13)*(1+'Read Me'!$B$12),-1)</f>
        <v/>
      </c>
      <c r="W2920" s="16">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6" t="n">
        <v>2089</v>
      </c>
      <c r="U2921" s="16" t="n">
        <v>264</v>
      </c>
      <c r="V2921" s="16">
        <f>ROUNDUP((T2921+U2921+2*'Read Me'!$B$13)*(1+'Read Me'!$B$12),-1)</f>
        <v/>
      </c>
      <c r="W2921" s="16">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6" t="n">
        <v>1959</v>
      </c>
      <c r="U2922" s="16" t="n">
        <v>209</v>
      </c>
      <c r="V2922" s="16">
        <f>ROUNDUP((T2922+U2922+2*'Read Me'!$B$13)*(1+'Read Me'!$B$12),-1)</f>
        <v/>
      </c>
      <c r="W2922" s="16">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6" t="n">
        <v>1500</v>
      </c>
      <c r="U2923" s="16" t="n">
        <v>0</v>
      </c>
      <c r="V2923" s="16">
        <f>ROUNDUP((T2923+U2923+2*'Read Me'!$B$13)*(1+'Read Me'!$B$12),-1)</f>
        <v/>
      </c>
      <c r="W2923" s="16">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6" t="n">
        <v>1872</v>
      </c>
      <c r="U2924" s="16" t="n">
        <v>236</v>
      </c>
      <c r="V2924" s="16">
        <f>ROUNDUP((T2924+U2924+2*'Read Me'!$B$13)*(1+'Read Me'!$B$12),-1)</f>
        <v/>
      </c>
      <c r="W2924" s="16">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6" t="n">
        <v>1798</v>
      </c>
      <c r="U2925" s="16" t="n">
        <v>145</v>
      </c>
      <c r="V2925" s="16">
        <f>ROUNDUP((T2925+U2925+2*'Read Me'!$B$13)*(1+'Read Me'!$B$12),-1)</f>
        <v/>
      </c>
      <c r="W2925" s="16">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6" t="n">
        <v>2004</v>
      </c>
      <c r="U2926" s="16" t="n">
        <v>209</v>
      </c>
      <c r="V2926" s="16">
        <f>ROUNDUP((T2926+U2926+2*'Read Me'!$B$13)*(1+'Read Me'!$B$12),-1)</f>
        <v/>
      </c>
      <c r="W2926" s="16">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6" t="n">
        <v>2004</v>
      </c>
      <c r="U2927" s="16" t="n">
        <v>209</v>
      </c>
      <c r="V2927" s="16">
        <f>ROUNDUP((T2927+U2927+2*'Read Me'!$B$13)*(1+'Read Me'!$B$12),-1)</f>
        <v/>
      </c>
      <c r="W2927" s="16">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6" t="n">
        <v>2254</v>
      </c>
      <c r="U2928" s="16" t="n">
        <v>145</v>
      </c>
      <c r="V2928" s="16">
        <f>ROUNDUP((T2928+U2928+2*'Read Me'!$B$13)*(1+'Read Me'!$B$12),-1)</f>
        <v/>
      </c>
      <c r="W2928" s="16">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6" t="n">
        <v>2010</v>
      </c>
      <c r="U2929" s="16" t="n">
        <v>220</v>
      </c>
      <c r="V2929" s="16">
        <f>ROUNDUP((T2929+U2929+2*'Read Me'!$B$13)*(1+'Read Me'!$B$12),-1)</f>
        <v/>
      </c>
      <c r="W2929" s="16">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6" t="n">
        <v>180</v>
      </c>
      <c r="U2934" s="16" t="n">
        <v>20</v>
      </c>
      <c r="V2934" s="16">
        <f>ROUNDUP((T2934+U2934+2*'Read Me'!$B$13)*(1+'Read Me'!$B$12),-1)</f>
        <v/>
      </c>
      <c r="W2934" s="16">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6" t="n">
        <v>180</v>
      </c>
      <c r="U2951" s="16" t="n">
        <v>20</v>
      </c>
      <c r="V2951" s="16">
        <f>ROUNDUP((T2951+U2951+2*'Read Me'!$B$13)*(1+'Read Me'!$B$12),-1)</f>
        <v/>
      </c>
      <c r="W2951" s="16">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6" t="n">
        <v>180</v>
      </c>
      <c r="U2952" s="16" t="n">
        <v>20</v>
      </c>
      <c r="V2952" s="16">
        <f>ROUNDUP((T2952+U2952+2*'Read Me'!$B$13)*(1+'Read Me'!$B$12),-1)</f>
        <v/>
      </c>
      <c r="W2952" s="16">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6" t="n">
        <v>180</v>
      </c>
      <c r="U2953" s="16" t="n">
        <v>20</v>
      </c>
      <c r="V2953" s="16">
        <f>ROUNDUP((T2953+U2953+2*'Read Me'!$B$13)*(1+'Read Me'!$B$12),-1)</f>
        <v/>
      </c>
      <c r="W2953" s="16">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6" t="n">
        <v>1844</v>
      </c>
      <c r="U2954" s="16" t="n">
        <v>171</v>
      </c>
      <c r="V2954" s="16">
        <f>ROUNDUP((T2954+U2954+2*'Read Me'!$B$13)*(1+'Read Me'!$B$12),-1)</f>
        <v/>
      </c>
      <c r="W2954" s="16">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6" t="n">
        <v>180</v>
      </c>
      <c r="U2955" s="16" t="n">
        <v>20</v>
      </c>
      <c r="V2955" s="16">
        <f>ROUNDUP((T2955+U2955+2*'Read Me'!$B$13)*(1+'Read Me'!$B$12),-1)</f>
        <v/>
      </c>
      <c r="W2955" s="16">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6" t="n">
        <v>180</v>
      </c>
      <c r="U2956" s="16" t="n">
        <v>20</v>
      </c>
      <c r="V2956" s="16">
        <f>ROUNDUP((T2956+U2956+2*'Read Me'!$B$13)*(1+'Read Me'!$B$12),-1)</f>
        <v/>
      </c>
      <c r="W2956" s="16">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6" t="n">
        <v>180</v>
      </c>
      <c r="U2957" s="16" t="n">
        <v>20</v>
      </c>
      <c r="V2957" s="16">
        <f>ROUNDUP((T2957+U2957+2*'Read Me'!$B$13)*(1+'Read Me'!$B$12),-1)</f>
        <v/>
      </c>
      <c r="W2957" s="16">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6" t="n">
        <v>180</v>
      </c>
      <c r="U2958" s="16" t="n">
        <v>20</v>
      </c>
      <c r="V2958" s="16">
        <f>ROUNDUP((T2958+U2958+2*'Read Me'!$B$13)*(1+'Read Me'!$B$12),-1)</f>
        <v/>
      </c>
      <c r="W2958" s="16">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6" t="n">
        <v>180</v>
      </c>
      <c r="U2959" s="16" t="n">
        <v>20</v>
      </c>
      <c r="V2959" s="16">
        <f>ROUNDUP((T2959+U2959+2*'Read Me'!$B$13)*(1+'Read Me'!$B$12),-1)</f>
        <v/>
      </c>
      <c r="W2959" s="16">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6" t="n">
        <v>180</v>
      </c>
      <c r="U2960" s="16" t="n">
        <v>20</v>
      </c>
      <c r="V2960" s="16">
        <f>ROUNDUP((T2960+U2960+2*'Read Me'!$B$13)*(1+'Read Me'!$B$12),-1)</f>
        <v/>
      </c>
      <c r="W2960" s="16">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6" t="n">
        <v>180</v>
      </c>
      <c r="U2961" s="16" t="n">
        <v>20</v>
      </c>
      <c r="V2961" s="16">
        <f>ROUNDUP((T2961+U2961+2*'Read Me'!$B$13)*(1+'Read Me'!$B$12),-1)</f>
        <v/>
      </c>
      <c r="W2961" s="16">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6" t="n">
        <v>180</v>
      </c>
      <c r="U2962" s="16" t="n">
        <v>20</v>
      </c>
      <c r="V2962" s="16">
        <f>ROUNDUP((T2962+U2962+2*'Read Me'!$B$13)*(1+'Read Me'!$B$12),-1)</f>
        <v/>
      </c>
      <c r="W2962" s="16">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6" t="n">
        <v>180</v>
      </c>
      <c r="U2963" s="16" t="n">
        <v>20</v>
      </c>
      <c r="V2963" s="16">
        <f>ROUNDUP((T2963+U2963+2*'Read Me'!$B$13)*(1+'Read Me'!$B$12),-1)</f>
        <v/>
      </c>
      <c r="W2963" s="16">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6" t="n">
        <v>180</v>
      </c>
      <c r="U2964" s="16" t="n">
        <v>20</v>
      </c>
      <c r="V2964" s="16">
        <f>ROUNDUP((T2964+U2964+2*'Read Me'!$B$13)*(1+'Read Me'!$B$12),-1)</f>
        <v/>
      </c>
      <c r="W2964" s="16">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6" t="n">
        <v>180</v>
      </c>
      <c r="U2965" s="16" t="n">
        <v>20</v>
      </c>
      <c r="V2965" s="16">
        <f>ROUNDUP((T2965+U2965+2*'Read Me'!$B$13)*(1+'Read Me'!$B$12),-1)</f>
        <v/>
      </c>
      <c r="W2965" s="16">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6" t="n">
        <v>180</v>
      </c>
      <c r="U2966" s="16" t="n">
        <v>20</v>
      </c>
      <c r="V2966" s="16">
        <f>ROUNDUP((T2966+U2966+2*'Read Me'!$B$13)*(1+'Read Me'!$B$12),-1)</f>
        <v/>
      </c>
      <c r="W2966" s="16">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6" t="n">
        <v>180</v>
      </c>
      <c r="U2967" s="16" t="n">
        <v>20</v>
      </c>
      <c r="V2967" s="16">
        <f>ROUNDUP((T2967+U2967+2*'Read Me'!$B$13)*(1+'Read Me'!$B$12),-1)</f>
        <v/>
      </c>
      <c r="W2967" s="16">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6" t="n">
        <v>180</v>
      </c>
      <c r="U2968" s="16" t="n">
        <v>20</v>
      </c>
      <c r="V2968" s="16">
        <f>ROUNDUP((T2968+U2968+2*'Read Me'!$B$13)*(1+'Read Me'!$B$12),-1)</f>
        <v/>
      </c>
      <c r="W2968" s="16">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6" t="n">
        <v>180</v>
      </c>
      <c r="U2969" s="16" t="n">
        <v>20</v>
      </c>
      <c r="V2969" s="16">
        <f>ROUNDUP((T2969+U2969+2*'Read Me'!$B$13)*(1+'Read Me'!$B$12),-1)</f>
        <v/>
      </c>
      <c r="W2969" s="16">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6" t="n">
        <v>180</v>
      </c>
      <c r="U2970" s="16" t="n">
        <v>20</v>
      </c>
      <c r="V2970" s="16">
        <f>ROUNDUP((T2970+U2970+2*'Read Me'!$B$13)*(1+'Read Me'!$B$12),-1)</f>
        <v/>
      </c>
      <c r="W2970" s="16">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6" t="n">
        <v>180</v>
      </c>
      <c r="U2971" s="16" t="n">
        <v>20</v>
      </c>
      <c r="V2971" s="16">
        <f>ROUNDUP((T2971+U2971+2*'Read Me'!$B$13)*(1+'Read Me'!$B$12),-1)</f>
        <v/>
      </c>
      <c r="W2971" s="16">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6" t="n">
        <v>180</v>
      </c>
      <c r="U2972" s="16" t="n">
        <v>20</v>
      </c>
      <c r="V2972" s="16">
        <f>ROUNDUP((T2972+U2972+2*'Read Me'!$B$13)*(1+'Read Me'!$B$12),-1)</f>
        <v/>
      </c>
      <c r="W2972" s="16">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6" t="n">
        <v>180</v>
      </c>
      <c r="U2973" s="16" t="n">
        <v>20</v>
      </c>
      <c r="V2973" s="16">
        <f>ROUNDUP((T2973+U2973+2*'Read Me'!$B$13)*(1+'Read Me'!$B$12),-1)</f>
        <v/>
      </c>
      <c r="W2973" s="16">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6" t="n">
        <v>180</v>
      </c>
      <c r="U2974" s="16" t="n">
        <v>20</v>
      </c>
      <c r="V2974" s="16">
        <f>ROUNDUP((T2974+U2974+2*'Read Me'!$B$13)*(1+'Read Me'!$B$12),-1)</f>
        <v/>
      </c>
      <c r="W2974" s="16">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6" t="n">
        <v>180</v>
      </c>
      <c r="U2975" s="16" t="n">
        <v>20</v>
      </c>
      <c r="V2975" s="16">
        <f>ROUNDUP((T2975+U2975+2*'Read Me'!$B$13)*(1+'Read Me'!$B$12),-1)</f>
        <v/>
      </c>
      <c r="W2975" s="16">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6" t="n">
        <v>180</v>
      </c>
      <c r="U2976" s="16" t="n">
        <v>20</v>
      </c>
      <c r="V2976" s="16">
        <f>ROUNDUP((T2976+U2976+2*'Read Me'!$B$13)*(1+'Read Me'!$B$12),-1)</f>
        <v/>
      </c>
      <c r="W2976" s="16">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6" t="n">
        <v>180</v>
      </c>
      <c r="U2977" s="16" t="n">
        <v>20</v>
      </c>
      <c r="V2977" s="16">
        <f>ROUNDUP((T2977+U2977+2*'Read Me'!$B$13)*(1+'Read Me'!$B$12),-1)</f>
        <v/>
      </c>
      <c r="W2977" s="16">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6" t="n">
        <v>180</v>
      </c>
      <c r="U2978" s="16" t="n">
        <v>20</v>
      </c>
      <c r="V2978" s="16">
        <f>ROUNDUP((T2978+U2978+2*'Read Me'!$B$13)*(1+'Read Me'!$B$12),-1)</f>
        <v/>
      </c>
      <c r="W2978" s="16">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6" t="n">
        <v>2002</v>
      </c>
      <c r="U2979" s="16" t="n">
        <v>347</v>
      </c>
      <c r="V2979" s="16">
        <f>ROUNDUP((T2979+U2979+2*'Read Me'!$B$13)*(1+'Read Me'!$B$12),-1)</f>
        <v/>
      </c>
      <c r="W2979" s="16">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6" t="n">
        <v>2002</v>
      </c>
      <c r="U2980" s="16" t="n">
        <v>347</v>
      </c>
      <c r="V2980" s="16">
        <f>ROUNDUP((T2980+U2980+2*'Read Me'!$B$13)*(1+'Read Me'!$B$12),-1)</f>
        <v/>
      </c>
      <c r="W2980" s="16">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6" t="n">
        <v>1754</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6" t="n">
        <v>1859</v>
      </c>
      <c r="U2982" s="16" t="n">
        <v>212</v>
      </c>
      <c r="V2982" s="16">
        <f>ROUNDUP((T2982+U2982+2*'Read Me'!$B$13)*(1+'Read Me'!$B$12),-1)</f>
        <v/>
      </c>
      <c r="W2982" s="16">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6" t="n">
        <v>1859</v>
      </c>
      <c r="U2983" s="16" t="n">
        <v>212</v>
      </c>
      <c r="V2983" s="16">
        <f>ROUNDUP((T2983+U2983+2*'Read Me'!$B$13)*(1+'Read Me'!$B$12),-1)</f>
        <v/>
      </c>
      <c r="W2983" s="16">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6" t="n">
        <v>1859</v>
      </c>
      <c r="U2984" s="16" t="n">
        <v>212</v>
      </c>
      <c r="V2984" s="16">
        <f>ROUNDUP((T2984+U2984+2*'Read Me'!$B$13)*(1+'Read Me'!$B$12),-1)</f>
        <v/>
      </c>
      <c r="W2984" s="16">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6" t="n">
        <v>1859</v>
      </c>
      <c r="U2985" s="16" t="n">
        <v>212</v>
      </c>
      <c r="V2985" s="16">
        <f>ROUNDUP((T2985+U2985+2*'Read Me'!$B$13)*(1+'Read Me'!$B$12),-1)</f>
        <v/>
      </c>
      <c r="W2985" s="16">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6" t="n">
        <v>1859</v>
      </c>
      <c r="U2986" s="16" t="n">
        <v>212</v>
      </c>
      <c r="V2986" s="16">
        <f>ROUNDUP((T2986+U2986+2*'Read Me'!$B$13)*(1+'Read Me'!$B$12),-1)</f>
        <v/>
      </c>
      <c r="W2986" s="16">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6" t="n">
        <v>1859</v>
      </c>
      <c r="U2987" s="16" t="n">
        <v>212</v>
      </c>
      <c r="V2987" s="16">
        <f>ROUNDUP((T2987+U2987+2*'Read Me'!$B$13)*(1+'Read Me'!$B$12),-1)</f>
        <v/>
      </c>
      <c r="W2987" s="16">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6" t="n">
        <v>1859</v>
      </c>
      <c r="U2988" s="16" t="n">
        <v>212</v>
      </c>
      <c r="V2988" s="16">
        <f>ROUNDUP((T2988+U2988+2*'Read Me'!$B$13)*(1+'Read Me'!$B$12),-1)</f>
        <v/>
      </c>
      <c r="W2988" s="16">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6" t="n">
        <v>1859</v>
      </c>
      <c r="U2989" s="16" t="n">
        <v>212</v>
      </c>
      <c r="V2989" s="16">
        <f>ROUNDUP((T2989+U2989+2*'Read Me'!$B$13)*(1+'Read Me'!$B$12),-1)</f>
        <v/>
      </c>
      <c r="W2989" s="16">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6" t="n">
        <v>1629</v>
      </c>
      <c r="U2990" s="16" t="n">
        <v>145</v>
      </c>
      <c r="V2990" s="16">
        <f>ROUNDUP((T2990+U2990+2*'Read Me'!$B$13)*(1+'Read Me'!$B$12),-1)</f>
        <v/>
      </c>
      <c r="W2990" s="16">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6" t="n">
        <v>1629</v>
      </c>
      <c r="U2991" s="16" t="n">
        <v>145</v>
      </c>
      <c r="V2991" s="16">
        <f>ROUNDUP((T2991+U2991+2*'Read Me'!$B$13)*(1+'Read Me'!$B$12),-1)</f>
        <v/>
      </c>
      <c r="W2991" s="16">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6" t="n">
        <v>1629</v>
      </c>
      <c r="U2992" s="16" t="n">
        <v>145</v>
      </c>
      <c r="V2992" s="16">
        <f>ROUNDUP((T2992+U2992+2*'Read Me'!$B$13)*(1+'Read Me'!$B$12),-1)</f>
        <v/>
      </c>
      <c r="W2992" s="16">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6" t="n">
        <v>1629</v>
      </c>
      <c r="U2993" s="16" t="n">
        <v>145</v>
      </c>
      <c r="V2993" s="16">
        <f>ROUNDUP((T2993+U2993+2*'Read Me'!$B$13)*(1+'Read Me'!$B$12),-1)</f>
        <v/>
      </c>
      <c r="W2993" s="16">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6" t="n">
        <v>1629</v>
      </c>
      <c r="U2994" s="16" t="n">
        <v>145</v>
      </c>
      <c r="V2994" s="16">
        <f>ROUNDUP((T2994+U2994+2*'Read Me'!$B$13)*(1+'Read Me'!$B$12),-1)</f>
        <v/>
      </c>
      <c r="W2994" s="16">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6" t="n">
        <v>1629</v>
      </c>
      <c r="U2995" s="16" t="n">
        <v>145</v>
      </c>
      <c r="V2995" s="16">
        <f>ROUNDUP((T2995+U2995+2*'Read Me'!$B$13)*(1+'Read Me'!$B$12),-1)</f>
        <v/>
      </c>
      <c r="W2995" s="16">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6" t="n">
        <v>1629</v>
      </c>
      <c r="U2996" s="16" t="n">
        <v>145</v>
      </c>
      <c r="V2996" s="16">
        <f>ROUNDUP((T2996+U2996+2*'Read Me'!$B$13)*(1+'Read Me'!$B$12),-1)</f>
        <v/>
      </c>
      <c r="W2996" s="16">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6" t="n">
        <v>1629</v>
      </c>
      <c r="U2997" s="16" t="n">
        <v>145</v>
      </c>
      <c r="V2997" s="16">
        <f>ROUNDUP((T2997+U2997+2*'Read Me'!$B$13)*(1+'Read Me'!$B$12),-1)</f>
        <v/>
      </c>
      <c r="W2997" s="16">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6" t="n">
        <v>1629</v>
      </c>
      <c r="U2998" s="16" t="n">
        <v>145</v>
      </c>
      <c r="V2998" s="16">
        <f>ROUNDUP((T2998+U2998+2*'Read Me'!$B$13)*(1+'Read Me'!$B$12),-1)</f>
        <v/>
      </c>
      <c r="W2998" s="16">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6" t="n">
        <v>1629</v>
      </c>
      <c r="U2999" s="16" t="n">
        <v>145</v>
      </c>
      <c r="V2999" s="16">
        <f>ROUNDUP((T2999+U2999+2*'Read Me'!$B$13)*(1+'Read Me'!$B$12),-1)</f>
        <v/>
      </c>
      <c r="W2999" s="16">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6" t="n">
        <v>1629</v>
      </c>
      <c r="U3000" s="16" t="n">
        <v>145</v>
      </c>
      <c r="V3000" s="16">
        <f>ROUNDUP((T3000+U3000+2*'Read Me'!$B$13)*(1+'Read Me'!$B$12),-1)</f>
        <v/>
      </c>
      <c r="W3000" s="16">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6" t="n">
        <v>1629</v>
      </c>
      <c r="U3001" s="16" t="n">
        <v>145</v>
      </c>
      <c r="V3001" s="16">
        <f>ROUNDUP((T3001+U3001+2*'Read Me'!$B$13)*(1+'Read Me'!$B$12),-1)</f>
        <v/>
      </c>
      <c r="W3001" s="16">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6" t="n">
        <v>1629</v>
      </c>
      <c r="U3002" s="16" t="n">
        <v>145</v>
      </c>
      <c r="V3002" s="16">
        <f>ROUNDUP((T3002+U3002+2*'Read Me'!$B$13)*(1+'Read Me'!$B$12),-1)</f>
        <v/>
      </c>
      <c r="W3002" s="16">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6" t="n">
        <v>1629</v>
      </c>
      <c r="U3003" s="16" t="n">
        <v>145</v>
      </c>
      <c r="V3003" s="16">
        <f>ROUNDUP((T3003+U3003+2*'Read Me'!$B$13)*(1+'Read Me'!$B$12),-1)</f>
        <v/>
      </c>
      <c r="W3003" s="16">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6" t="n">
        <v>1629</v>
      </c>
      <c r="U3004" s="16" t="n">
        <v>145</v>
      </c>
      <c r="V3004" s="16">
        <f>ROUNDUP((T3004+U3004+2*'Read Me'!$B$13)*(1+'Read Me'!$B$12),-1)</f>
        <v/>
      </c>
      <c r="W3004" s="16">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6" t="n">
        <v>1629</v>
      </c>
      <c r="U3005" s="16" t="n">
        <v>145</v>
      </c>
      <c r="V3005" s="16">
        <f>ROUNDUP((T3005+U3005+2*'Read Me'!$B$13)*(1+'Read Me'!$B$12),-1)</f>
        <v/>
      </c>
      <c r="W3005" s="16">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6" t="n">
        <v>1629</v>
      </c>
      <c r="U3006" s="16" t="n">
        <v>145</v>
      </c>
      <c r="V3006" s="16">
        <f>ROUNDUP((T3006+U3006+2*'Read Me'!$B$13)*(1+'Read Me'!$B$12),-1)</f>
        <v/>
      </c>
      <c r="W3006" s="16">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6" t="n">
        <v>1629</v>
      </c>
      <c r="U3007" s="16" t="n">
        <v>145</v>
      </c>
      <c r="V3007" s="16">
        <f>ROUNDUP((T3007+U3007+2*'Read Me'!$B$13)*(1+'Read Me'!$B$12),-1)</f>
        <v/>
      </c>
      <c r="W3007" s="16">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6" t="n">
        <v>1629</v>
      </c>
      <c r="U3008" s="16" t="n">
        <v>145</v>
      </c>
      <c r="V3008" s="16">
        <f>ROUNDUP((T3008+U3008+2*'Read Me'!$B$13)*(1+'Read Me'!$B$12),-1)</f>
        <v/>
      </c>
      <c r="W3008" s="16">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6" t="n">
        <v>1629</v>
      </c>
      <c r="U3009" s="16" t="n">
        <v>145</v>
      </c>
      <c r="V3009" s="16">
        <f>ROUNDUP((T3009+U3009+2*'Read Me'!$B$13)*(1+'Read Me'!$B$12),-1)</f>
        <v/>
      </c>
      <c r="W3009" s="16">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6" t="n">
        <v>30</v>
      </c>
      <c r="U3010" s="16" t="n">
        <v>16</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6" t="n">
        <v>12</v>
      </c>
      <c r="U3011" s="16" t="n">
        <v>16</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6" t="n">
        <v>1080</v>
      </c>
      <c r="U3012" s="16" t="n">
        <v>0</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6" t="n">
        <v>10</v>
      </c>
      <c r="U3013" s="16" t="n">
        <v>16</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6" t="n">
        <v>10</v>
      </c>
      <c r="U3014" s="16" t="n">
        <v>16</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6" t="n">
        <v>12</v>
      </c>
      <c r="U3015" s="16" t="n">
        <v>16</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6" t="n">
        <v>12</v>
      </c>
      <c r="U3016" s="16" t="n">
        <v>16</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6" t="n">
        <v>2235</v>
      </c>
      <c r="U3017" s="16" t="n">
        <v>0</v>
      </c>
      <c r="V3017" s="16">
        <f>ROUNDUP((T3017+U3017+2*'Read Me'!$B$13)*(1+'Read Me'!$B$12),-1)</f>
        <v/>
      </c>
      <c r="W3017" s="16">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6" t="n">
        <v>3236</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6" t="n">
        <v>736</v>
      </c>
      <c r="U3019" s="16" t="n">
        <v>0</v>
      </c>
      <c r="V3019" s="16">
        <f>ROUNDUP((T3019+U3019+2*'Read Me'!$B$13)*(1+'Read Me'!$B$12),-1)</f>
        <v/>
      </c>
      <c r="W3019" s="16">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6" t="n">
        <v>8003</v>
      </c>
      <c r="U3020" s="16" t="n">
        <v>0</v>
      </c>
      <c r="V3020" s="16">
        <f>ROUNDUP((T3020+U3020+2*'Read Me'!$B$13)*(1+'Read Me'!$B$12),-1)</f>
        <v/>
      </c>
      <c r="W3020" s="16">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6" t="n">
        <v>27227</v>
      </c>
      <c r="U3021" s="16" t="n">
        <v>0</v>
      </c>
      <c r="V3021" s="16">
        <f>ROUNDUP((T3021+U3021+2*'Read Me'!$B$13)*(1+'Read Me'!$B$12),-1)</f>
        <v/>
      </c>
      <c r="W3021" s="16">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32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6" t="n">
        <v>626</v>
      </c>
      <c r="U3024" s="16" t="n">
        <v>62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6" t="n">
        <v>661</v>
      </c>
      <c r="U3025" s="16" t="n">
        <v>65</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6" t="n">
        <v>38</v>
      </c>
      <c r="U3026" s="16" t="n">
        <v>32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744</v>
      </c>
      <c r="U3027" s="16" t="n">
        <v>173</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744</v>
      </c>
      <c r="U3028" s="16" t="n">
        <v>173</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33</v>
      </c>
      <c r="U3029" s="16" t="n">
        <v>32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6" t="n">
        <v>900</v>
      </c>
      <c r="U3030" s="16" t="n">
        <v>237</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6" t="n">
        <v>356</v>
      </c>
      <c r="U3031" s="16" t="n">
        <v>32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2486</v>
      </c>
      <c r="U3032" s="16" t="n">
        <v>264</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6" t="n">
        <v>1832</v>
      </c>
      <c r="U3033" s="16" t="n">
        <v>145</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6" t="n">
        <v>1832</v>
      </c>
      <c r="U3034" s="16" t="n">
        <v>145</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6" t="n">
        <v>37</v>
      </c>
      <c r="U3035" s="16" t="n">
        <v>109</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6" t="n">
        <v>0</v>
      </c>
      <c r="U3036" s="16" t="n">
        <v>32</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6" t="n">
        <v>0</v>
      </c>
      <c r="U3037" s="16" t="n">
        <v>32</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6" t="n">
        <v>121</v>
      </c>
      <c r="U3038" s="16" t="n">
        <v>0</v>
      </c>
      <c r="V3038" s="16">
        <f>ROUNDUP((T3038+U3038+2*'Read Me'!$B$13)*(1+'Read Me'!$B$12),-1)</f>
        <v/>
      </c>
      <c r="W3038" s="16">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6" t="n">
        <v>17332</v>
      </c>
      <c r="U3039" s="16" t="n">
        <v>0</v>
      </c>
      <c r="V3039" s="16">
        <f>ROUNDUP((T3039+U3039+2*'Read Me'!$B$13)*(1+'Read Me'!$B$12),-1)</f>
        <v/>
      </c>
      <c r="W3039" s="16">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6" t="n">
        <v>63</v>
      </c>
      <c r="U3040" s="16" t="n">
        <v>0</v>
      </c>
      <c r="V3040" s="16">
        <f>ROUNDUP((T3040+U3040+2*'Read Me'!$B$13)*(1+'Read Me'!$B$12),-1)</f>
        <v/>
      </c>
      <c r="W3040" s="16">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6" t="n">
        <v>38</v>
      </c>
      <c r="U3041" s="16" t="n">
        <v>32</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6" t="n">
        <v>356</v>
      </c>
      <c r="U3042" s="16" t="n">
        <v>32</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6" t="n">
        <v>37</v>
      </c>
      <c r="U3043" s="16" t="n">
        <v>109</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6" t="n">
        <v>0</v>
      </c>
      <c r="U3044" s="16" t="n">
        <v>32</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6" t="n">
        <v>0</v>
      </c>
      <c r="U3045" s="16" t="n">
        <v>32</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6" t="n">
        <v>830</v>
      </c>
      <c r="U3046" s="16" t="n">
        <v>0</v>
      </c>
      <c r="V3046" s="16">
        <f>ROUNDUP((T3046+U3046+2*'Read Me'!$B$13)*(1+'Read Me'!$B$12),-1)</f>
        <v/>
      </c>
      <c r="W3046" s="16">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6" t="n">
        <v>626</v>
      </c>
      <c r="U3047" s="16" t="n">
        <v>62</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6" t="n">
        <v>661</v>
      </c>
      <c r="U3048" s="16" t="n">
        <v>65</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6" t="n">
        <v>38</v>
      </c>
      <c r="U3049" s="16" t="n">
        <v>32</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6" t="n">
        <v>356</v>
      </c>
      <c r="U3050" s="16" t="n">
        <v>32</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6" t="n">
        <v>37</v>
      </c>
      <c r="U3051" s="16" t="n">
        <v>109</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6" t="n">
        <v>626</v>
      </c>
      <c r="U3052" s="16" t="n">
        <v>62</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6" t="n">
        <v>626</v>
      </c>
      <c r="U3053" s="16" t="n">
        <v>62</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6" t="n">
        <v>626</v>
      </c>
      <c r="U3054" s="16" t="n">
        <v>62</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6" t="n">
        <v>661</v>
      </c>
      <c r="U3055" s="16" t="n">
        <v>65</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6" t="n">
        <v>661</v>
      </c>
      <c r="U3056" s="16" t="n">
        <v>65</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6" t="n">
        <v>661</v>
      </c>
      <c r="U3057" s="16" t="n">
        <v>65</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6" t="n">
        <v>40</v>
      </c>
      <c r="U3058" s="16" t="n">
        <v>10</v>
      </c>
      <c r="V3058" s="16">
        <f>ROUNDUP((T3058+U3058+2*'Read Me'!$B$13)*(1+'Read Me'!$B$12),-1)</f>
        <v/>
      </c>
      <c r="W3058" s="16">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6" t="n">
        <v>366</v>
      </c>
      <c r="U3059" s="16" t="n">
        <v>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6" t="n">
        <v>40</v>
      </c>
      <c r="U3060" s="16" t="n">
        <v>10</v>
      </c>
      <c r="V3060" s="16">
        <f>ROUNDUP((T3060+U3060+2*'Read Me'!$B$13)*(1+'Read Me'!$B$12),-1)</f>
        <v/>
      </c>
      <c r="W3060" s="16">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6" t="n">
        <v>366</v>
      </c>
      <c r="U3061" s="16" t="n">
        <v>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6" t="n">
        <v>72</v>
      </c>
      <c r="U3062" s="16" t="n">
        <v>10</v>
      </c>
      <c r="V3062" s="16">
        <f>ROUNDUP((T3062+U3062+2*'Read Me'!$B$13)*(1+'Read Me'!$B$12),-1)</f>
        <v/>
      </c>
      <c r="W3062" s="16">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6" t="n">
        <v>1454</v>
      </c>
      <c r="U3063" s="16" t="n">
        <v>32</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6" t="n">
        <v>72</v>
      </c>
      <c r="U3064" s="16" t="n">
        <v>10</v>
      </c>
      <c r="V3064" s="16">
        <f>ROUNDUP((T3064+U3064+2*'Read Me'!$B$13)*(1+'Read Me'!$B$12),-1)</f>
        <v/>
      </c>
      <c r="W3064" s="16">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6" t="n">
        <v>1454</v>
      </c>
      <c r="U3065" s="16" t="n">
        <v>32</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6" t="n">
        <v>1020</v>
      </c>
      <c r="U3066" s="16" t="n">
        <v>145</v>
      </c>
      <c r="V3066" s="16">
        <f>ROUNDUP((T3066+U3066+2*'Read Me'!$B$13)*(1+'Read Me'!$B$12),-1)</f>
        <v/>
      </c>
      <c r="W3066" s="16">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6" t="n">
        <v>30</v>
      </c>
      <c r="U3067" s="16" t="n">
        <v>32</v>
      </c>
      <c r="V3067" s="16">
        <f>ROUNDUP((T3067+U3067+2*'Read Me'!$B$13)*(1+'Read Me'!$B$12),-1)</f>
        <v/>
      </c>
      <c r="W3067" s="16">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6" t="n">
        <v>875</v>
      </c>
      <c r="U3068" s="16" t="n">
        <v>219</v>
      </c>
      <c r="V3068" s="16">
        <f>ROUNDUP((T3068+U3068+2*'Read Me'!$B$13)*(1+'Read Me'!$B$12),-1)</f>
        <v/>
      </c>
      <c r="W3068" s="16">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6" t="n">
        <v>981</v>
      </c>
      <c r="U3069" s="16" t="n">
        <v>193</v>
      </c>
      <c r="V3069" s="16">
        <f>ROUNDUP((T3069+U3069+2*'Read Me'!$B$13)*(1+'Read Me'!$B$12),-1)</f>
        <v/>
      </c>
      <c r="W3069" s="16">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6" t="n">
        <v>1049</v>
      </c>
      <c r="U3070" s="16" t="n">
        <v>145</v>
      </c>
      <c r="V3070" s="16">
        <f>ROUNDUP((T3070+U3070+2*'Read Me'!$B$13)*(1+'Read Me'!$B$12),-1)</f>
        <v/>
      </c>
      <c r="W3070" s="16">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6" t="n">
        <v>744</v>
      </c>
      <c r="U3071" s="16" t="n">
        <v>173</v>
      </c>
      <c r="V3071" s="16">
        <f>ROUNDUP((T3071+U3071+2*'Read Me'!$B$13)*(1+'Read Me'!$B$12),-1)</f>
        <v/>
      </c>
      <c r="W3071" s="16">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6" t="n">
        <v>744</v>
      </c>
      <c r="U3072" s="16" t="n">
        <v>173</v>
      </c>
      <c r="V3072" s="16">
        <f>ROUNDUP((T3072+U3072+2*'Read Me'!$B$13)*(1+'Read Me'!$B$12),-1)</f>
        <v/>
      </c>
      <c r="W3072" s="16">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6" t="n">
        <v>734</v>
      </c>
      <c r="U3073" s="16" t="n">
        <v>145</v>
      </c>
      <c r="V3073" s="16">
        <f>ROUNDUP((T3073+U3073+2*'Read Me'!$B$13)*(1+'Read Me'!$B$12),-1)</f>
        <v/>
      </c>
      <c r="W3073" s="16">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6" t="n">
        <v>120</v>
      </c>
      <c r="U3074" s="16" t="n">
        <v>30</v>
      </c>
      <c r="V3074" s="16">
        <f>ROUNDUP((T3074+U3074+2*'Read Me'!$B$13)*(1+'Read Me'!$B$12),-1)</f>
        <v/>
      </c>
      <c r="W3074" s="16">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6" t="n">
        <v>1832</v>
      </c>
      <c r="U3075" s="16" t="n">
        <v>145</v>
      </c>
      <c r="V3075" s="16">
        <f>ROUNDUP((T3075+U3075+2*'Read Me'!$B$13)*(1+'Read Me'!$B$12),-1)</f>
        <v/>
      </c>
      <c r="W3075" s="16">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6" t="n">
        <v>1832</v>
      </c>
      <c r="U3076" s="16" t="n">
        <v>145</v>
      </c>
      <c r="V3076" s="16">
        <f>ROUNDUP((T3076+U3076+2*'Read Me'!$B$13)*(1+'Read Me'!$B$12),-1)</f>
        <v/>
      </c>
      <c r="W3076" s="16">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6" t="n">
        <v>734</v>
      </c>
      <c r="U3077" s="16" t="n">
        <v>204</v>
      </c>
      <c r="V3077" s="16">
        <f>ROUNDUP((T3077+U3077+2*'Read Me'!$B$13)*(1+'Read Me'!$B$12),-1)</f>
        <v/>
      </c>
      <c r="W3077" s="16">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6" t="n">
        <v>5400</v>
      </c>
      <c r="U3078" s="16" t="n">
        <v>0</v>
      </c>
      <c r="V3078" s="16">
        <f>ROUNDUP((T3078+U3078+2*'Read Me'!$B$13)*(1+'Read Me'!$B$12),-1)</f>
        <v/>
      </c>
      <c r="W3078" s="16">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6" t="n">
        <v>14560</v>
      </c>
      <c r="U3079" s="16" t="n">
        <v>0</v>
      </c>
      <c r="V3079" s="16">
        <f>ROUNDUP((T3079+U3079+2*'Read Me'!$B$13)*(1+'Read Me'!$B$12),-1)</f>
        <v/>
      </c>
      <c r="W3079" s="16">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6" t="n">
        <v>7920</v>
      </c>
      <c r="U3080" s="16" t="n">
        <v>0</v>
      </c>
      <c r="V3080" s="16">
        <f>ROUNDUP((T3080+U3080+2*'Read Me'!$B$13)*(1+'Read Me'!$B$12),-1)</f>
        <v/>
      </c>
      <c r="W3080" s="16">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570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570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6" t="n">
        <v>570</v>
      </c>
      <c r="U3083" s="16" t="n">
        <v>80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6" t="n">
        <v>570</v>
      </c>
      <c r="U3084" s="16" t="n">
        <v>80</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570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570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6" t="n">
        <v>570</v>
      </c>
      <c r="U3087" s="16" t="n">
        <v>80</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6" t="n">
        <v>570</v>
      </c>
      <c r="U3088" s="16" t="n">
        <v>80</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6" t="n">
        <v>570</v>
      </c>
      <c r="U3089" s="16" t="n">
        <v>80</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6" t="n">
        <v>570</v>
      </c>
      <c r="U3090" s="16" t="n">
        <v>80</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6" t="n">
        <v>552</v>
      </c>
      <c r="U3091" s="16" t="n">
        <v>81</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6" t="n">
        <v>552</v>
      </c>
      <c r="U3092" s="16" t="n">
        <v>81</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6" t="n">
        <v>410</v>
      </c>
      <c r="U3093" s="16" t="n">
        <v>80</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6" t="n">
        <v>410</v>
      </c>
      <c r="U3094" s="16" t="n">
        <v>80</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6" t="n">
        <v>410</v>
      </c>
      <c r="U3095" s="16" t="n">
        <v>80</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6" t="n">
        <v>410</v>
      </c>
      <c r="U3096" s="16" t="n">
        <v>80</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6" t="n">
        <v>410</v>
      </c>
      <c r="U3097" s="16" t="n">
        <v>80</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6" t="n">
        <v>410</v>
      </c>
      <c r="U3098" s="16" t="n">
        <v>80</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6" t="n">
        <v>410</v>
      </c>
      <c r="U3099" s="16" t="n">
        <v>80</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6" t="n">
        <v>410</v>
      </c>
      <c r="U3100" s="16" t="n">
        <v>80</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6" t="n">
        <v>410</v>
      </c>
      <c r="U3101" s="16" t="n">
        <v>80</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6" t="n">
        <v>410</v>
      </c>
      <c r="U3102" s="16" t="n">
        <v>80</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6" t="n">
        <v>392</v>
      </c>
      <c r="U3103" s="16" t="n">
        <v>81</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6" t="n">
        <v>392</v>
      </c>
      <c r="U3104" s="16" t="n">
        <v>81</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6" t="n">
        <v>250</v>
      </c>
      <c r="U3105" s="16" t="n">
        <v>80</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6" t="n">
        <v>250</v>
      </c>
      <c r="U3106" s="16" t="n">
        <v>80</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6" t="n">
        <v>250</v>
      </c>
      <c r="U3107" s="16" t="n">
        <v>80</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6" t="n">
        <v>250</v>
      </c>
      <c r="U3108" s="16" t="n">
        <v>80</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6" t="n">
        <v>250</v>
      </c>
      <c r="U3109" s="16" t="n">
        <v>80</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6" t="n">
        <v>250</v>
      </c>
      <c r="U3110" s="16" t="n">
        <v>80</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6" t="n">
        <v>250</v>
      </c>
      <c r="U3111" s="16" t="n">
        <v>80</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6" t="n">
        <v>250</v>
      </c>
      <c r="U3112" s="16" t="n">
        <v>80</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6" t="n">
        <v>250</v>
      </c>
      <c r="U3113" s="16" t="n">
        <v>80</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6" t="n">
        <v>250</v>
      </c>
      <c r="U3114" s="16" t="n">
        <v>80</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6" t="n">
        <v>232</v>
      </c>
      <c r="U3115" s="16" t="n">
        <v>81</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6" t="n">
        <v>232</v>
      </c>
      <c r="U3116" s="16" t="n">
        <v>81</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460</v>
      </c>
      <c r="U3117" s="16" t="n">
        <v>32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460</v>
      </c>
      <c r="U3118" s="16" t="n">
        <v>32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460</v>
      </c>
      <c r="U3119" s="16" t="n">
        <v>32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460</v>
      </c>
      <c r="U3120" s="16" t="n">
        <v>32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300</v>
      </c>
      <c r="U3121" s="16" t="n">
        <v>32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6" t="n">
        <v>300</v>
      </c>
      <c r="U3122" s="16" t="n">
        <v>32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6" t="n">
        <v>300</v>
      </c>
      <c r="U3123" s="16" t="n">
        <v>32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6" t="n">
        <v>300</v>
      </c>
      <c r="U3124" s="16" t="n">
        <v>32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16</v>
      </c>
      <c r="U3125" s="16" t="n">
        <v>150</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16</v>
      </c>
      <c r="U3126" s="16" t="n">
        <v>150</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16</v>
      </c>
      <c r="U3127" s="16" t="n">
        <v>150</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16</v>
      </c>
      <c r="U3128" s="16" t="n">
        <v>150</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6" t="n">
        <v>361</v>
      </c>
      <c r="U3131" s="16" t="n">
        <v>32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6" t="n">
        <v>361</v>
      </c>
      <c r="U3132" s="16" t="n">
        <v>32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6" t="n">
        <v>361</v>
      </c>
      <c r="U3133" s="16" t="n">
        <v>32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6" t="n">
        <v>361</v>
      </c>
      <c r="U3134" s="16" t="n">
        <v>32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6" t="n">
        <v>361</v>
      </c>
      <c r="U3135" s="16" t="n">
        <v>32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6" t="n">
        <v>361</v>
      </c>
      <c r="U3136" s="16" t="n">
        <v>32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6" t="n">
        <v>409</v>
      </c>
      <c r="U3137" s="16" t="n">
        <v>32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6" t="n">
        <v>409</v>
      </c>
      <c r="U3138" s="16" t="n">
        <v>32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6" t="n">
        <v>409</v>
      </c>
      <c r="U3139" s="16" t="n">
        <v>32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6" t="n">
        <v>409</v>
      </c>
      <c r="U3140" s="16" t="n">
        <v>32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6" t="n">
        <v>409</v>
      </c>
      <c r="U3141" s="16" t="n">
        <v>32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6" t="n">
        <v>409</v>
      </c>
      <c r="U3142" s="16" t="n">
        <v>32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6" t="n">
        <v>0</v>
      </c>
      <c r="U3145" s="16" t="n">
        <v>42</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6" t="n">
        <v>0</v>
      </c>
      <c r="U3146" s="16" t="n">
        <v>42</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6" t="n">
        <v>0</v>
      </c>
      <c r="U3147" s="16" t="n">
        <v>42</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6" t="n">
        <v>0</v>
      </c>
      <c r="U3148" s="16" t="n">
        <v>42</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6" t="n">
        <v>0</v>
      </c>
      <c r="U3149" s="16" t="n">
        <v>42</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6" t="n">
        <v>0</v>
      </c>
      <c r="U3150" s="16" t="n">
        <v>42</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6" t="n">
        <v>0</v>
      </c>
      <c r="U3151" s="16" t="n">
        <v>42</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6" t="n">
        <v>0</v>
      </c>
      <c r="U3152" s="16" t="n">
        <v>42</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6" t="n">
        <v>0</v>
      </c>
      <c r="U3153" s="16" t="n">
        <v>42</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6" t="n">
        <v>0</v>
      </c>
      <c r="U3154" s="16" t="n">
        <v>42</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6" t="n">
        <v>0</v>
      </c>
      <c r="U3155" s="16" t="n">
        <v>42</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6" t="n">
        <v>0</v>
      </c>
      <c r="U3156" s="16" t="n">
        <v>42</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6" t="n">
        <v>0</v>
      </c>
      <c r="U3157" s="16" t="n">
        <v>42</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6" t="n">
        <v>0</v>
      </c>
      <c r="U3158" s="16" t="n">
        <v>42</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6" t="n">
        <v>0</v>
      </c>
      <c r="U3159" s="16" t="n">
        <v>42</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6" t="n">
        <v>0</v>
      </c>
      <c r="U3160" s="16" t="n">
        <v>42</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6" t="n">
        <v>0</v>
      </c>
      <c r="U3161" s="16" t="n">
        <v>42</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6" t="n">
        <v>0</v>
      </c>
      <c r="U3162" s="16" t="n">
        <v>42</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6" t="n">
        <v>0</v>
      </c>
      <c r="U3163" s="16" t="n">
        <v>42</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6" t="n">
        <v>0</v>
      </c>
      <c r="U3164" s="16" t="n">
        <v>42</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6" t="n">
        <v>0</v>
      </c>
      <c r="U3165" s="16" t="n">
        <v>42</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6" t="n">
        <v>0</v>
      </c>
      <c r="U3166" s="16" t="n">
        <v>42</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6" t="n">
        <v>0</v>
      </c>
      <c r="U3167" s="16" t="n">
        <v>42</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6" t="n">
        <v>0</v>
      </c>
      <c r="U3168" s="16" t="n">
        <v>42</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6" t="n">
        <v>0</v>
      </c>
      <c r="U3169" s="16" t="n">
        <v>42</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6" t="n">
        <v>0</v>
      </c>
      <c r="U3170" s="16" t="n">
        <v>42</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6" t="n">
        <v>0</v>
      </c>
      <c r="U3171" s="16" t="n">
        <v>42</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6" t="n">
        <v>0</v>
      </c>
      <c r="U3172" s="16" t="n">
        <v>42</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6" t="n">
        <v>206</v>
      </c>
      <c r="U3173" s="16" t="n">
        <v>51</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6" t="n">
        <v>206</v>
      </c>
      <c r="U3174" s="16" t="n">
        <v>51</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6" t="n">
        <v>5</v>
      </c>
      <c r="U3175" s="16" t="n">
        <v>87</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6" t="n">
        <v>5</v>
      </c>
      <c r="U3176" s="16" t="n">
        <v>87</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6" t="n">
        <v>5</v>
      </c>
      <c r="U3177" s="16" t="n">
        <v>87</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6" t="n">
        <v>5</v>
      </c>
      <c r="U3178" s="16" t="n">
        <v>87</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6" t="n">
        <v>5</v>
      </c>
      <c r="U3179" s="16" t="n">
        <v>87</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6" t="n">
        <v>5</v>
      </c>
      <c r="U3180" s="16" t="n">
        <v>87</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6" t="n">
        <v>291</v>
      </c>
      <c r="U3181" s="16" t="n">
        <v>36</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6" t="n">
        <v>291</v>
      </c>
      <c r="U3182" s="16" t="n">
        <v>36</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6" t="n">
        <v>291</v>
      </c>
      <c r="U3183" s="16" t="n">
        <v>36</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6" t="n">
        <v>291</v>
      </c>
      <c r="U3184" s="16" t="n">
        <v>36</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6" t="n">
        <v>291</v>
      </c>
      <c r="U3185" s="16" t="n">
        <v>36</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6" t="n">
        <v>291</v>
      </c>
      <c r="U3186" s="16" t="n">
        <v>36</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6" t="n">
        <v>291</v>
      </c>
      <c r="U3187" s="16" t="n">
        <v>36</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6" t="n">
        <v>291</v>
      </c>
      <c r="U3188" s="16" t="n">
        <v>36</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6" t="n">
        <v>291</v>
      </c>
      <c r="U3189" s="16" t="n">
        <v>36</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6" t="n">
        <v>291</v>
      </c>
      <c r="U3190" s="16" t="n">
        <v>36</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6" t="n">
        <v>305</v>
      </c>
      <c r="U3191" s="16" t="n">
        <v>160</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6" t="n">
        <v>305</v>
      </c>
      <c r="U3192" s="16" t="n">
        <v>160</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6" t="n">
        <v>305</v>
      </c>
      <c r="U3193" s="16" t="n">
        <v>160</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6" t="n">
        <v>305</v>
      </c>
      <c r="U3194" s="16" t="n">
        <v>160</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6" t="n">
        <v>305</v>
      </c>
      <c r="U3195" s="16" t="n">
        <v>160</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6" t="n">
        <v>305</v>
      </c>
      <c r="U3196" s="16" t="n">
        <v>160</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6" t="n">
        <v>305</v>
      </c>
      <c r="U3197" s="16" t="n">
        <v>160</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6" t="n">
        <v>305</v>
      </c>
      <c r="U3198" s="16" t="n">
        <v>160</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6" t="n">
        <v>305</v>
      </c>
      <c r="U3199" s="16" t="n">
        <v>160</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6" t="n">
        <v>305</v>
      </c>
      <c r="U3200" s="16" t="n">
        <v>160</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6" t="n">
        <v>305</v>
      </c>
      <c r="U3201" s="16" t="n">
        <v>160</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305</v>
      </c>
      <c r="U3202" s="16" t="n">
        <v>160</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305</v>
      </c>
      <c r="U3203" s="16" t="n">
        <v>160</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305</v>
      </c>
      <c r="U3204" s="16" t="n">
        <v>160</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305</v>
      </c>
      <c r="U3205" s="16" t="n">
        <v>160</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6" t="n">
        <v>303</v>
      </c>
      <c r="U3206" s="16" t="n">
        <v>34</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6" t="n">
        <v>303</v>
      </c>
      <c r="U3207" s="16" t="n">
        <v>34</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6" t="n">
        <v>303</v>
      </c>
      <c r="U3208" s="16" t="n">
        <v>34</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6" t="n">
        <v>303</v>
      </c>
      <c r="U3209" s="16" t="n">
        <v>34</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6" t="n">
        <v>515</v>
      </c>
      <c r="U3210" s="16" t="n">
        <v>164</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6" t="n">
        <v>515</v>
      </c>
      <c r="U3211" s="16" t="n">
        <v>164</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6" t="n">
        <v>415</v>
      </c>
      <c r="U3212" s="16" t="n">
        <v>122</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6" t="n">
        <v>415</v>
      </c>
      <c r="U3213" s="16" t="n">
        <v>122</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6" t="n">
        <v>195</v>
      </c>
      <c r="U3214" s="16" t="n">
        <v>164</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6" t="n">
        <v>195</v>
      </c>
      <c r="U3215" s="16" t="n">
        <v>164</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6" t="n">
        <v>1436</v>
      </c>
      <c r="U3216" s="16" t="n">
        <v>124</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6" t="n">
        <v>1436</v>
      </c>
      <c r="U3217" s="16" t="n">
        <v>124</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6" t="n">
        <v>1280</v>
      </c>
      <c r="U3218" s="16" t="n">
        <v>120</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6" t="n">
        <v>1280</v>
      </c>
      <c r="U3219" s="16" t="n">
        <v>120</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6" t="n">
        <v>1116</v>
      </c>
      <c r="U3220" s="16" t="n">
        <v>124</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6" t="n">
        <v>1116</v>
      </c>
      <c r="U3221" s="16" t="n">
        <v>124</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50</v>
      </c>
      <c r="U3222" s="16" t="n">
        <v>37</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50</v>
      </c>
      <c r="U3223" s="16" t="n">
        <v>37</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50</v>
      </c>
      <c r="U3224" s="16" t="n">
        <v>37</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50</v>
      </c>
      <c r="U3225" s="16" t="n">
        <v>37</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6" t="n">
        <v>83</v>
      </c>
      <c r="U3226" s="16" t="n">
        <v>42</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6" t="n">
        <v>83</v>
      </c>
      <c r="U3227" s="16" t="n">
        <v>42</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6" t="n">
        <v>83</v>
      </c>
      <c r="U3228" s="16" t="n">
        <v>42</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6" t="n">
        <v>83</v>
      </c>
      <c r="U3229" s="16" t="n">
        <v>42</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6" t="n">
        <v>45</v>
      </c>
      <c r="U3230" s="16" t="n">
        <v>47</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6" t="n">
        <v>45</v>
      </c>
      <c r="U3231" s="16" t="n">
        <v>47</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6" t="n">
        <v>45</v>
      </c>
      <c r="U3232" s="16" t="n">
        <v>47</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6" t="n">
        <v>45</v>
      </c>
      <c r="U3233" s="16" t="n">
        <v>47</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6" t="n">
        <v>45</v>
      </c>
      <c r="U3234" s="16" t="n">
        <v>57</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6" t="n">
        <v>45</v>
      </c>
      <c r="U3235" s="16" t="n">
        <v>57</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6" t="n">
        <v>146</v>
      </c>
      <c r="U3236" s="16" t="n">
        <v>36</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6" t="n">
        <v>146</v>
      </c>
      <c r="U3237" s="16" t="n">
        <v>36</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6" t="n">
        <v>146</v>
      </c>
      <c r="U3238" s="16" t="n">
        <v>36</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6" t="n">
        <v>146</v>
      </c>
      <c r="U3239" s="16" t="n">
        <v>36</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6" t="n">
        <v>146</v>
      </c>
      <c r="U3240" s="16" t="n">
        <v>36</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6" t="n">
        <v>146</v>
      </c>
      <c r="U3241" s="16" t="n">
        <v>36</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6" t="n">
        <v>146</v>
      </c>
      <c r="U3242" s="16" t="n">
        <v>36</v>
      </c>
      <c r="V3242" s="16">
        <f>ROUNDUP((T3242+U3242+2*'Read Me'!$B$13)*(1+'Read Me'!$B$12),-1)</f>
        <v/>
      </c>
      <c r="W3242" s="16">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6" t="n">
        <v>146</v>
      </c>
      <c r="U3243" s="16" t="n">
        <v>36</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6" t="n">
        <v>146</v>
      </c>
      <c r="U3244" s="16" t="n">
        <v>36</v>
      </c>
      <c r="V3244" s="16">
        <f>ROUNDUP((T3244+U3244+2*'Read Me'!$B$13)*(1+'Read Me'!$B$12),-1)</f>
        <v/>
      </c>
      <c r="W3244" s="16">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6" t="n">
        <v>146</v>
      </c>
      <c r="U3245" s="16" t="n">
        <v>36</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6" t="n">
        <v>146</v>
      </c>
      <c r="U3246" s="16" t="n">
        <v>36</v>
      </c>
      <c r="V3246" s="16">
        <f>ROUNDUP((T3246+U3246+2*'Read Me'!$B$13)*(1+'Read Me'!$B$12),-1)</f>
        <v/>
      </c>
      <c r="W3246" s="16">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6" t="n">
        <v>146</v>
      </c>
      <c r="U3247" s="16" t="n">
        <v>36</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6" t="n">
        <v>196</v>
      </c>
      <c r="U3248" s="16" t="n">
        <v>36</v>
      </c>
      <c r="V3248" s="16">
        <f>ROUNDUP((T3248+U3248+2*'Read Me'!$B$13)*(1+'Read Me'!$B$12),-1)</f>
        <v/>
      </c>
      <c r="W3248" s="16">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6" t="n">
        <v>196</v>
      </c>
      <c r="U3249" s="16" t="n">
        <v>36</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6" t="n">
        <v>196</v>
      </c>
      <c r="U3250" s="16" t="n">
        <v>36</v>
      </c>
      <c r="V3250" s="16">
        <f>ROUNDUP((T3250+U3250+2*'Read Me'!$B$13)*(1+'Read Me'!$B$12),-1)</f>
        <v/>
      </c>
      <c r="W3250" s="16">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6" t="n">
        <v>196</v>
      </c>
      <c r="U3251" s="16" t="n">
        <v>36</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6" t="n">
        <v>196</v>
      </c>
      <c r="U3252" s="16" t="n">
        <v>36</v>
      </c>
      <c r="V3252" s="16">
        <f>ROUNDUP((T3252+U3252+2*'Read Me'!$B$13)*(1+'Read Me'!$B$12),-1)</f>
        <v/>
      </c>
      <c r="W3252" s="16">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6" t="n">
        <v>196</v>
      </c>
      <c r="U3253" s="16" t="n">
        <v>36</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6" t="n">
        <v>250</v>
      </c>
      <c r="U3254" s="16" t="n">
        <v>37</v>
      </c>
      <c r="V3254" s="16">
        <f>ROUNDUP((T3254+U3254+2*'Read Me'!$B$13)*(1+'Read Me'!$B$12),-1)</f>
        <v/>
      </c>
      <c r="W3254" s="16">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6" t="n">
        <v>250</v>
      </c>
      <c r="U3255" s="16" t="n">
        <v>37</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6" t="n">
        <v>250</v>
      </c>
      <c r="U3256" s="16" t="n">
        <v>37</v>
      </c>
      <c r="V3256" s="16">
        <f>ROUNDUP((T3256+U3256+2*'Read Me'!$B$13)*(1+'Read Me'!$B$12),-1)</f>
        <v/>
      </c>
      <c r="W3256" s="16">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6" t="n">
        <v>250</v>
      </c>
      <c r="U3257" s="16" t="n">
        <v>37</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6" t="n">
        <v>465</v>
      </c>
      <c r="U3258" s="16" t="n">
        <v>96</v>
      </c>
      <c r="V3258" s="16">
        <f>ROUNDUP((T3258+U3258+2*'Read Me'!$B$13)*(1+'Read Me'!$B$12),-1)</f>
        <v/>
      </c>
      <c r="W3258" s="16">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6" t="n">
        <v>465</v>
      </c>
      <c r="U3259" s="16" t="n">
        <v>96</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6" t="n">
        <v>305</v>
      </c>
      <c r="U3260" s="16" t="n">
        <v>96</v>
      </c>
      <c r="V3260" s="16">
        <f>ROUNDUP((T3260+U3260+2*'Read Me'!$B$13)*(1+'Read Me'!$B$12),-1)</f>
        <v/>
      </c>
      <c r="W3260" s="16">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6" t="n">
        <v>305</v>
      </c>
      <c r="U3261" s="16" t="n">
        <v>96</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6" t="n">
        <v>145</v>
      </c>
      <c r="U3262" s="16" t="n">
        <v>96</v>
      </c>
      <c r="V3262" s="16">
        <f>ROUNDUP((T3262+U3262+2*'Read Me'!$B$13)*(1+'Read Me'!$B$12),-1)</f>
        <v/>
      </c>
      <c r="W3262" s="16">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6" t="n">
        <v>145</v>
      </c>
      <c r="U3263" s="16" t="n">
        <v>96</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6" t="n">
        <v>2379</v>
      </c>
      <c r="U3264" s="16" t="n">
        <v>333</v>
      </c>
      <c r="V3264" s="16">
        <f>ROUNDUP((T3264+U3264+2*'Read Me'!$B$13)*(1+'Read Me'!$B$12),-1)</f>
        <v/>
      </c>
      <c r="W3264" s="16">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6" t="n">
        <v>2585</v>
      </c>
      <c r="U3265" s="16" t="n">
        <v>264</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6" t="n">
        <v>3200</v>
      </c>
      <c r="U3266" s="16" t="n">
        <v>264</v>
      </c>
      <c r="V3266" s="16">
        <f>ROUNDUP((T3266+U3266+2*'Read Me'!$B$13)*(1+'Read Me'!$B$12),-1)</f>
        <v/>
      </c>
      <c r="W3266" s="16">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6" t="n">
        <v>0</v>
      </c>
      <c r="U3267" s="16" t="n">
        <v>170</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6" t="n">
        <v>206</v>
      </c>
      <c r="U3268" s="16" t="n">
        <v>101</v>
      </c>
      <c r="V3268" s="16">
        <f>ROUNDUP((T3268+U3268+2*'Read Me'!$B$13)*(1+'Read Me'!$B$12),-1)</f>
        <v/>
      </c>
      <c r="W3268" s="16">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6" t="n">
        <v>821</v>
      </c>
      <c r="U3269" s="16" t="n">
        <v>101</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6" t="n">
        <v>939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6" t="n">
        <v>939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212</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6" t="n">
        <v>939</v>
      </c>
      <c r="U3275" s="16" t="n">
        <v>149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212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6" t="n">
        <v>939</v>
      </c>
      <c r="U3277" s="16" t="n">
        <v>149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6" t="n">
        <v>939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6" t="n">
        <v>55</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6" t="n">
        <v>921</v>
      </c>
      <c r="U3281" s="16" t="n">
        <v>150</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6" t="n">
        <v>55</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6" t="n">
        <v>921</v>
      </c>
      <c r="U3283" s="16" t="n">
        <v>150</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6" t="n">
        <v>212</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6" t="n">
        <v>779</v>
      </c>
      <c r="U3285" s="16" t="n">
        <v>149</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212</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6" t="n">
        <v>779</v>
      </c>
      <c r="U3287" s="16" t="n">
        <v>149</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6" t="n">
        <v>212</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6" t="n">
        <v>779</v>
      </c>
      <c r="U3289" s="16" t="n">
        <v>149</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6" t="n">
        <v>212</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6" t="n">
        <v>779</v>
      </c>
      <c r="U3291" s="16" t="n">
        <v>149</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212</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6" t="n">
        <v>779</v>
      </c>
      <c r="U3293" s="16" t="n">
        <v>149</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6" t="n">
        <v>55</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761</v>
      </c>
      <c r="U3295" s="16" t="n">
        <v>150</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6" t="n">
        <v>55</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761</v>
      </c>
      <c r="U3297" s="16" t="n">
        <v>150</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212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619</v>
      </c>
      <c r="U3299" s="16" t="n">
        <v>149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212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619</v>
      </c>
      <c r="U3301" s="16" t="n">
        <v>149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6" t="n">
        <v>212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619</v>
      </c>
      <c r="U3303" s="16" t="n">
        <v>149</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6" t="n">
        <v>212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6" t="n">
        <v>619</v>
      </c>
      <c r="U3305" s="16" t="n">
        <v>149</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212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619</v>
      </c>
      <c r="U3307" s="16" t="n">
        <v>149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6" t="n">
        <v>55</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601</v>
      </c>
      <c r="U3309" s="16" t="n">
        <v>150</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6" t="n">
        <v>55</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601</v>
      </c>
      <c r="U3311" s="16" t="n">
        <v>150</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6" t="n">
        <v>91</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185</v>
      </c>
      <c r="U3313" s="16" t="n">
        <v>112</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6" t="n">
        <v>91</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185</v>
      </c>
      <c r="U3315" s="16" t="n">
        <v>112</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861</v>
      </c>
      <c r="U3317" s="16" t="n">
        <v>101</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861</v>
      </c>
      <c r="U3319" s="16" t="n">
        <v>101</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861</v>
      </c>
      <c r="U3321" s="16" t="n">
        <v>101</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6" t="n">
        <v>861</v>
      </c>
      <c r="U3323" s="16" t="n">
        <v>101</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6" t="n">
        <v>861</v>
      </c>
      <c r="U3325" s="16" t="n">
        <v>101</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82</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701</v>
      </c>
      <c r="U3327" s="16" t="n">
        <v>101</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6" t="n">
        <v>82</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701</v>
      </c>
      <c r="U3329" s="16" t="n">
        <v>101</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82</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701</v>
      </c>
      <c r="U3331" s="16" t="n">
        <v>101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6" t="n">
        <v>82</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6" t="n">
        <v>701</v>
      </c>
      <c r="U3333" s="16" t="n">
        <v>101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6" t="n">
        <v>82</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6" t="n">
        <v>701</v>
      </c>
      <c r="U3335" s="16" t="n">
        <v>101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82</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385</v>
      </c>
      <c r="U3337" s="16" t="n">
        <v>219</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6" t="n">
        <v>82</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385</v>
      </c>
      <c r="U3339" s="16" t="n">
        <v>219</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6" t="n">
        <v>82</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385</v>
      </c>
      <c r="U3341" s="16" t="n">
        <v>219</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6" t="n">
        <v>385</v>
      </c>
      <c r="U3343" s="16" t="n">
        <v>219</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6" t="n">
        <v>385</v>
      </c>
      <c r="U3345" s="16" t="n">
        <v>219</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6" t="n">
        <v>82</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6" t="n">
        <v>77</v>
      </c>
      <c r="U3347" s="16" t="n">
        <v>103</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6" t="n">
        <v>82</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6" t="n">
        <v>77</v>
      </c>
      <c r="U3349" s="16" t="n">
        <v>103</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6" t="n">
        <v>82</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11</v>
      </c>
      <c r="U3351" s="16" t="n">
        <v>101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6" t="n">
        <v>82</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6" t="n">
        <v>11</v>
      </c>
      <c r="U3353" s="16" t="n">
        <v>101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100</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821</v>
      </c>
      <c r="U3355" s="16" t="n">
        <v>141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100</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821</v>
      </c>
      <c r="U3357" s="16" t="n">
        <v>141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250</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911</v>
      </c>
      <c r="U3359" s="16" t="n">
        <v>111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6" t="n">
        <v>250</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911</v>
      </c>
      <c r="U3361" s="16" t="n">
        <v>111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250</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911</v>
      </c>
      <c r="U3363" s="16" t="n">
        <v>111</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250</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911</v>
      </c>
      <c r="U3365" s="16" t="n">
        <v>111</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250</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911</v>
      </c>
      <c r="U3367" s="16" t="n">
        <v>111</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6" t="n">
        <v>72</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6" t="n">
        <v>0</v>
      </c>
      <c r="U3369" s="16" t="n">
        <v>120</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6" t="n">
        <v>72</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6" t="n">
        <v>0</v>
      </c>
      <c r="U3371" s="16" t="n">
        <v>120</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6" t="n">
        <v>140</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656</v>
      </c>
      <c r="U3373" s="16" t="n">
        <v>121</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6" t="n">
        <v>140</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656</v>
      </c>
      <c r="U3375" s="16" t="n">
        <v>121</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159</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183</v>
      </c>
      <c r="U3383" s="16" t="n">
        <v>105</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6" t="n">
        <v>159</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183</v>
      </c>
      <c r="U3385" s="16" t="n">
        <v>105</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159</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183</v>
      </c>
      <c r="U3387" s="16" t="n">
        <v>105</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6" t="n">
        <v>159</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183</v>
      </c>
      <c r="U3389" s="16" t="n">
        <v>105</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6" t="n">
        <v>159</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183</v>
      </c>
      <c r="U3391" s="16" t="n">
        <v>105</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159</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183</v>
      </c>
      <c r="U3393" s="16" t="n">
        <v>105</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159</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183</v>
      </c>
      <c r="U3395" s="16" t="n">
        <v>105</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159</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183</v>
      </c>
      <c r="U3397" s="16" t="n">
        <v>105</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6" t="n">
        <v>159</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183</v>
      </c>
      <c r="U3399" s="16" t="n">
        <v>105</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6" t="n">
        <v>159</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183</v>
      </c>
      <c r="U3401" s="16" t="n">
        <v>105</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6" t="n">
        <v>159</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6" t="n">
        <v>183</v>
      </c>
      <c r="U3403" s="16" t="n">
        <v>105</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6" t="n">
        <v>159</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6" t="n">
        <v>183</v>
      </c>
      <c r="U3405" s="16" t="n">
        <v>105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6" t="n">
        <v>159</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6" t="n">
        <v>183</v>
      </c>
      <c r="U3407" s="16" t="n">
        <v>105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6" t="n">
        <v>159</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6" t="n">
        <v>183</v>
      </c>
      <c r="U3409" s="16" t="n">
        <v>105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6" t="n">
        <v>81</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197</v>
      </c>
      <c r="U3411" s="16" t="n">
        <v>229</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81</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197</v>
      </c>
      <c r="U3413" s="16" t="n">
        <v>229</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6" t="n">
        <v>81</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197</v>
      </c>
      <c r="U3415" s="16" t="n">
        <v>229</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6" t="n">
        <v>81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197</v>
      </c>
      <c r="U3417" s="16" t="n">
        <v>229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6" t="n">
        <v>100</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6" t="n">
        <v>144</v>
      </c>
      <c r="U3419" s="16" t="n">
        <v>154</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6" t="n">
        <v>100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6" t="n">
        <v>144</v>
      </c>
      <c r="U3421" s="16" t="n">
        <v>154</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6" t="n">
        <v>100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6" t="n">
        <v>144</v>
      </c>
      <c r="U3423" s="16" t="n">
        <v>154</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6" t="n">
        <v>100</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6" t="n">
        <v>144</v>
      </c>
      <c r="U3425" s="16" t="n">
        <v>154</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6" t="n">
        <v>100</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6" t="n">
        <v>144</v>
      </c>
      <c r="U3427" s="16" t="n">
        <v>154</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6" t="n">
        <v>100</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6" t="n">
        <v>144</v>
      </c>
      <c r="U3429" s="16" t="n">
        <v>154</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6" t="n">
        <v>100</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6" t="n">
        <v>144</v>
      </c>
      <c r="U3431" s="16" t="n">
        <v>154</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6" t="n">
        <v>60</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6" t="n">
        <v>884</v>
      </c>
      <c r="U3433" s="16" t="n">
        <v>233</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6" t="n">
        <v>60</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6" t="n">
        <v>884</v>
      </c>
      <c r="U3435" s="16" t="n">
        <v>233</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6" t="n">
        <v>121</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6" t="n">
        <v>861</v>
      </c>
      <c r="U3437" s="16" t="n">
        <v>129</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6" t="n">
        <v>121</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861</v>
      </c>
      <c r="U3439" s="16" t="n">
        <v>129</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6" t="n">
        <v>60</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6" t="n">
        <v>784</v>
      </c>
      <c r="U3441" s="16" t="n">
        <v>191</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60</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6" t="n">
        <v>784</v>
      </c>
      <c r="U3443" s="16" t="n">
        <v>191</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6" t="n">
        <v>121</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701</v>
      </c>
      <c r="U3445" s="16" t="n">
        <v>129</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6" t="n">
        <v>121</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701</v>
      </c>
      <c r="U3447" s="16" t="n">
        <v>129</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6" t="n">
        <v>60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564</v>
      </c>
      <c r="U3449" s="16" t="n">
        <v>233</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60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564</v>
      </c>
      <c r="U3451" s="16" t="n">
        <v>233</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6" t="n">
        <v>121</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541</v>
      </c>
      <c r="U3453" s="16" t="n">
        <v>129</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121</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541</v>
      </c>
      <c r="U3455" s="16" t="n">
        <v>129</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6" t="n">
        <v>74</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6" t="n">
        <v>1230</v>
      </c>
      <c r="U3457" s="16" t="n">
        <v>193</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6" t="n">
        <v>74</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6" t="n">
        <v>1230</v>
      </c>
      <c r="U3459" s="16" t="n">
        <v>193</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6" t="n">
        <v>74</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1074</v>
      </c>
      <c r="U3461" s="16" t="n">
        <v>189</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6" t="n">
        <v>74</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1074</v>
      </c>
      <c r="U3463" s="16" t="n">
        <v>189</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6" t="n">
        <v>74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6" t="n">
        <v>910</v>
      </c>
      <c r="U3465" s="16" t="n">
        <v>193</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6" t="n">
        <v>74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910</v>
      </c>
      <c r="U3467" s="16" t="n">
        <v>193</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6" t="n">
        <v>80</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6" t="n">
        <v>266</v>
      </c>
      <c r="U3469" s="16" t="n">
        <v>111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6" t="n">
        <v>80</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6" t="n">
        <v>266</v>
      </c>
      <c r="U3471" s="16" t="n">
        <v>111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6" t="n">
        <v>80</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216</v>
      </c>
      <c r="U3473" s="16" t="n">
        <v>111</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6" t="n">
        <v>80</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216</v>
      </c>
      <c r="U3475" s="16" t="n">
        <v>111</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6" t="n">
        <v>80</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6" t="n">
        <v>161</v>
      </c>
      <c r="U3477" s="16" t="n">
        <v>116</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6" t="n">
        <v>80</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6" t="n">
        <v>161</v>
      </c>
      <c r="U3479" s="16" t="n">
        <v>116</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6" t="n">
        <v>82</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130</v>
      </c>
      <c r="U3481" s="16" t="n">
        <v>102</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6" t="n">
        <v>82</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130</v>
      </c>
      <c r="U3483" s="16" t="n">
        <v>102</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6" t="n">
        <v>84</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6" t="n">
        <v>834</v>
      </c>
      <c r="U3485" s="16" t="n">
        <v>181</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6" t="n">
        <v>84</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6" t="n">
        <v>834</v>
      </c>
      <c r="U3487" s="16" t="n">
        <v>181</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6" t="n">
        <v>84</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6" t="n">
        <v>834</v>
      </c>
      <c r="U3489" s="16" t="n">
        <v>181</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6" t="n">
        <v>84</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6" t="n">
        <v>834</v>
      </c>
      <c r="U3491" s="16" t="n">
        <v>181</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6" t="n">
        <v>84</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674</v>
      </c>
      <c r="U3493" s="16" t="n">
        <v>181</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6" t="n">
        <v>84</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674</v>
      </c>
      <c r="U3495" s="16" t="n">
        <v>181</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6" t="n">
        <v>84</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6" t="n">
        <v>674</v>
      </c>
      <c r="U3497" s="16" t="n">
        <v>181</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6" t="n">
        <v>84</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6" t="n">
        <v>674</v>
      </c>
      <c r="U3499" s="16" t="n">
        <v>181</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84</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299</v>
      </c>
      <c r="U3501" s="16" t="n">
        <v>138</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6" t="n">
        <v>84</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299</v>
      </c>
      <c r="U3503" s="16" t="n">
        <v>138</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6" t="n">
        <v>84</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6" t="n">
        <v>299</v>
      </c>
      <c r="U3505" s="16" t="n">
        <v>138</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6" t="n">
        <v>84</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6" t="n">
        <v>299</v>
      </c>
      <c r="U3507" s="16" t="n">
        <v>138</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329</v>
      </c>
      <c r="U3509" s="16" t="n">
        <v>106</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6" t="n">
        <v>153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329</v>
      </c>
      <c r="U3511" s="16" t="n">
        <v>106</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153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329</v>
      </c>
      <c r="U3513" s="16" t="n">
        <v>106</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6" t="n">
        <v>153</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6" t="n">
        <v>329</v>
      </c>
      <c r="U3515" s="16" t="n">
        <v>106</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6" t="n">
        <v>153</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6" t="n">
        <v>329</v>
      </c>
      <c r="U3517" s="16" t="n">
        <v>106</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6" t="n">
        <v>153</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279</v>
      </c>
      <c r="U3519" s="16" t="n">
        <v>106</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6" t="n">
        <v>153</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279</v>
      </c>
      <c r="U3521" s="16" t="n">
        <v>106</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6" t="n">
        <v>153</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6" t="n">
        <v>279</v>
      </c>
      <c r="U3523" s="16" t="n">
        <v>106</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6" t="n">
        <v>153</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6" t="n">
        <v>279</v>
      </c>
      <c r="U3525" s="16" t="n">
        <v>106</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6" t="n">
        <v>153</v>
      </c>
      <c r="U3526" s="16" t="n">
        <v>10</v>
      </c>
      <c r="V3526" s="16">
        <f>ROUNDUP((T3526+U3526+2*'Read Me'!$B$13)*(1+'Read Me'!$B$12),-1)</f>
        <v/>
      </c>
      <c r="W3526" s="16">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6" t="n">
        <v>279</v>
      </c>
      <c r="U3527" s="16" t="n">
        <v>106</v>
      </c>
      <c r="V3527" s="16">
        <f>ROUNDUP((T3527+U3527+2*'Read Me'!$B$13)*(1+'Read Me'!$B$12),-1)</f>
        <v/>
      </c>
      <c r="W3527" s="16">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6" t="n">
        <v>153</v>
      </c>
      <c r="U3528" s="16" t="n">
        <v>10</v>
      </c>
      <c r="V3528" s="16">
        <f>ROUNDUP((T3528+U3528+2*'Read Me'!$B$13)*(1+'Read Me'!$B$12),-1)</f>
        <v/>
      </c>
      <c r="W3528" s="16">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6" t="n">
        <v>195</v>
      </c>
      <c r="U3529" s="16" t="n">
        <v>162</v>
      </c>
      <c r="V3529" s="16">
        <f>ROUNDUP((T3529+U3529+2*'Read Me'!$B$13)*(1+'Read Me'!$B$12),-1)</f>
        <v/>
      </c>
      <c r="W3529" s="16">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6" t="n">
        <v>153</v>
      </c>
      <c r="U3530" s="16" t="n">
        <v>10</v>
      </c>
      <c r="V3530" s="16">
        <f>ROUNDUP((T3530+U3530+2*'Read Me'!$B$13)*(1+'Read Me'!$B$12),-1)</f>
        <v/>
      </c>
      <c r="W3530" s="16">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6" t="n">
        <v>195</v>
      </c>
      <c r="U3531" s="16" t="n">
        <v>162</v>
      </c>
      <c r="V3531" s="16">
        <f>ROUNDUP((T3531+U3531+2*'Read Me'!$B$13)*(1+'Read Me'!$B$12),-1)</f>
        <v/>
      </c>
      <c r="W3531" s="16">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6" t="n">
        <v>153</v>
      </c>
      <c r="U3532" s="16" t="n">
        <v>10</v>
      </c>
      <c r="V3532" s="16">
        <f>ROUNDUP((T3532+U3532+2*'Read Me'!$B$13)*(1+'Read Me'!$B$12),-1)</f>
        <v/>
      </c>
      <c r="W3532" s="16">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6" t="n">
        <v>195</v>
      </c>
      <c r="U3533" s="16" t="n">
        <v>162</v>
      </c>
      <c r="V3533" s="16">
        <f>ROUNDUP((T3533+U3533+2*'Read Me'!$B$13)*(1+'Read Me'!$B$12),-1)</f>
        <v/>
      </c>
      <c r="W3533" s="16">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6" t="n">
        <v>153</v>
      </c>
      <c r="U3534" s="16" t="n">
        <v>10</v>
      </c>
      <c r="V3534" s="16">
        <f>ROUNDUP((T3534+U3534+2*'Read Me'!$B$13)*(1+'Read Me'!$B$12),-1)</f>
        <v/>
      </c>
      <c r="W3534" s="16">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6" t="n">
        <v>195</v>
      </c>
      <c r="U3535" s="16" t="n">
        <v>162</v>
      </c>
      <c r="V3535" s="16">
        <f>ROUNDUP((T3535+U3535+2*'Read Me'!$B$13)*(1+'Read Me'!$B$12),-1)</f>
        <v/>
      </c>
      <c r="W3535" s="16">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6" t="n">
        <v>153</v>
      </c>
      <c r="U3536" s="16" t="n">
        <v>10</v>
      </c>
      <c r="V3536" s="16">
        <f>ROUNDUP((T3536+U3536+2*'Read Me'!$B$13)*(1+'Read Me'!$B$12),-1)</f>
        <v/>
      </c>
      <c r="W3536" s="16">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6" t="n">
        <v>195</v>
      </c>
      <c r="U3537" s="16" t="n">
        <v>162</v>
      </c>
      <c r="V3537" s="16">
        <f>ROUNDUP((T3537+U3537+2*'Read Me'!$B$13)*(1+'Read Me'!$B$12),-1)</f>
        <v/>
      </c>
      <c r="W3537" s="16">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6" t="n">
        <v>113</v>
      </c>
      <c r="U3538" s="16" t="n">
        <v>10</v>
      </c>
      <c r="V3538" s="16">
        <f>ROUNDUP((T3538+U3538+2*'Read Me'!$B$13)*(1+'Read Me'!$B$12),-1)</f>
        <v/>
      </c>
      <c r="W3538" s="16">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6" t="n">
        <v>146</v>
      </c>
      <c r="U3539" s="16" t="n">
        <v>106</v>
      </c>
      <c r="V3539" s="16">
        <f>ROUNDUP((T3539+U3539+2*'Read Me'!$B$13)*(1+'Read Me'!$B$12),-1)</f>
        <v/>
      </c>
      <c r="W3539" s="16">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6" t="n">
        <v>113</v>
      </c>
      <c r="U3540" s="16" t="n">
        <v>10</v>
      </c>
      <c r="V3540" s="16">
        <f>ROUNDUP((T3540+U3540+2*'Read Me'!$B$13)*(1+'Read Me'!$B$12),-1)</f>
        <v/>
      </c>
      <c r="W3540" s="16">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6" t="n">
        <v>146</v>
      </c>
      <c r="U3541" s="16" t="n">
        <v>106</v>
      </c>
      <c r="V3541" s="16">
        <f>ROUNDUP((T3541+U3541+2*'Read Me'!$B$13)*(1+'Read Me'!$B$12),-1)</f>
        <v/>
      </c>
      <c r="W3541" s="16">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6" t="n">
        <v>66</v>
      </c>
      <c r="U3542" s="16" t="n">
        <v>10</v>
      </c>
      <c r="V3542" s="16">
        <f>ROUNDUP((T3542+U3542+2*'Read Me'!$B$13)*(1+'Read Me'!$B$12),-1)</f>
        <v/>
      </c>
      <c r="W3542" s="16">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6" t="n">
        <v>834</v>
      </c>
      <c r="U3543" s="16" t="n">
        <v>165</v>
      </c>
      <c r="V3543" s="16">
        <f>ROUNDUP((T3543+U3543+2*'Read Me'!$B$13)*(1+'Read Me'!$B$12),-1)</f>
        <v/>
      </c>
      <c r="W3543" s="16">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6" t="n">
        <v>66</v>
      </c>
      <c r="U3544" s="16" t="n">
        <v>10</v>
      </c>
      <c r="V3544" s="16">
        <f>ROUNDUP((T3544+U3544+2*'Read Me'!$B$13)*(1+'Read Me'!$B$12),-1)</f>
        <v/>
      </c>
      <c r="W3544" s="16">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6" t="n">
        <v>834</v>
      </c>
      <c r="U3545" s="16" t="n">
        <v>165</v>
      </c>
      <c r="V3545" s="16">
        <f>ROUNDUP((T3545+U3545+2*'Read Me'!$B$13)*(1+'Read Me'!$B$12),-1)</f>
        <v/>
      </c>
      <c r="W3545" s="16">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6" t="n">
        <v>66</v>
      </c>
      <c r="U3546" s="16" t="n">
        <v>10</v>
      </c>
      <c r="V3546" s="16">
        <f>ROUNDUP((T3546+U3546+2*'Read Me'!$B$13)*(1+'Read Me'!$B$12),-1)</f>
        <v/>
      </c>
      <c r="W3546" s="16">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6" t="n">
        <v>674</v>
      </c>
      <c r="U3547" s="16" t="n">
        <v>165</v>
      </c>
      <c r="V3547" s="16">
        <f>ROUNDUP((T3547+U3547+2*'Read Me'!$B$13)*(1+'Read Me'!$B$12),-1)</f>
        <v/>
      </c>
      <c r="W3547" s="16">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6" t="n">
        <v>66</v>
      </c>
      <c r="U3548" s="16" t="n">
        <v>10</v>
      </c>
      <c r="V3548" s="16">
        <f>ROUNDUP((T3548+U3548+2*'Read Me'!$B$13)*(1+'Read Me'!$B$12),-1)</f>
        <v/>
      </c>
      <c r="W3548" s="16">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6" t="n">
        <v>674</v>
      </c>
      <c r="U3549" s="16" t="n">
        <v>165</v>
      </c>
      <c r="V3549" s="16">
        <f>ROUNDUP((T3549+U3549+2*'Read Me'!$B$13)*(1+'Read Me'!$B$12),-1)</f>
        <v/>
      </c>
      <c r="W3549" s="16">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6" t="n">
        <v>66</v>
      </c>
      <c r="U3550" s="16" t="n">
        <v>10</v>
      </c>
      <c r="V3550" s="16">
        <f>ROUNDUP((T3550+U3550+2*'Read Me'!$B$13)*(1+'Read Me'!$B$12),-1)</f>
        <v/>
      </c>
      <c r="W3550" s="16">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6" t="n">
        <v>514</v>
      </c>
      <c r="U3551" s="16" t="n">
        <v>165</v>
      </c>
      <c r="V3551" s="16">
        <f>ROUNDUP((T3551+U3551+2*'Read Me'!$B$13)*(1+'Read Me'!$B$12),-1)</f>
        <v/>
      </c>
      <c r="W3551" s="16">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6" t="n">
        <v>66</v>
      </c>
      <c r="U3552" s="16" t="n">
        <v>10</v>
      </c>
      <c r="V3552" s="16">
        <f>ROUNDUP((T3552+U3552+2*'Read Me'!$B$13)*(1+'Read Me'!$B$12),-1)</f>
        <v/>
      </c>
      <c r="W3552" s="16">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6" t="n">
        <v>514</v>
      </c>
      <c r="U3553" s="16" t="n">
        <v>165</v>
      </c>
      <c r="V3553" s="16">
        <f>ROUNDUP((T3553+U3553+2*'Read Me'!$B$13)*(1+'Read Me'!$B$12),-1)</f>
        <v/>
      </c>
      <c r="W3553" s="16">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570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570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6" t="n">
        <v>570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6" t="n">
        <v>570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6" t="n">
        <v>570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6" t="n">
        <v>570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6" t="n">
        <v>570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6" t="n">
        <v>570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6" t="n">
        <v>570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6" t="n">
        <v>570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6" t="n">
        <v>570</v>
      </c>
      <c r="U3564" s="16" t="n">
        <v>80</v>
      </c>
      <c r="V3564" s="16">
        <f>ROUNDUP((T3564+U3564+2*'Read Me'!$B$13)*(1+'Read Me'!$B$12),-1)</f>
        <v/>
      </c>
      <c r="W3564" s="16">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6" t="n">
        <v>870</v>
      </c>
      <c r="U3565" s="16" t="n">
        <v>80</v>
      </c>
      <c r="V3565" s="16">
        <f>ROUNDUP((T3565+U3565+2*'Read Me'!$B$13)*(1+'Read Me'!$B$12),-1)</f>
        <v/>
      </c>
      <c r="W3565" s="16">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6" t="n">
        <v>870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6" t="n">
        <v>870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6" t="n">
        <v>570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6" t="n">
        <v>570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6" t="n">
        <v>570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6" t="n">
        <v>570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6" t="n">
        <v>552</v>
      </c>
      <c r="U3572" s="16" t="n">
        <v>81</v>
      </c>
      <c r="V3572" s="16">
        <f>ROUNDUP((T3572+U3572+2*'Read Me'!$B$13)*(1+'Read Me'!$B$12),-1)</f>
        <v/>
      </c>
      <c r="W3572" s="16">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6" t="n">
        <v>552</v>
      </c>
      <c r="U3573" s="16" t="n">
        <v>81</v>
      </c>
      <c r="V3573" s="16">
        <f>ROUNDUP((T3573+U3573+2*'Read Me'!$B$13)*(1+'Read Me'!$B$12),-1)</f>
        <v/>
      </c>
      <c r="W3573" s="16">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410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410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6" t="n">
        <v>410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6" t="n">
        <v>410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6" t="n">
        <v>410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6" t="n">
        <v>410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6" t="n">
        <v>410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6" t="n">
        <v>410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6" t="n">
        <v>410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6" t="n">
        <v>410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6" t="n">
        <v>410</v>
      </c>
      <c r="U3584" s="16" t="n">
        <v>80</v>
      </c>
      <c r="V3584" s="16">
        <f>ROUNDUP((T3584+U3584+2*'Read Me'!$B$13)*(1+'Read Me'!$B$12),-1)</f>
        <v/>
      </c>
      <c r="W3584" s="16">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6" t="n">
        <v>710</v>
      </c>
      <c r="U3585" s="16" t="n">
        <v>80</v>
      </c>
      <c r="V3585" s="16">
        <f>ROUNDUP((T3585+U3585+2*'Read Me'!$B$13)*(1+'Read Me'!$B$12),-1)</f>
        <v/>
      </c>
      <c r="W3585" s="16">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6" t="n">
        <v>710</v>
      </c>
      <c r="U3586" s="16" t="n">
        <v>80</v>
      </c>
      <c r="V3586" s="16">
        <f>ROUNDUP((T3586+U3586+2*'Read Me'!$B$13)*(1+'Read Me'!$B$12),-1)</f>
        <v/>
      </c>
      <c r="W3586" s="16">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6" t="n">
        <v>710</v>
      </c>
      <c r="U3587" s="16" t="n">
        <v>80</v>
      </c>
      <c r="V3587" s="16">
        <f>ROUNDUP((T3587+U3587+2*'Read Me'!$B$13)*(1+'Read Me'!$B$12),-1)</f>
        <v/>
      </c>
      <c r="W3587" s="16">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6" t="n">
        <v>410</v>
      </c>
      <c r="U3588" s="16" t="n">
        <v>80</v>
      </c>
      <c r="V3588" s="16">
        <f>ROUNDUP((T3588+U3588+2*'Read Me'!$B$13)*(1+'Read Me'!$B$12),-1)</f>
        <v/>
      </c>
      <c r="W3588" s="16">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6" t="n">
        <v>410</v>
      </c>
      <c r="U3589" s="16" t="n">
        <v>80</v>
      </c>
      <c r="V3589" s="16">
        <f>ROUNDUP((T3589+U3589+2*'Read Me'!$B$13)*(1+'Read Me'!$B$12),-1)</f>
        <v/>
      </c>
      <c r="W3589" s="16">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6" t="n">
        <v>410</v>
      </c>
      <c r="U3590" s="16" t="n">
        <v>80</v>
      </c>
      <c r="V3590" s="16">
        <f>ROUNDUP((T3590+U3590+2*'Read Me'!$B$13)*(1+'Read Me'!$B$12),-1)</f>
        <v/>
      </c>
      <c r="W3590" s="16">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6" t="n">
        <v>410</v>
      </c>
      <c r="U3591" s="16" t="n">
        <v>80</v>
      </c>
      <c r="V3591" s="16">
        <f>ROUNDUP((T3591+U3591+2*'Read Me'!$B$13)*(1+'Read Me'!$B$12),-1)</f>
        <v/>
      </c>
      <c r="W3591" s="16">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6" t="n">
        <v>392</v>
      </c>
      <c r="U3592" s="16" t="n">
        <v>81</v>
      </c>
      <c r="V3592" s="16">
        <f>ROUNDUP((T3592+U3592+2*'Read Me'!$B$13)*(1+'Read Me'!$B$12),-1)</f>
        <v/>
      </c>
      <c r="W3592" s="16">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6" t="n">
        <v>392</v>
      </c>
      <c r="U3593" s="16" t="n">
        <v>81</v>
      </c>
      <c r="V3593" s="16">
        <f>ROUNDUP((T3593+U3593+2*'Read Me'!$B$13)*(1+'Read Me'!$B$12),-1)</f>
        <v/>
      </c>
      <c r="W3593" s="16">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6" t="n">
        <v>250</v>
      </c>
      <c r="U3594" s="16" t="n">
        <v>80</v>
      </c>
      <c r="V3594" s="16">
        <f>ROUNDUP((T3594+U3594+2*'Read Me'!$B$13)*(1+'Read Me'!$B$12),-1)</f>
        <v/>
      </c>
      <c r="W3594" s="16">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6" t="n">
        <v>250</v>
      </c>
      <c r="U3595" s="16" t="n">
        <v>80</v>
      </c>
      <c r="V3595" s="16">
        <f>ROUNDUP((T3595+U3595+2*'Read Me'!$B$13)*(1+'Read Me'!$B$12),-1)</f>
        <v/>
      </c>
      <c r="W3595" s="16">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6" t="n">
        <v>250</v>
      </c>
      <c r="U3596" s="16" t="n">
        <v>80</v>
      </c>
      <c r="V3596" s="16">
        <f>ROUNDUP((T3596+U3596+2*'Read Me'!$B$13)*(1+'Read Me'!$B$12),-1)</f>
        <v/>
      </c>
      <c r="W3596" s="16">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6" t="n">
        <v>250</v>
      </c>
      <c r="U3597" s="16" t="n">
        <v>80</v>
      </c>
      <c r="V3597" s="16">
        <f>ROUNDUP((T3597+U3597+2*'Read Me'!$B$13)*(1+'Read Me'!$B$12),-1)</f>
        <v/>
      </c>
      <c r="W3597" s="16">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6" t="n">
        <v>250</v>
      </c>
      <c r="U3598" s="16" t="n">
        <v>80</v>
      </c>
      <c r="V3598" s="16">
        <f>ROUNDUP((T3598+U3598+2*'Read Me'!$B$13)*(1+'Read Me'!$B$12),-1)</f>
        <v/>
      </c>
      <c r="W3598" s="16">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6" t="n">
        <v>250</v>
      </c>
      <c r="U3599" s="16" t="n">
        <v>80</v>
      </c>
      <c r="V3599" s="16">
        <f>ROUNDUP((T3599+U3599+2*'Read Me'!$B$13)*(1+'Read Me'!$B$12),-1)</f>
        <v/>
      </c>
      <c r="W3599" s="16">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6" t="n">
        <v>250</v>
      </c>
      <c r="U3600" s="16" t="n">
        <v>80</v>
      </c>
      <c r="V3600" s="16">
        <f>ROUNDUP((T3600+U3600+2*'Read Me'!$B$13)*(1+'Read Me'!$B$12),-1)</f>
        <v/>
      </c>
      <c r="W3600" s="16">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6" t="n">
        <v>250</v>
      </c>
      <c r="U3601" s="16" t="n">
        <v>80</v>
      </c>
      <c r="V3601" s="16">
        <f>ROUNDUP((T3601+U3601+2*'Read Me'!$B$13)*(1+'Read Me'!$B$12),-1)</f>
        <v/>
      </c>
      <c r="W3601" s="16">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6" t="n">
        <v>250</v>
      </c>
      <c r="U3602" s="16" t="n">
        <v>80</v>
      </c>
      <c r="V3602" s="16">
        <f>ROUNDUP((T3602+U3602+2*'Read Me'!$B$13)*(1+'Read Me'!$B$12),-1)</f>
        <v/>
      </c>
      <c r="W3602" s="16">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6" t="n">
        <v>250</v>
      </c>
      <c r="U3603" s="16" t="n">
        <v>80</v>
      </c>
      <c r="V3603" s="16">
        <f>ROUNDUP((T3603+U3603+2*'Read Me'!$B$13)*(1+'Read Me'!$B$12),-1)</f>
        <v/>
      </c>
      <c r="W3603" s="16">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6" t="n">
        <v>250</v>
      </c>
      <c r="U3604" s="16" t="n">
        <v>80</v>
      </c>
      <c r="V3604" s="16">
        <f>ROUNDUP((T3604+U3604+2*'Read Me'!$B$13)*(1+'Read Me'!$B$12),-1)</f>
        <v/>
      </c>
      <c r="W3604" s="16">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6" t="n">
        <v>550</v>
      </c>
      <c r="U3605" s="16" t="n">
        <v>80</v>
      </c>
      <c r="V3605" s="16">
        <f>ROUNDUP((T3605+U3605+2*'Read Me'!$B$13)*(1+'Read Me'!$B$12),-1)</f>
        <v/>
      </c>
      <c r="W3605" s="16">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6" t="n">
        <v>550</v>
      </c>
      <c r="U3606" s="16" t="n">
        <v>80</v>
      </c>
      <c r="V3606" s="16">
        <f>ROUNDUP((T3606+U3606+2*'Read Me'!$B$13)*(1+'Read Me'!$B$12),-1)</f>
        <v/>
      </c>
      <c r="W3606" s="16">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6" t="n">
        <v>550</v>
      </c>
      <c r="U3607" s="16" t="n">
        <v>80</v>
      </c>
      <c r="V3607" s="16">
        <f>ROUNDUP((T3607+U3607+2*'Read Me'!$B$13)*(1+'Read Me'!$B$12),-1)</f>
        <v/>
      </c>
      <c r="W3607" s="16">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6" t="n">
        <v>250</v>
      </c>
      <c r="U3608" s="16" t="n">
        <v>80</v>
      </c>
      <c r="V3608" s="16">
        <f>ROUNDUP((T3608+U3608+2*'Read Me'!$B$13)*(1+'Read Me'!$B$12),-1)</f>
        <v/>
      </c>
      <c r="W3608" s="16">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6" t="n">
        <v>250</v>
      </c>
      <c r="U3609" s="16" t="n">
        <v>80</v>
      </c>
      <c r="V3609" s="16">
        <f>ROUNDUP((T3609+U3609+2*'Read Me'!$B$13)*(1+'Read Me'!$B$12),-1)</f>
        <v/>
      </c>
      <c r="W3609" s="16">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6" t="n">
        <v>250</v>
      </c>
      <c r="U3610" s="16" t="n">
        <v>80</v>
      </c>
      <c r="V3610" s="16">
        <f>ROUNDUP((T3610+U3610+2*'Read Me'!$B$13)*(1+'Read Me'!$B$12),-1)</f>
        <v/>
      </c>
      <c r="W3610" s="16">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6" t="n">
        <v>250</v>
      </c>
      <c r="U3611" s="16" t="n">
        <v>80</v>
      </c>
      <c r="V3611" s="16">
        <f>ROUNDUP((T3611+U3611+2*'Read Me'!$B$13)*(1+'Read Me'!$B$12),-1)</f>
        <v/>
      </c>
      <c r="W3611" s="16">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6" t="n">
        <v>232</v>
      </c>
      <c r="U3612" s="16" t="n">
        <v>81</v>
      </c>
      <c r="V3612" s="16">
        <f>ROUNDUP((T3612+U3612+2*'Read Me'!$B$13)*(1+'Read Me'!$B$12),-1)</f>
        <v/>
      </c>
      <c r="W3612" s="16">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6" t="n">
        <v>232</v>
      </c>
      <c r="U3613" s="16" t="n">
        <v>81</v>
      </c>
      <c r="V3613" s="16">
        <f>ROUNDUP((T3613+U3613+2*'Read Me'!$B$13)*(1+'Read Me'!$B$12),-1)</f>
        <v/>
      </c>
      <c r="W3613" s="16">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6" t="n">
        <v>289</v>
      </c>
      <c r="U3614" s="16" t="n">
        <v>43</v>
      </c>
      <c r="V3614" s="16">
        <f>ROUNDUP((T3614+U3614+2*'Read Me'!$B$13)*(1+'Read Me'!$B$12),-1)</f>
        <v/>
      </c>
      <c r="W3614" s="16">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6" t="n">
        <v>460</v>
      </c>
      <c r="U3615" s="16" t="n">
        <v>32</v>
      </c>
      <c r="V3615" s="16">
        <f>ROUNDUP((T3615+U3615+2*'Read Me'!$B$13)*(1+'Read Me'!$B$12),-1)</f>
        <v/>
      </c>
      <c r="W3615" s="16">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6" t="n">
        <v>460</v>
      </c>
      <c r="U3616" s="16" t="n">
        <v>32</v>
      </c>
      <c r="V3616" s="16">
        <f>ROUNDUP((T3616+U3616+2*'Read Me'!$B$13)*(1+'Read Me'!$B$12),-1)</f>
        <v/>
      </c>
      <c r="W3616" s="16">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6" t="n">
        <v>460</v>
      </c>
      <c r="U3617" s="16" t="n">
        <v>32</v>
      </c>
      <c r="V3617" s="16">
        <f>ROUNDUP((T3617+U3617+2*'Read Me'!$B$13)*(1+'Read Me'!$B$12),-1)</f>
        <v/>
      </c>
      <c r="W3617" s="16">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6" t="n">
        <v>460</v>
      </c>
      <c r="U3618" s="16" t="n">
        <v>32</v>
      </c>
      <c r="V3618" s="16">
        <f>ROUNDUP((T3618+U3618+2*'Read Me'!$B$13)*(1+'Read Me'!$B$12),-1)</f>
        <v/>
      </c>
      <c r="W3618" s="16">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6" t="n">
        <v>460</v>
      </c>
      <c r="U3619" s="16" t="n">
        <v>32</v>
      </c>
      <c r="V3619" s="16">
        <f>ROUNDUP((T3619+U3619+2*'Read Me'!$B$13)*(1+'Read Me'!$B$12),-1)</f>
        <v/>
      </c>
      <c r="W3619" s="16">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6" t="n">
        <v>460</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6" t="n">
        <v>460</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6" t="n">
        <v>460</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6" t="n">
        <v>300</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6" t="n">
        <v>300</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6" t="n">
        <v>300</v>
      </c>
      <c r="U3625" s="16" t="n">
        <v>32</v>
      </c>
      <c r="V3625" s="16">
        <f>ROUNDUP((T3625+U3625+2*'Read Me'!$B$13)*(1+'Read Me'!$B$12),-1)</f>
        <v/>
      </c>
      <c r="W3625" s="16">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6" t="n">
        <v>300</v>
      </c>
      <c r="U3626" s="16" t="n">
        <v>32</v>
      </c>
      <c r="V3626" s="16">
        <f>ROUNDUP((T3626+U3626+2*'Read Me'!$B$13)*(1+'Read Me'!$B$12),-1)</f>
        <v/>
      </c>
      <c r="W3626" s="16">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6" t="n">
        <v>300</v>
      </c>
      <c r="U3627" s="16" t="n">
        <v>32</v>
      </c>
      <c r="V3627" s="16">
        <f>ROUNDUP((T3627+U3627+2*'Read Me'!$B$13)*(1+'Read Me'!$B$12),-1)</f>
        <v/>
      </c>
      <c r="W3627" s="16">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6" t="n">
        <v>300</v>
      </c>
      <c r="U3628" s="16" t="n">
        <v>32</v>
      </c>
      <c r="V3628" s="16">
        <f>ROUNDUP((T3628+U3628+2*'Read Me'!$B$13)*(1+'Read Me'!$B$12),-1)</f>
        <v/>
      </c>
      <c r="W3628" s="16">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6" t="n">
        <v>300</v>
      </c>
      <c r="U3629" s="16" t="n">
        <v>32</v>
      </c>
      <c r="V3629" s="16">
        <f>ROUNDUP((T3629+U3629+2*'Read Me'!$B$13)*(1+'Read Me'!$B$12),-1)</f>
        <v/>
      </c>
      <c r="W3629" s="16">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6" t="n">
        <v>300</v>
      </c>
      <c r="U3630" s="16" t="n">
        <v>32</v>
      </c>
      <c r="V3630" s="16">
        <f>ROUNDUP((T3630+U3630+2*'Read Me'!$B$13)*(1+'Read Me'!$B$12),-1)</f>
        <v/>
      </c>
      <c r="W3630" s="16">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6" t="n">
        <v>16</v>
      </c>
      <c r="U3631" s="16" t="n">
        <v>150</v>
      </c>
      <c r="V3631" s="16">
        <f>ROUNDUP((T3631+U3631+2*'Read Me'!$B$13)*(1+'Read Me'!$B$12),-1)</f>
        <v/>
      </c>
      <c r="W3631" s="16">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6" t="n">
        <v>16</v>
      </c>
      <c r="U3632" s="16" t="n">
        <v>150</v>
      </c>
      <c r="V3632" s="16">
        <f>ROUNDUP((T3632+U3632+2*'Read Me'!$B$13)*(1+'Read Me'!$B$12),-1)</f>
        <v/>
      </c>
      <c r="W3632" s="16">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6" t="n">
        <v>16</v>
      </c>
      <c r="U3633" s="16" t="n">
        <v>150</v>
      </c>
      <c r="V3633" s="16">
        <f>ROUNDUP((T3633+U3633+2*'Read Me'!$B$13)*(1+'Read Me'!$B$12),-1)</f>
        <v/>
      </c>
      <c r="W3633" s="16">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6" t="n">
        <v>16</v>
      </c>
      <c r="U3634" s="16" t="n">
        <v>150</v>
      </c>
      <c r="V3634" s="16">
        <f>ROUNDUP((T3634+U3634+2*'Read Me'!$B$13)*(1+'Read Me'!$B$12),-1)</f>
        <v/>
      </c>
      <c r="W3634" s="16">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6" t="n">
        <v>16</v>
      </c>
      <c r="U3635" s="16" t="n">
        <v>150</v>
      </c>
      <c r="V3635" s="16">
        <f>ROUNDUP((T3635+U3635+2*'Read Me'!$B$13)*(1+'Read Me'!$B$12),-1)</f>
        <v/>
      </c>
      <c r="W3635" s="16">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6" t="n">
        <v>16</v>
      </c>
      <c r="U3636" s="16" t="n">
        <v>150</v>
      </c>
      <c r="V3636" s="16">
        <f>ROUNDUP((T3636+U3636+2*'Read Me'!$B$13)*(1+'Read Me'!$B$12),-1)</f>
        <v/>
      </c>
      <c r="W3636" s="16">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6" t="n">
        <v>16</v>
      </c>
      <c r="U3637" s="16" t="n">
        <v>150</v>
      </c>
      <c r="V3637" s="16">
        <f>ROUNDUP((T3637+U3637+2*'Read Me'!$B$13)*(1+'Read Me'!$B$12),-1)</f>
        <v/>
      </c>
      <c r="W3637" s="16">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6" t="n">
        <v>16</v>
      </c>
      <c r="U3638" s="16" t="n">
        <v>150</v>
      </c>
      <c r="V3638" s="16">
        <f>ROUNDUP((T3638+U3638+2*'Read Me'!$B$13)*(1+'Read Me'!$B$12),-1)</f>
        <v/>
      </c>
      <c r="W3638" s="16">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6" t="n">
        <v>206</v>
      </c>
      <c r="U3639" s="16" t="n">
        <v>101</v>
      </c>
      <c r="V3639" s="16">
        <f>ROUNDUP((T3639+U3639+2*'Read Me'!$B$13)*(1+'Read Me'!$B$12),-1)</f>
        <v/>
      </c>
      <c r="W3639" s="16">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6" t="n">
        <v>0</v>
      </c>
      <c r="U3640" s="16" t="n">
        <v>32</v>
      </c>
      <c r="V3640" s="16">
        <f>ROUNDUP((T3640+U3640+2*'Read Me'!$B$13)*(1+'Read Me'!$B$12),-1)</f>
        <v/>
      </c>
      <c r="W3640" s="16">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6" t="n">
        <v>361</v>
      </c>
      <c r="U3641" s="16" t="n">
        <v>32</v>
      </c>
      <c r="V3641" s="16">
        <f>ROUNDUP((T3641+U3641+2*'Read Me'!$B$13)*(1+'Read Me'!$B$12),-1)</f>
        <v/>
      </c>
      <c r="W3641" s="16">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6" t="n">
        <v>361</v>
      </c>
      <c r="U3642" s="16" t="n">
        <v>32</v>
      </c>
      <c r="V3642" s="16">
        <f>ROUNDUP((T3642+U3642+2*'Read Me'!$B$13)*(1+'Read Me'!$B$12),-1)</f>
        <v/>
      </c>
      <c r="W3642" s="16">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6" t="n">
        <v>361</v>
      </c>
      <c r="U3643" s="16" t="n">
        <v>32</v>
      </c>
      <c r="V3643" s="16">
        <f>ROUNDUP((T3643+U3643+2*'Read Me'!$B$13)*(1+'Read Me'!$B$12),-1)</f>
        <v/>
      </c>
      <c r="W3643" s="16">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6" t="n">
        <v>361</v>
      </c>
      <c r="U3644" s="16" t="n">
        <v>32</v>
      </c>
      <c r="V3644" s="16">
        <f>ROUNDUP((T3644+U3644+2*'Read Me'!$B$13)*(1+'Read Me'!$B$12),-1)</f>
        <v/>
      </c>
      <c r="W3644" s="16">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6" t="n">
        <v>361</v>
      </c>
      <c r="U3645" s="16" t="n">
        <v>32</v>
      </c>
      <c r="V3645" s="16">
        <f>ROUNDUP((T3645+U3645+2*'Read Me'!$B$13)*(1+'Read Me'!$B$12),-1)</f>
        <v/>
      </c>
      <c r="W3645" s="16">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6" t="n">
        <v>361</v>
      </c>
      <c r="U3646" s="16" t="n">
        <v>32</v>
      </c>
      <c r="V3646" s="16">
        <f>ROUNDUP((T3646+U3646+2*'Read Me'!$B$13)*(1+'Read Me'!$B$12),-1)</f>
        <v/>
      </c>
      <c r="W3646" s="16">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6" t="n">
        <v>409</v>
      </c>
      <c r="U3647" s="16" t="n">
        <v>32</v>
      </c>
      <c r="V3647" s="16">
        <f>ROUNDUP((T3647+U3647+2*'Read Me'!$B$13)*(1+'Read Me'!$B$12),-1)</f>
        <v/>
      </c>
      <c r="W3647" s="16">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6" t="n">
        <v>409</v>
      </c>
      <c r="U3648" s="16" t="n">
        <v>32</v>
      </c>
      <c r="V3648" s="16">
        <f>ROUNDUP((T3648+U3648+2*'Read Me'!$B$13)*(1+'Read Me'!$B$12),-1)</f>
        <v/>
      </c>
      <c r="W3648" s="16">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6" t="n">
        <v>409</v>
      </c>
      <c r="U3649" s="16" t="n">
        <v>32</v>
      </c>
      <c r="V3649" s="16">
        <f>ROUNDUP((T3649+U3649+2*'Read Me'!$B$13)*(1+'Read Me'!$B$12),-1)</f>
        <v/>
      </c>
      <c r="W3649" s="16">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6" t="n">
        <v>409</v>
      </c>
      <c r="U3650" s="16" t="n">
        <v>32</v>
      </c>
      <c r="V3650" s="16">
        <f>ROUNDUP((T3650+U3650+2*'Read Me'!$B$13)*(1+'Read Me'!$B$12),-1)</f>
        <v/>
      </c>
      <c r="W3650" s="16">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6" t="n">
        <v>409</v>
      </c>
      <c r="U3651" s="16" t="n">
        <v>32</v>
      </c>
      <c r="V3651" s="16">
        <f>ROUNDUP((T3651+U3651+2*'Read Me'!$B$13)*(1+'Read Me'!$B$12),-1)</f>
        <v/>
      </c>
      <c r="W3651" s="16">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6" t="n">
        <v>409</v>
      </c>
      <c r="U3652" s="16" t="n">
        <v>32</v>
      </c>
      <c r="V3652" s="16">
        <f>ROUNDUP((T3652+U3652+2*'Read Me'!$B$13)*(1+'Read Me'!$B$12),-1)</f>
        <v/>
      </c>
      <c r="W3652" s="16">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6" t="n">
        <v>250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6" t="n">
        <v>250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6" t="n">
        <v>250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6" t="n">
        <v>250</v>
      </c>
      <c r="U3658" s="16" t="n">
        <v>42</v>
      </c>
      <c r="V3658" s="16">
        <f>ROUNDUP((T3658+U3658+2*'Read Me'!$B$13)*(1+'Read Me'!$B$12),-1)</f>
        <v/>
      </c>
      <c r="W3658" s="16">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6" t="n">
        <v>250</v>
      </c>
      <c r="U3659" s="16" t="n">
        <v>42</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6" t="n">
        <v>250</v>
      </c>
      <c r="U3660" s="16" t="n">
        <v>42</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6" t="n">
        <v>250</v>
      </c>
      <c r="U3661" s="16" t="n">
        <v>42</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6" t="n">
        <v>250</v>
      </c>
      <c r="U3662" s="16" t="n">
        <v>42</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6" t="n">
        <v>250</v>
      </c>
      <c r="U3663" s="16" t="n">
        <v>42</v>
      </c>
      <c r="V3663" s="16">
        <f>ROUNDUP((T3663+U3663+2*'Read Me'!$B$13)*(1+'Read Me'!$B$12),-1)</f>
        <v/>
      </c>
      <c r="W3663" s="16">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6" t="n">
        <v>250</v>
      </c>
      <c r="U3664" s="16" t="n">
        <v>42</v>
      </c>
      <c r="V3664" s="16">
        <f>ROUNDUP((T3664+U3664+2*'Read Me'!$B$13)*(1+'Read Me'!$B$12),-1)</f>
        <v/>
      </c>
      <c r="W3664" s="16">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6" t="n">
        <v>250</v>
      </c>
      <c r="U3665" s="16" t="n">
        <v>42</v>
      </c>
      <c r="V3665" s="16">
        <f>ROUNDUP((T3665+U3665+2*'Read Me'!$B$13)*(1+'Read Me'!$B$12),-1)</f>
        <v/>
      </c>
      <c r="W3665" s="16">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6" t="n">
        <v>250</v>
      </c>
      <c r="U3666" s="16" t="n">
        <v>42</v>
      </c>
      <c r="V3666" s="16">
        <f>ROUNDUP((T3666+U3666+2*'Read Me'!$B$13)*(1+'Read Me'!$B$12),-1)</f>
        <v/>
      </c>
      <c r="W3666" s="16">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6" t="n">
        <v>250</v>
      </c>
      <c r="U3667" s="16" t="n">
        <v>42</v>
      </c>
      <c r="V3667" s="16">
        <f>ROUNDUP((T3667+U3667+2*'Read Me'!$B$13)*(1+'Read Me'!$B$12),-1)</f>
        <v/>
      </c>
      <c r="W3667" s="16">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6" t="n">
        <v>250</v>
      </c>
      <c r="U3668" s="16" t="n">
        <v>42</v>
      </c>
      <c r="V3668" s="16">
        <f>ROUNDUP((T3668+U3668+2*'Read Me'!$B$13)*(1+'Read Me'!$B$12),-1)</f>
        <v/>
      </c>
      <c r="W3668" s="16">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6" t="n">
        <v>250</v>
      </c>
      <c r="U3669" s="16" t="n">
        <v>42</v>
      </c>
      <c r="V3669" s="16">
        <f>ROUNDUP((T3669+U3669+2*'Read Me'!$B$13)*(1+'Read Me'!$B$12),-1)</f>
        <v/>
      </c>
      <c r="W3669" s="16">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6" t="n">
        <v>250</v>
      </c>
      <c r="U3670" s="16" t="n">
        <v>42</v>
      </c>
      <c r="V3670" s="16">
        <f>ROUNDUP((T3670+U3670+2*'Read Me'!$B$13)*(1+'Read Me'!$B$12),-1)</f>
        <v/>
      </c>
      <c r="W3670" s="16">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6" t="n">
        <v>250</v>
      </c>
      <c r="U3671" s="16" t="n">
        <v>42</v>
      </c>
      <c r="V3671" s="16">
        <f>ROUNDUP((T3671+U3671+2*'Read Me'!$B$13)*(1+'Read Me'!$B$12),-1)</f>
        <v/>
      </c>
      <c r="W3671" s="16">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6" t="n">
        <v>250</v>
      </c>
      <c r="U3672" s="16" t="n">
        <v>42</v>
      </c>
      <c r="V3672" s="16">
        <f>ROUNDUP((T3672+U3672+2*'Read Me'!$B$13)*(1+'Read Me'!$B$12),-1)</f>
        <v/>
      </c>
      <c r="W3672" s="16">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6" t="n">
        <v>250</v>
      </c>
      <c r="U3673" s="16" t="n">
        <v>42</v>
      </c>
      <c r="V3673" s="16">
        <f>ROUNDUP((T3673+U3673+2*'Read Me'!$B$13)*(1+'Read Me'!$B$12),-1)</f>
        <v/>
      </c>
      <c r="W3673" s="16">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6" t="n">
        <v>250</v>
      </c>
      <c r="U3674" s="16" t="n">
        <v>42</v>
      </c>
      <c r="V3674" s="16">
        <f>ROUNDUP((T3674+U3674+2*'Read Me'!$B$13)*(1+'Read Me'!$B$12),-1)</f>
        <v/>
      </c>
      <c r="W3674" s="16">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6" t="n">
        <v>250</v>
      </c>
      <c r="U3675" s="16" t="n">
        <v>42</v>
      </c>
      <c r="V3675" s="16">
        <f>ROUNDUP((T3675+U3675+2*'Read Me'!$B$13)*(1+'Read Me'!$B$12),-1)</f>
        <v/>
      </c>
      <c r="W3675" s="16">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6" t="n">
        <v>250</v>
      </c>
      <c r="U3676" s="16" t="n">
        <v>42</v>
      </c>
      <c r="V3676" s="16">
        <f>ROUNDUP((T3676+U3676+2*'Read Me'!$B$13)*(1+'Read Me'!$B$12),-1)</f>
        <v/>
      </c>
      <c r="W3676" s="16">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6" t="n">
        <v>250</v>
      </c>
      <c r="U3677" s="16" t="n">
        <v>42</v>
      </c>
      <c r="V3677" s="16">
        <f>ROUNDUP((T3677+U3677+2*'Read Me'!$B$13)*(1+'Read Me'!$B$12),-1)</f>
        <v/>
      </c>
      <c r="W3677" s="16">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6" t="n">
        <v>250</v>
      </c>
      <c r="U3678" s="16" t="n">
        <v>42</v>
      </c>
      <c r="V3678" s="16">
        <f>ROUNDUP((T3678+U3678+2*'Read Me'!$B$13)*(1+'Read Me'!$B$12),-1)</f>
        <v/>
      </c>
      <c r="W3678" s="16">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6" t="n">
        <v>250</v>
      </c>
      <c r="U3679" s="16" t="n">
        <v>42</v>
      </c>
      <c r="V3679" s="16">
        <f>ROUNDUP((T3679+U3679+2*'Read Me'!$B$13)*(1+'Read Me'!$B$12),-1)</f>
        <v/>
      </c>
      <c r="W3679" s="16">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6" t="n">
        <v>250</v>
      </c>
      <c r="U3680" s="16" t="n">
        <v>42</v>
      </c>
      <c r="V3680" s="16">
        <f>ROUNDUP((T3680+U3680+2*'Read Me'!$B$13)*(1+'Read Me'!$B$12),-1)</f>
        <v/>
      </c>
      <c r="W3680" s="16">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6" t="n">
        <v>250</v>
      </c>
      <c r="U3681" s="16" t="n">
        <v>42</v>
      </c>
      <c r="V3681" s="16">
        <f>ROUNDUP((T3681+U3681+2*'Read Me'!$B$13)*(1+'Read Me'!$B$12),-1)</f>
        <v/>
      </c>
      <c r="W3681" s="16">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6" t="n">
        <v>250</v>
      </c>
      <c r="U3682" s="16" t="n">
        <v>42</v>
      </c>
      <c r="V3682" s="16">
        <f>ROUNDUP((T3682+U3682+2*'Read Me'!$B$13)*(1+'Read Me'!$B$12),-1)</f>
        <v/>
      </c>
      <c r="W3682" s="16">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6" t="n">
        <v>300</v>
      </c>
      <c r="U3683" s="16" t="n">
        <v>42</v>
      </c>
      <c r="V3683" s="16">
        <f>ROUNDUP((T3683+U3683+2*'Read Me'!$B$13)*(1+'Read Me'!$B$12),-1)</f>
        <v/>
      </c>
      <c r="W3683" s="16">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6" t="n">
        <v>300</v>
      </c>
      <c r="U3684" s="16" t="n">
        <v>42</v>
      </c>
      <c r="V3684" s="16">
        <f>ROUNDUP((T3684+U3684+2*'Read Me'!$B$13)*(1+'Read Me'!$B$12),-1)</f>
        <v/>
      </c>
      <c r="W3684" s="16">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6" t="n">
        <v>300</v>
      </c>
      <c r="U3685" s="16" t="n">
        <v>42</v>
      </c>
      <c r="V3685" s="16">
        <f>ROUNDUP((T3685+U3685+2*'Read Me'!$B$13)*(1+'Read Me'!$B$12),-1)</f>
        <v/>
      </c>
      <c r="W3685" s="16">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6" t="n">
        <v>206</v>
      </c>
      <c r="U3686" s="16" t="n">
        <v>51</v>
      </c>
      <c r="V3686" s="16">
        <f>ROUNDUP((T3686+U3686+2*'Read Me'!$B$13)*(1+'Read Me'!$B$12),-1)</f>
        <v/>
      </c>
      <c r="W3686" s="16">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6" t="n">
        <v>206</v>
      </c>
      <c r="U3687" s="16" t="n">
        <v>51</v>
      </c>
      <c r="V3687" s="16">
        <f>ROUNDUP((T3687+U3687+2*'Read Me'!$B$13)*(1+'Read Me'!$B$12),-1)</f>
        <v/>
      </c>
      <c r="W3687" s="16">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6" t="n">
        <v>5</v>
      </c>
      <c r="U3688" s="16" t="n">
        <v>87</v>
      </c>
      <c r="V3688" s="16">
        <f>ROUNDUP((T3688+U3688+2*'Read Me'!$B$13)*(1+'Read Me'!$B$12),-1)</f>
        <v/>
      </c>
      <c r="W3688" s="16">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6" t="n">
        <v>5</v>
      </c>
      <c r="U3689" s="16" t="n">
        <v>87</v>
      </c>
      <c r="V3689" s="16">
        <f>ROUNDUP((T3689+U3689+2*'Read Me'!$B$13)*(1+'Read Me'!$B$12),-1)</f>
        <v/>
      </c>
      <c r="W3689" s="16">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6" t="n">
        <v>5</v>
      </c>
      <c r="U3690" s="16" t="n">
        <v>87</v>
      </c>
      <c r="V3690" s="16">
        <f>ROUNDUP((T3690+U3690+2*'Read Me'!$B$13)*(1+'Read Me'!$B$12),-1)</f>
        <v/>
      </c>
      <c r="W3690" s="16">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6" t="n">
        <v>5</v>
      </c>
      <c r="U3691" s="16" t="n">
        <v>87</v>
      </c>
      <c r="V3691" s="16">
        <f>ROUNDUP((T3691+U3691+2*'Read Me'!$B$13)*(1+'Read Me'!$B$12),-1)</f>
        <v/>
      </c>
      <c r="W3691" s="16">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6" t="n">
        <v>5</v>
      </c>
      <c r="U3692" s="16" t="n">
        <v>87</v>
      </c>
      <c r="V3692" s="16">
        <f>ROUNDUP((T3692+U3692+2*'Read Me'!$B$13)*(1+'Read Me'!$B$12),-1)</f>
        <v/>
      </c>
      <c r="W3692" s="16">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6" t="n">
        <v>5</v>
      </c>
      <c r="U3693" s="16" t="n">
        <v>87</v>
      </c>
      <c r="V3693" s="16">
        <f>ROUNDUP((T3693+U3693+2*'Read Me'!$B$13)*(1+'Read Me'!$B$12),-1)</f>
        <v/>
      </c>
      <c r="W3693" s="16">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6" t="n">
        <v>291</v>
      </c>
      <c r="U3694" s="16" t="n">
        <v>36</v>
      </c>
      <c r="V3694" s="16">
        <f>ROUNDUP((T3694+U3694+2*'Read Me'!$B$13)*(1+'Read Me'!$B$12),-1)</f>
        <v/>
      </c>
      <c r="W3694" s="16">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6" t="n">
        <v>291</v>
      </c>
      <c r="U3695" s="16" t="n">
        <v>36</v>
      </c>
      <c r="V3695" s="16">
        <f>ROUNDUP((T3695+U3695+2*'Read Me'!$B$13)*(1+'Read Me'!$B$12),-1)</f>
        <v/>
      </c>
      <c r="W3695" s="16">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6" t="n">
        <v>291</v>
      </c>
      <c r="U3696" s="16" t="n">
        <v>36</v>
      </c>
      <c r="V3696" s="16">
        <f>ROUNDUP((T3696+U3696+2*'Read Me'!$B$13)*(1+'Read Me'!$B$12),-1)</f>
        <v/>
      </c>
      <c r="W3696" s="16">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6" t="n">
        <v>291</v>
      </c>
      <c r="U3697" s="16" t="n">
        <v>36</v>
      </c>
      <c r="V3697" s="16">
        <f>ROUNDUP((T3697+U3697+2*'Read Me'!$B$13)*(1+'Read Me'!$B$12),-1)</f>
        <v/>
      </c>
      <c r="W3697" s="16">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6" t="n">
        <v>291</v>
      </c>
      <c r="U3698" s="16" t="n">
        <v>36</v>
      </c>
      <c r="V3698" s="16">
        <f>ROUNDUP((T3698+U3698+2*'Read Me'!$B$13)*(1+'Read Me'!$B$12),-1)</f>
        <v/>
      </c>
      <c r="W3698" s="16">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6" t="n">
        <v>291</v>
      </c>
      <c r="U3699" s="16" t="n">
        <v>36</v>
      </c>
      <c r="V3699" s="16">
        <f>ROUNDUP((T3699+U3699+2*'Read Me'!$B$13)*(1+'Read Me'!$B$12),-1)</f>
        <v/>
      </c>
      <c r="W3699" s="16">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6" t="n">
        <v>291</v>
      </c>
      <c r="U3700" s="16" t="n">
        <v>36</v>
      </c>
      <c r="V3700" s="16">
        <f>ROUNDUP((T3700+U3700+2*'Read Me'!$B$13)*(1+'Read Me'!$B$12),-1)</f>
        <v/>
      </c>
      <c r="W3700" s="16">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6" t="n">
        <v>291</v>
      </c>
      <c r="U3701" s="16" t="n">
        <v>36</v>
      </c>
      <c r="V3701" s="16">
        <f>ROUNDUP((T3701+U3701+2*'Read Me'!$B$13)*(1+'Read Me'!$B$12),-1)</f>
        <v/>
      </c>
      <c r="W3701" s="16">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6" t="n">
        <v>291</v>
      </c>
      <c r="U3702" s="16" t="n">
        <v>36</v>
      </c>
      <c r="V3702" s="16">
        <f>ROUNDUP((T3702+U3702+2*'Read Me'!$B$13)*(1+'Read Me'!$B$12),-1)</f>
        <v/>
      </c>
      <c r="W3702" s="16">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6" t="n">
        <v>291</v>
      </c>
      <c r="U3703" s="16" t="n">
        <v>36</v>
      </c>
      <c r="V3703" s="16">
        <f>ROUNDUP((T3703+U3703+2*'Read Me'!$B$13)*(1+'Read Me'!$B$12),-1)</f>
        <v/>
      </c>
      <c r="W3703" s="16">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6" t="n">
        <v>291</v>
      </c>
      <c r="U3704" s="16" t="n">
        <v>36</v>
      </c>
      <c r="V3704" s="16">
        <f>ROUNDUP((T3704+U3704+2*'Read Me'!$B$13)*(1+'Read Me'!$B$12),-1)</f>
        <v/>
      </c>
      <c r="W3704" s="16">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6" t="n">
        <v>291</v>
      </c>
      <c r="U3705" s="16" t="n">
        <v>36</v>
      </c>
      <c r="V3705" s="16">
        <f>ROUNDUP((T3705+U3705+2*'Read Me'!$B$13)*(1+'Read Me'!$B$12),-1)</f>
        <v/>
      </c>
      <c r="W3705" s="16">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6" t="n">
        <v>291</v>
      </c>
      <c r="U3706" s="16" t="n">
        <v>36</v>
      </c>
      <c r="V3706" s="16">
        <f>ROUNDUP((T3706+U3706+2*'Read Me'!$B$13)*(1+'Read Me'!$B$12),-1)</f>
        <v/>
      </c>
      <c r="W3706" s="16">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6" t="n">
        <v>291</v>
      </c>
      <c r="U3707" s="16" t="n">
        <v>36</v>
      </c>
      <c r="V3707" s="16">
        <f>ROUNDUP((T3707+U3707+2*'Read Me'!$B$13)*(1+'Read Me'!$B$12),-1)</f>
        <v/>
      </c>
      <c r="W3707" s="16">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6" t="n">
        <v>305</v>
      </c>
      <c r="U3708" s="16" t="n">
        <v>160</v>
      </c>
      <c r="V3708" s="16">
        <f>ROUNDUP((T3708+U3708+2*'Read Me'!$B$13)*(1+'Read Me'!$B$12),-1)</f>
        <v/>
      </c>
      <c r="W3708" s="16">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6" t="n">
        <v>305</v>
      </c>
      <c r="U3709" s="16" t="n">
        <v>160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6" t="n">
        <v>305</v>
      </c>
      <c r="U3710" s="16" t="n">
        <v>160</v>
      </c>
      <c r="V3710" s="16">
        <f>ROUNDUP((T3710+U3710+2*'Read Me'!$B$13)*(1+'Read Me'!$B$12),-1)</f>
        <v/>
      </c>
      <c r="W3710" s="16">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6" t="n">
        <v>305</v>
      </c>
      <c r="U3711" s="16" t="n">
        <v>160</v>
      </c>
      <c r="V3711" s="16">
        <f>ROUNDUP((T3711+U3711+2*'Read Me'!$B$13)*(1+'Read Me'!$B$12),-1)</f>
        <v/>
      </c>
      <c r="W3711" s="16">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6" t="n">
        <v>305</v>
      </c>
      <c r="U3712" s="16" t="n">
        <v>160</v>
      </c>
      <c r="V3712" s="16">
        <f>ROUNDUP((T3712+U3712+2*'Read Me'!$B$13)*(1+'Read Me'!$B$12),-1)</f>
        <v/>
      </c>
      <c r="W3712" s="16">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6" t="n">
        <v>305</v>
      </c>
      <c r="U3713" s="16" t="n">
        <v>160</v>
      </c>
      <c r="V3713" s="16">
        <f>ROUNDUP((T3713+U3713+2*'Read Me'!$B$13)*(1+'Read Me'!$B$12),-1)</f>
        <v/>
      </c>
      <c r="W3713" s="16">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6" t="n">
        <v>305</v>
      </c>
      <c r="U3714" s="16" t="n">
        <v>160</v>
      </c>
      <c r="V3714" s="16">
        <f>ROUNDUP((T3714+U3714+2*'Read Me'!$B$13)*(1+'Read Me'!$B$12),-1)</f>
        <v/>
      </c>
      <c r="W3714" s="16">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6" t="n">
        <v>305</v>
      </c>
      <c r="U3715" s="16" t="n">
        <v>160</v>
      </c>
      <c r="V3715" s="16">
        <f>ROUNDUP((T3715+U3715+2*'Read Me'!$B$13)*(1+'Read Me'!$B$12),-1)</f>
        <v/>
      </c>
      <c r="W3715" s="16">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6" t="n">
        <v>305</v>
      </c>
      <c r="U3716" s="16" t="n">
        <v>160</v>
      </c>
      <c r="V3716" s="16">
        <f>ROUNDUP((T3716+U3716+2*'Read Me'!$B$13)*(1+'Read Me'!$B$12),-1)</f>
        <v/>
      </c>
      <c r="W3716" s="16">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6" t="n">
        <v>305</v>
      </c>
      <c r="U3717" s="16" t="n">
        <v>160</v>
      </c>
      <c r="V3717" s="16">
        <f>ROUNDUP((T3717+U3717+2*'Read Me'!$B$13)*(1+'Read Me'!$B$12),-1)</f>
        <v/>
      </c>
      <c r="W3717" s="16">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305</v>
      </c>
      <c r="U3718" s="16" t="n">
        <v>160</v>
      </c>
      <c r="V3718" s="16">
        <f>ROUNDUP((T3718+U3718+2*'Read Me'!$B$13)*(1+'Read Me'!$B$12),-1)</f>
        <v/>
      </c>
      <c r="W3718" s="16">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305</v>
      </c>
      <c r="U3719" s="16" t="n">
        <v>160</v>
      </c>
      <c r="V3719" s="16">
        <f>ROUNDUP((T3719+U3719+2*'Read Me'!$B$13)*(1+'Read Me'!$B$12),-1)</f>
        <v/>
      </c>
      <c r="W3719" s="16">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6" t="n">
        <v>305</v>
      </c>
      <c r="U3720" s="16" t="n">
        <v>160</v>
      </c>
      <c r="V3720" s="16">
        <f>ROUNDUP((T3720+U3720+2*'Read Me'!$B$13)*(1+'Read Me'!$B$12),-1)</f>
        <v/>
      </c>
      <c r="W3720" s="16">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6" t="n">
        <v>305</v>
      </c>
      <c r="U3721" s="16" t="n">
        <v>160</v>
      </c>
      <c r="V3721" s="16">
        <f>ROUNDUP((T3721+U3721+2*'Read Me'!$B$13)*(1+'Read Me'!$B$12),-1)</f>
        <v/>
      </c>
      <c r="W3721" s="16">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305</v>
      </c>
      <c r="U3722" s="16" t="n">
        <v>160</v>
      </c>
      <c r="V3722" s="16">
        <f>ROUNDUP((T3722+U3722+2*'Read Me'!$B$13)*(1+'Read Me'!$B$12),-1)</f>
        <v/>
      </c>
      <c r="W3722" s="16">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6" t="n">
        <v>303</v>
      </c>
      <c r="U3723" s="16" t="n">
        <v>34</v>
      </c>
      <c r="V3723" s="16">
        <f>ROUNDUP((T3723+U3723+2*'Read Me'!$B$13)*(1+'Read Me'!$B$12),-1)</f>
        <v/>
      </c>
      <c r="W3723" s="16">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6" t="n">
        <v>303</v>
      </c>
      <c r="U3724" s="16" t="n">
        <v>34</v>
      </c>
      <c r="V3724" s="16">
        <f>ROUNDUP((T3724+U3724+2*'Read Me'!$B$13)*(1+'Read Me'!$B$12),-1)</f>
        <v/>
      </c>
      <c r="W3724" s="16">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6" t="n">
        <v>303</v>
      </c>
      <c r="U3725" s="16" t="n">
        <v>34</v>
      </c>
      <c r="V3725" s="16">
        <f>ROUNDUP((T3725+U3725+2*'Read Me'!$B$13)*(1+'Read Me'!$B$12),-1)</f>
        <v/>
      </c>
      <c r="W3725" s="16">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6" t="n">
        <v>303</v>
      </c>
      <c r="U3726" s="16" t="n">
        <v>34</v>
      </c>
      <c r="V3726" s="16">
        <f>ROUNDUP((T3726+U3726+2*'Read Me'!$B$13)*(1+'Read Me'!$B$12),-1)</f>
        <v/>
      </c>
      <c r="W3726" s="16">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6" t="n">
        <v>515</v>
      </c>
      <c r="U3727" s="16" t="n">
        <v>164</v>
      </c>
      <c r="V3727" s="16">
        <f>ROUNDUP((T3727+U3727+2*'Read Me'!$B$13)*(1+'Read Me'!$B$12),-1)</f>
        <v/>
      </c>
      <c r="W3727" s="16">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6" t="n">
        <v>515</v>
      </c>
      <c r="U3728" s="16" t="n">
        <v>164</v>
      </c>
      <c r="V3728" s="16">
        <f>ROUNDUP((T3728+U3728+2*'Read Me'!$B$13)*(1+'Read Me'!$B$12),-1)</f>
        <v/>
      </c>
      <c r="W3728" s="16">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6" t="n">
        <v>460</v>
      </c>
      <c r="U3729" s="16" t="n">
        <v>60</v>
      </c>
      <c r="V3729" s="16">
        <f>ROUNDUP((T3729+U3729+2*'Read Me'!$B$13)*(1+'Read Me'!$B$12),-1)</f>
        <v/>
      </c>
      <c r="W3729" s="16">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6" t="n">
        <v>760</v>
      </c>
      <c r="U3730" s="16" t="n">
        <v>60</v>
      </c>
      <c r="V3730" s="16">
        <f>ROUNDUP((T3730+U3730+2*'Read Me'!$B$13)*(1+'Read Me'!$B$12),-1)</f>
        <v/>
      </c>
      <c r="W3730" s="16">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6" t="n">
        <v>415</v>
      </c>
      <c r="U3731" s="16" t="n">
        <v>122</v>
      </c>
      <c r="V3731" s="16">
        <f>ROUNDUP((T3731+U3731+2*'Read Me'!$B$13)*(1+'Read Me'!$B$12),-1)</f>
        <v/>
      </c>
      <c r="W3731" s="16">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6" t="n">
        <v>415</v>
      </c>
      <c r="U3732" s="16" t="n">
        <v>122</v>
      </c>
      <c r="V3732" s="16">
        <f>ROUNDUP((T3732+U3732+2*'Read Me'!$B$13)*(1+'Read Me'!$B$12),-1)</f>
        <v/>
      </c>
      <c r="W3732" s="16">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6" t="n">
        <v>300</v>
      </c>
      <c r="U3733" s="16" t="n">
        <v>60</v>
      </c>
      <c r="V3733" s="16">
        <f>ROUNDUP((T3733+U3733+2*'Read Me'!$B$13)*(1+'Read Me'!$B$12),-1)</f>
        <v/>
      </c>
      <c r="W3733" s="16">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6" t="n">
        <v>600</v>
      </c>
      <c r="U3734" s="16" t="n">
        <v>60</v>
      </c>
      <c r="V3734" s="16">
        <f>ROUNDUP((T3734+U3734+2*'Read Me'!$B$13)*(1+'Read Me'!$B$12),-1)</f>
        <v/>
      </c>
      <c r="W3734" s="16">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6" t="n">
        <v>195</v>
      </c>
      <c r="U3735" s="16" t="n">
        <v>164</v>
      </c>
      <c r="V3735" s="16">
        <f>ROUNDUP((T3735+U3735+2*'Read Me'!$B$13)*(1+'Read Me'!$B$12),-1)</f>
        <v/>
      </c>
      <c r="W3735" s="16">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6" t="n">
        <v>195</v>
      </c>
      <c r="U3736" s="16" t="n">
        <v>164</v>
      </c>
      <c r="V3736" s="16">
        <f>ROUNDUP((T3736+U3736+2*'Read Me'!$B$13)*(1+'Read Me'!$B$12),-1)</f>
        <v/>
      </c>
      <c r="W3736" s="16">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6" t="n">
        <v>140</v>
      </c>
      <c r="U3737" s="16" t="n">
        <v>60</v>
      </c>
      <c r="V3737" s="16">
        <f>ROUNDUP((T3737+U3737+2*'Read Me'!$B$13)*(1+'Read Me'!$B$12),-1)</f>
        <v/>
      </c>
      <c r="W3737" s="16">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6" t="n">
        <v>440</v>
      </c>
      <c r="U3738" s="16" t="n">
        <v>60</v>
      </c>
      <c r="V3738" s="16">
        <f>ROUNDUP((T3738+U3738+2*'Read Me'!$B$13)*(1+'Read Me'!$B$12),-1)</f>
        <v/>
      </c>
      <c r="W3738" s="16">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6" t="n">
        <v>1436</v>
      </c>
      <c r="U3739" s="16" t="n">
        <v>124</v>
      </c>
      <c r="V3739" s="16">
        <f>ROUNDUP((T3739+U3739+2*'Read Me'!$B$13)*(1+'Read Me'!$B$12),-1)</f>
        <v/>
      </c>
      <c r="W3739" s="16">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6" t="n">
        <v>1436</v>
      </c>
      <c r="U3740" s="16" t="n">
        <v>124</v>
      </c>
      <c r="V3740" s="16">
        <f>ROUNDUP((T3740+U3740+2*'Read Me'!$B$13)*(1+'Read Me'!$B$12),-1)</f>
        <v/>
      </c>
      <c r="W3740" s="16">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6" t="n">
        <v>1280</v>
      </c>
      <c r="U3741" s="16" t="n">
        <v>120</v>
      </c>
      <c r="V3741" s="16">
        <f>ROUNDUP((T3741+U3741+2*'Read Me'!$B$13)*(1+'Read Me'!$B$12),-1)</f>
        <v/>
      </c>
      <c r="W3741" s="16">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6" t="n">
        <v>1280</v>
      </c>
      <c r="U3742" s="16" t="n">
        <v>120</v>
      </c>
      <c r="V3742" s="16">
        <f>ROUNDUP((T3742+U3742+2*'Read Me'!$B$13)*(1+'Read Me'!$B$12),-1)</f>
        <v/>
      </c>
      <c r="W3742" s="16">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6" t="n">
        <v>1116</v>
      </c>
      <c r="U3743" s="16" t="n">
        <v>124</v>
      </c>
      <c r="V3743" s="16">
        <f>ROUNDUP((T3743+U3743+2*'Read Me'!$B$13)*(1+'Read Me'!$B$12),-1)</f>
        <v/>
      </c>
      <c r="W3743" s="16">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6" t="n">
        <v>1116</v>
      </c>
      <c r="U3744" s="16" t="n">
        <v>124</v>
      </c>
      <c r="V3744" s="16">
        <f>ROUNDUP((T3744+U3744+2*'Read Me'!$B$13)*(1+'Read Me'!$B$12),-1)</f>
        <v/>
      </c>
      <c r="W3744" s="16">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6" t="n">
        <v>50</v>
      </c>
      <c r="U3745" s="16" t="n">
        <v>37</v>
      </c>
      <c r="V3745" s="16">
        <f>ROUNDUP((T3745+U3745+2*'Read Me'!$B$13)*(1+'Read Me'!$B$12),-1)</f>
        <v/>
      </c>
      <c r="W3745" s="16">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6" t="n">
        <v>50</v>
      </c>
      <c r="U3746" s="16" t="n">
        <v>37</v>
      </c>
      <c r="V3746" s="16">
        <f>ROUNDUP((T3746+U3746+2*'Read Me'!$B$13)*(1+'Read Me'!$B$12),-1)</f>
        <v/>
      </c>
      <c r="W3746" s="16">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50</v>
      </c>
      <c r="U3747" s="16" t="n">
        <v>37</v>
      </c>
      <c r="V3747" s="16">
        <f>ROUNDUP((T3747+U3747+2*'Read Me'!$B$13)*(1+'Read Me'!$B$12),-1)</f>
        <v/>
      </c>
      <c r="W3747" s="16">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6" t="n">
        <v>50</v>
      </c>
      <c r="U3748" s="16" t="n">
        <v>37</v>
      </c>
      <c r="V3748" s="16">
        <f>ROUNDUP((T3748+U3748+2*'Read Me'!$B$13)*(1+'Read Me'!$B$12),-1)</f>
        <v/>
      </c>
      <c r="W3748" s="16">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6" t="n">
        <v>50</v>
      </c>
      <c r="U3749" s="16" t="n">
        <v>37</v>
      </c>
      <c r="V3749" s="16">
        <f>ROUNDUP((T3749+U3749+2*'Read Me'!$B$13)*(1+'Read Me'!$B$12),-1)</f>
        <v/>
      </c>
      <c r="W3749" s="16">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6" t="n">
        <v>83</v>
      </c>
      <c r="U3750" s="16" t="n">
        <v>42</v>
      </c>
      <c r="V3750" s="16">
        <f>ROUNDUP((T3750+U3750+2*'Read Me'!$B$13)*(1+'Read Me'!$B$12),-1)</f>
        <v/>
      </c>
      <c r="W3750" s="16">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6" t="n">
        <v>83</v>
      </c>
      <c r="U3751" s="16" t="n">
        <v>42</v>
      </c>
      <c r="V3751" s="16">
        <f>ROUNDUP((T3751+U3751+2*'Read Me'!$B$13)*(1+'Read Me'!$B$12),-1)</f>
        <v/>
      </c>
      <c r="W3751" s="16">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6" t="n">
        <v>83</v>
      </c>
      <c r="U3752" s="16" t="n">
        <v>42</v>
      </c>
      <c r="V3752" s="16">
        <f>ROUNDUP((T3752+U3752+2*'Read Me'!$B$13)*(1+'Read Me'!$B$12),-1)</f>
        <v/>
      </c>
      <c r="W3752" s="16">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6" t="n">
        <v>83</v>
      </c>
      <c r="U3753" s="16" t="n">
        <v>42</v>
      </c>
      <c r="V3753" s="16">
        <f>ROUNDUP((T3753+U3753+2*'Read Me'!$B$13)*(1+'Read Me'!$B$12),-1)</f>
        <v/>
      </c>
      <c r="W3753" s="16">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6" t="n">
        <v>83</v>
      </c>
      <c r="U3754" s="16" t="n">
        <v>42</v>
      </c>
      <c r="V3754" s="16">
        <f>ROUNDUP((T3754+U3754+2*'Read Me'!$B$13)*(1+'Read Me'!$B$12),-1)</f>
        <v/>
      </c>
      <c r="W3754" s="16">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6" t="n">
        <v>45</v>
      </c>
      <c r="U3755" s="16" t="n">
        <v>47</v>
      </c>
      <c r="V3755" s="16">
        <f>ROUNDUP((T3755+U3755+2*'Read Me'!$B$13)*(1+'Read Me'!$B$12),-1)</f>
        <v/>
      </c>
      <c r="W3755" s="16">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6" t="n">
        <v>45</v>
      </c>
      <c r="U3756" s="16" t="n">
        <v>47</v>
      </c>
      <c r="V3756" s="16">
        <f>ROUNDUP((T3756+U3756+2*'Read Me'!$B$13)*(1+'Read Me'!$B$12),-1)</f>
        <v/>
      </c>
      <c r="W3756" s="16">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6" t="n">
        <v>45</v>
      </c>
      <c r="U3757" s="16" t="n">
        <v>47</v>
      </c>
      <c r="V3757" s="16">
        <f>ROUNDUP((T3757+U3757+2*'Read Me'!$B$13)*(1+'Read Me'!$B$12),-1)</f>
        <v/>
      </c>
      <c r="W3757" s="16">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6" t="n">
        <v>45</v>
      </c>
      <c r="U3758" s="16" t="n">
        <v>47</v>
      </c>
      <c r="V3758" s="16">
        <f>ROUNDUP((T3758+U3758+2*'Read Me'!$B$13)*(1+'Read Me'!$B$12),-1)</f>
        <v/>
      </c>
      <c r="W3758" s="16">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6" t="n">
        <v>45</v>
      </c>
      <c r="U3759" s="16" t="n">
        <v>47</v>
      </c>
      <c r="V3759" s="16">
        <f>ROUNDUP((T3759+U3759+2*'Read Me'!$B$13)*(1+'Read Me'!$B$12),-1)</f>
        <v/>
      </c>
      <c r="W3759" s="16">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6" t="n">
        <v>45</v>
      </c>
      <c r="U3760" s="16" t="n">
        <v>57</v>
      </c>
      <c r="V3760" s="16">
        <f>ROUNDUP((T3760+U3760+2*'Read Me'!$B$13)*(1+'Read Me'!$B$12),-1)</f>
        <v/>
      </c>
      <c r="W3760" s="16">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6" t="n">
        <v>45</v>
      </c>
      <c r="U3761" s="16" t="n">
        <v>57</v>
      </c>
      <c r="V3761" s="16">
        <f>ROUNDUP((T3761+U3761+2*'Read Me'!$B$13)*(1+'Read Me'!$B$12),-1)</f>
        <v/>
      </c>
      <c r="W3761" s="16">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6" t="n">
        <v>146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6" t="n">
        <v>146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6" t="n">
        <v>146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6" t="n">
        <v>146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6" t="n">
        <v>146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6" t="n">
        <v>146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6" t="n">
        <v>146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6" t="n">
        <v>446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6" t="n">
        <v>446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6" t="n">
        <v>146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6" t="n">
        <v>146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6" t="n">
        <v>146</v>
      </c>
      <c r="U3773" s="16" t="n">
        <v>36</v>
      </c>
      <c r="V3773" s="16">
        <f>ROUNDUP((T3773+U3773+2*'Read Me'!$B$13)*(1+'Read Me'!$B$12),-1)</f>
        <v/>
      </c>
      <c r="W3773" s="16">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6" t="n">
        <v>146</v>
      </c>
      <c r="U3774" s="16" t="n">
        <v>36</v>
      </c>
      <c r="V3774" s="16">
        <f>ROUNDUP((T3774+U3774+2*'Read Me'!$B$13)*(1+'Read Me'!$B$12),-1)</f>
        <v/>
      </c>
      <c r="W3774" s="16">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6" t="n">
        <v>146</v>
      </c>
      <c r="U3775" s="16" t="n">
        <v>36</v>
      </c>
      <c r="V3775" s="16">
        <f>ROUNDUP((T3775+U3775+2*'Read Me'!$B$13)*(1+'Read Me'!$B$12),-1)</f>
        <v/>
      </c>
      <c r="W3775" s="16">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6" t="n">
        <v>146</v>
      </c>
      <c r="U3776" s="16" t="n">
        <v>36</v>
      </c>
      <c r="V3776" s="16">
        <f>ROUNDUP((T3776+U3776+2*'Read Me'!$B$13)*(1+'Read Me'!$B$12),-1)</f>
        <v/>
      </c>
      <c r="W3776" s="16">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6" t="n">
        <v>146</v>
      </c>
      <c r="U3777" s="16" t="n">
        <v>36</v>
      </c>
      <c r="V3777" s="16">
        <f>ROUNDUP((T3777+U3777+2*'Read Me'!$B$13)*(1+'Read Me'!$B$12),-1)</f>
        <v/>
      </c>
      <c r="W3777" s="16">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6" t="n">
        <v>146</v>
      </c>
      <c r="U3778" s="16" t="n">
        <v>36</v>
      </c>
      <c r="V3778" s="16">
        <f>ROUNDUP((T3778+U3778+2*'Read Me'!$B$13)*(1+'Read Me'!$B$12),-1)</f>
        <v/>
      </c>
      <c r="W3778" s="16">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6" t="n">
        <v>146</v>
      </c>
      <c r="U3779" s="16" t="n">
        <v>36</v>
      </c>
      <c r="V3779" s="16">
        <f>ROUNDUP((T3779+U3779+2*'Read Me'!$B$13)*(1+'Read Me'!$B$12),-1)</f>
        <v/>
      </c>
      <c r="W3779" s="16">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6" t="n">
        <v>146</v>
      </c>
      <c r="U3780" s="16" t="n">
        <v>36</v>
      </c>
      <c r="V3780" s="16">
        <f>ROUNDUP((T3780+U3780+2*'Read Me'!$B$13)*(1+'Read Me'!$B$12),-1)</f>
        <v/>
      </c>
      <c r="W3780" s="16">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6" t="n">
        <v>146</v>
      </c>
      <c r="U3781" s="16" t="n">
        <v>36</v>
      </c>
      <c r="V3781" s="16">
        <f>ROUNDUP((T3781+U3781+2*'Read Me'!$B$13)*(1+'Read Me'!$B$12),-1)</f>
        <v/>
      </c>
      <c r="W3781" s="16">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6" t="n">
        <v>446</v>
      </c>
      <c r="U3782" s="16" t="n">
        <v>36</v>
      </c>
      <c r="V3782" s="16">
        <f>ROUNDUP((T3782+U3782+2*'Read Me'!$B$13)*(1+'Read Me'!$B$12),-1)</f>
        <v/>
      </c>
      <c r="W3782" s="16">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6" t="n">
        <v>446</v>
      </c>
      <c r="U3783" s="16" t="n">
        <v>36</v>
      </c>
      <c r="V3783" s="16">
        <f>ROUNDUP((T3783+U3783+2*'Read Me'!$B$13)*(1+'Read Me'!$B$12),-1)</f>
        <v/>
      </c>
      <c r="W3783" s="16">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6" t="n">
        <v>146</v>
      </c>
      <c r="U3784" s="16" t="n">
        <v>36</v>
      </c>
      <c r="V3784" s="16">
        <f>ROUNDUP((T3784+U3784+2*'Read Me'!$B$13)*(1+'Read Me'!$B$12),-1)</f>
        <v/>
      </c>
      <c r="W3784" s="16">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6" t="n">
        <v>146</v>
      </c>
      <c r="U3785" s="16" t="n">
        <v>36</v>
      </c>
      <c r="V3785" s="16">
        <f>ROUNDUP((T3785+U3785+2*'Read Me'!$B$13)*(1+'Read Me'!$B$12),-1)</f>
        <v/>
      </c>
      <c r="W3785" s="16">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6" t="n">
        <v>146</v>
      </c>
      <c r="U3786" s="16" t="n">
        <v>36</v>
      </c>
      <c r="V3786" s="16">
        <f>ROUNDUP((T3786+U3786+2*'Read Me'!$B$13)*(1+'Read Me'!$B$12),-1)</f>
        <v/>
      </c>
      <c r="W3786" s="16">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6" t="n">
        <v>146</v>
      </c>
      <c r="U3787" s="16" t="n">
        <v>36</v>
      </c>
      <c r="V3787" s="16">
        <f>ROUNDUP((T3787+U3787+2*'Read Me'!$B$13)*(1+'Read Me'!$B$12),-1)</f>
        <v/>
      </c>
      <c r="W3787" s="16">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6" t="n">
        <v>196</v>
      </c>
      <c r="U3788" s="16" t="n">
        <v>36</v>
      </c>
      <c r="V3788" s="16">
        <f>ROUNDUP((T3788+U3788+2*'Read Me'!$B$13)*(1+'Read Me'!$B$12),-1)</f>
        <v/>
      </c>
      <c r="W3788" s="16">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6" t="n">
        <v>196</v>
      </c>
      <c r="U3789" s="16" t="n">
        <v>36</v>
      </c>
      <c r="V3789" s="16">
        <f>ROUNDUP((T3789+U3789+2*'Read Me'!$B$13)*(1+'Read Me'!$B$12),-1)</f>
        <v/>
      </c>
      <c r="W3789" s="16">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6" t="n">
        <v>196</v>
      </c>
      <c r="U3790" s="16" t="n">
        <v>36</v>
      </c>
      <c r="V3790" s="16">
        <f>ROUNDUP((T3790+U3790+2*'Read Me'!$B$13)*(1+'Read Me'!$B$12),-1)</f>
        <v/>
      </c>
      <c r="W3790" s="16">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6" t="n">
        <v>196</v>
      </c>
      <c r="U3791" s="16" t="n">
        <v>36</v>
      </c>
      <c r="V3791" s="16">
        <f>ROUNDUP((T3791+U3791+2*'Read Me'!$B$13)*(1+'Read Me'!$B$12),-1)</f>
        <v/>
      </c>
      <c r="W3791" s="16">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6" t="n">
        <v>196</v>
      </c>
      <c r="U3792" s="16" t="n">
        <v>36</v>
      </c>
      <c r="V3792" s="16">
        <f>ROUNDUP((T3792+U3792+2*'Read Me'!$B$13)*(1+'Read Me'!$B$12),-1)</f>
        <v/>
      </c>
      <c r="W3792" s="16">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6" t="n">
        <v>196</v>
      </c>
      <c r="U3793" s="16" t="n">
        <v>36</v>
      </c>
      <c r="V3793" s="16">
        <f>ROUNDUP((T3793+U3793+2*'Read Me'!$B$13)*(1+'Read Me'!$B$12),-1)</f>
        <v/>
      </c>
      <c r="W3793" s="16">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6" t="n">
        <v>196</v>
      </c>
      <c r="U3794" s="16" t="n">
        <v>36</v>
      </c>
      <c r="V3794" s="16">
        <f>ROUNDUP((T3794+U3794+2*'Read Me'!$B$13)*(1+'Read Me'!$B$12),-1)</f>
        <v/>
      </c>
      <c r="W3794" s="16">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6" t="n">
        <v>496</v>
      </c>
      <c r="U3795" s="16" t="n">
        <v>36</v>
      </c>
      <c r="V3795" s="16">
        <f>ROUNDUP((T3795+U3795+2*'Read Me'!$B$13)*(1+'Read Me'!$B$12),-1)</f>
        <v/>
      </c>
      <c r="W3795" s="16">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6" t="n">
        <v>496</v>
      </c>
      <c r="U3796" s="16" t="n">
        <v>36</v>
      </c>
      <c r="V3796" s="16">
        <f>ROUNDUP((T3796+U3796+2*'Read Me'!$B$13)*(1+'Read Me'!$B$12),-1)</f>
        <v/>
      </c>
      <c r="W3796" s="16">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6" t="n">
        <v>196</v>
      </c>
      <c r="U3797" s="16" t="n">
        <v>36</v>
      </c>
      <c r="V3797" s="16">
        <f>ROUNDUP((T3797+U3797+2*'Read Me'!$B$13)*(1+'Read Me'!$B$12),-1)</f>
        <v/>
      </c>
      <c r="W3797" s="16">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6" t="n">
        <v>196</v>
      </c>
      <c r="U3798" s="16" t="n">
        <v>36</v>
      </c>
      <c r="V3798" s="16">
        <f>ROUNDUP((T3798+U3798+2*'Read Me'!$B$13)*(1+'Read Me'!$B$12),-1)</f>
        <v/>
      </c>
      <c r="W3798" s="16">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6" t="n">
        <v>196</v>
      </c>
      <c r="U3799" s="16" t="n">
        <v>36</v>
      </c>
      <c r="V3799" s="16">
        <f>ROUNDUP((T3799+U3799+2*'Read Me'!$B$13)*(1+'Read Me'!$B$12),-1)</f>
        <v/>
      </c>
      <c r="W3799" s="16">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6" t="n">
        <v>196</v>
      </c>
      <c r="U3800" s="16" t="n">
        <v>36</v>
      </c>
      <c r="V3800" s="16">
        <f>ROUNDUP((T3800+U3800+2*'Read Me'!$B$13)*(1+'Read Me'!$B$12),-1)</f>
        <v/>
      </c>
      <c r="W3800" s="16">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6" t="n">
        <v>250</v>
      </c>
      <c r="U3801" s="16" t="n">
        <v>37</v>
      </c>
      <c r="V3801" s="16">
        <f>ROUNDUP((T3801+U3801+2*'Read Me'!$B$13)*(1+'Read Me'!$B$12),-1)</f>
        <v/>
      </c>
      <c r="W3801" s="16">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6" t="n">
        <v>250</v>
      </c>
      <c r="U3802" s="16" t="n">
        <v>37</v>
      </c>
      <c r="V3802" s="16">
        <f>ROUNDUP((T3802+U3802+2*'Read Me'!$B$13)*(1+'Read Me'!$B$12),-1)</f>
        <v/>
      </c>
      <c r="W3802" s="16">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6" t="n">
        <v>250</v>
      </c>
      <c r="U3803" s="16" t="n">
        <v>37</v>
      </c>
      <c r="V3803" s="16">
        <f>ROUNDUP((T3803+U3803+2*'Read Me'!$B$13)*(1+'Read Me'!$B$12),-1)</f>
        <v/>
      </c>
      <c r="W3803" s="16">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6" t="n">
        <v>250</v>
      </c>
      <c r="U3804" s="16" t="n">
        <v>37</v>
      </c>
      <c r="V3804" s="16">
        <f>ROUNDUP((T3804+U3804+2*'Read Me'!$B$13)*(1+'Read Me'!$B$12),-1)</f>
        <v/>
      </c>
      <c r="W3804" s="16">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6" t="n">
        <v>465</v>
      </c>
      <c r="U3805" s="16" t="n">
        <v>96</v>
      </c>
      <c r="V3805" s="16">
        <f>ROUNDUP((T3805+U3805+2*'Read Me'!$B$13)*(1+'Read Me'!$B$12),-1)</f>
        <v/>
      </c>
      <c r="W3805" s="16">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6" t="n">
        <v>465</v>
      </c>
      <c r="U3806" s="16" t="n">
        <v>96</v>
      </c>
      <c r="V3806" s="16">
        <f>ROUNDUP((T3806+U3806+2*'Read Me'!$B$13)*(1+'Read Me'!$B$12),-1)</f>
        <v/>
      </c>
      <c r="W3806" s="16">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6" t="n">
        <v>305</v>
      </c>
      <c r="U3807" s="16" t="n">
        <v>96</v>
      </c>
      <c r="V3807" s="16">
        <f>ROUNDUP((T3807+U3807+2*'Read Me'!$B$13)*(1+'Read Me'!$B$12),-1)</f>
        <v/>
      </c>
      <c r="W3807" s="16">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6" t="n">
        <v>305</v>
      </c>
      <c r="U3808" s="16" t="n">
        <v>96</v>
      </c>
      <c r="V3808" s="16">
        <f>ROUNDUP((T3808+U3808+2*'Read Me'!$B$13)*(1+'Read Me'!$B$12),-1)</f>
        <v/>
      </c>
      <c r="W3808" s="16">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6" t="n">
        <v>145</v>
      </c>
      <c r="U3809" s="16" t="n">
        <v>96</v>
      </c>
      <c r="V3809" s="16">
        <f>ROUNDUP((T3809+U3809+2*'Read Me'!$B$13)*(1+'Read Me'!$B$12),-1)</f>
        <v/>
      </c>
      <c r="W3809" s="16">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6" t="n">
        <v>145</v>
      </c>
      <c r="U3810" s="16" t="n">
        <v>96</v>
      </c>
      <c r="V3810" s="16">
        <f>ROUNDUP((T3810+U3810+2*'Read Me'!$B$13)*(1+'Read Me'!$B$12),-1)</f>
        <v/>
      </c>
      <c r="W3810" s="16">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6" t="n">
        <v>460</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6" t="n">
        <v>300</v>
      </c>
      <c r="U3812" s="16" t="n">
        <v>32</v>
      </c>
      <c r="V3812" s="16">
        <f>ROUNDUP((T3812+U3812+2*'Read Me'!$B$13)*(1+'Read Me'!$B$12),-1)</f>
        <v/>
      </c>
      <c r="W3812" s="16">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6" t="n">
        <v>16</v>
      </c>
      <c r="U3813" s="16" t="n">
        <v>150</v>
      </c>
      <c r="V3813" s="16">
        <f>ROUNDUP((T3813+U3813+2*'Read Me'!$B$13)*(1+'Read Me'!$B$12),-1)</f>
        <v/>
      </c>
      <c r="W3813" s="16">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6" t="n">
        <v>361</v>
      </c>
      <c r="U3814" s="16" t="n">
        <v>32</v>
      </c>
      <c r="V3814" s="16">
        <f>ROUNDUP((T3814+U3814+2*'Read Me'!$B$13)*(1+'Read Me'!$B$12),-1)</f>
        <v/>
      </c>
      <c r="W3814" s="16">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6" t="n">
        <v>409</v>
      </c>
      <c r="U3815" s="16" t="n">
        <v>32</v>
      </c>
      <c r="V3815" s="16">
        <f>ROUNDUP((T3815+U3815+2*'Read Me'!$B$13)*(1+'Read Me'!$B$12),-1)</f>
        <v/>
      </c>
      <c r="W3815" s="16">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6" t="n">
        <v>291</v>
      </c>
      <c r="U3816" s="16" t="n">
        <v>36</v>
      </c>
      <c r="V3816" s="16">
        <f>ROUNDUP((T3816+U3816+2*'Read Me'!$B$13)*(1+'Read Me'!$B$12),-1)</f>
        <v/>
      </c>
      <c r="W3816" s="16">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6" t="n">
        <v>291</v>
      </c>
      <c r="U3817" s="16" t="n">
        <v>36</v>
      </c>
      <c r="V3817" s="16">
        <f>ROUNDUP((T3817+U3817+2*'Read Me'!$B$13)*(1+'Read Me'!$B$12),-1)</f>
        <v/>
      </c>
      <c r="W3817" s="16">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6" t="n">
        <v>291</v>
      </c>
      <c r="U3818" s="16" t="n">
        <v>36</v>
      </c>
      <c r="V3818" s="16">
        <f>ROUNDUP((T3818+U3818+2*'Read Me'!$B$13)*(1+'Read Me'!$B$12),-1)</f>
        <v/>
      </c>
      <c r="W3818" s="16">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6" t="n">
        <v>303</v>
      </c>
      <c r="U3819" s="16" t="n">
        <v>34</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6" t="n">
        <v>925</v>
      </c>
      <c r="U3820" s="16" t="n">
        <v>32</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6" t="n">
        <v>925</v>
      </c>
      <c r="U3821" s="16" t="n">
        <v>32</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6" t="n">
        <v>925</v>
      </c>
      <c r="U3822" s="16" t="n">
        <v>72</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6" t="n">
        <v>925</v>
      </c>
      <c r="U3823" s="16" t="n">
        <v>72</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6" t="n">
        <v>925</v>
      </c>
      <c r="U3824" s="16" t="n">
        <v>72</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6" t="n">
        <v>925</v>
      </c>
      <c r="U3825" s="16" t="n">
        <v>72</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6" t="n">
        <v>465</v>
      </c>
      <c r="U3826" s="16" t="n">
        <v>112</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6" t="n">
        <v>465</v>
      </c>
      <c r="U3827" s="16" t="n">
        <v>112</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6" t="n">
        <v>305</v>
      </c>
      <c r="U3828" s="16" t="n">
        <v>112</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6" t="n">
        <v>305</v>
      </c>
      <c r="U3829" s="16" t="n">
        <v>112</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6" t="n">
        <v>0</v>
      </c>
      <c r="U3830" s="16" t="n">
        <v>69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6" t="n">
        <v>0</v>
      </c>
      <c r="U3831" s="16" t="n">
        <v>69</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6" t="n">
        <v>1280</v>
      </c>
      <c r="U3832" s="16" t="n">
        <v>0</v>
      </c>
      <c r="V3832" s="16">
        <f>ROUNDUP((T3832+U3832+2*'Read Me'!$B$13)*(1+'Read Me'!$B$12),-1)</f>
        <v/>
      </c>
      <c r="W3832" s="16">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6" t="n">
        <v>384</v>
      </c>
      <c r="U3833" s="16" t="n">
        <v>0</v>
      </c>
      <c r="V3833" s="16">
        <f>ROUNDUP((T3833+U3833+2*'Read Me'!$B$13)*(1+'Read Me'!$B$12),-1)</f>
        <v/>
      </c>
      <c r="W3833" s="16">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68</v>
      </c>
      <c r="U3834" s="16" t="n">
        <v>37</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6" t="n">
        <v>0</v>
      </c>
      <c r="U3835" s="16" t="n">
        <v>32</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318</v>
      </c>
      <c r="U3836" s="16" t="n">
        <v>103</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318</v>
      </c>
      <c r="U3837" s="16" t="n">
        <v>103</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6" t="n">
        <v>178</v>
      </c>
      <c r="U3838" s="16" t="n">
        <v>123</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6" t="n">
        <v>178</v>
      </c>
      <c r="U3839" s="16" t="n">
        <v>123</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6" t="n">
        <v>74</v>
      </c>
      <c r="U3840" s="16" t="n">
        <v>107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6" t="n">
        <v>74</v>
      </c>
      <c r="U3841" s="16" t="n">
        <v>107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318</v>
      </c>
      <c r="U3842" s="16" t="n">
        <v>161</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318</v>
      </c>
      <c r="U3843" s="16" t="n">
        <v>161</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6" t="n">
        <v>178</v>
      </c>
      <c r="U3844" s="16" t="n">
        <v>181</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6" t="n">
        <v>178</v>
      </c>
      <c r="U3845" s="16" t="n">
        <v>181</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6" t="n">
        <v>74</v>
      </c>
      <c r="U3846" s="16" t="n">
        <v>165</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6" t="n">
        <v>74</v>
      </c>
      <c r="U3847" s="16" t="n">
        <v>165</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6" t="n">
        <v>318</v>
      </c>
      <c r="U3848" s="16" t="n">
        <v>219</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6" t="n">
        <v>318</v>
      </c>
      <c r="U3849" s="16" t="n">
        <v>219</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6" t="n">
        <v>178</v>
      </c>
      <c r="U3850" s="16" t="n">
        <v>239</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6" t="n">
        <v>178</v>
      </c>
      <c r="U3851" s="16" t="n">
        <v>239</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6" t="n">
        <v>380</v>
      </c>
      <c r="U3852" s="16" t="n">
        <v>149</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6" t="n">
        <v>380</v>
      </c>
      <c r="U3853" s="16" t="n">
        <v>149</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6" t="n">
        <v>620</v>
      </c>
      <c r="U3854" s="16" t="n">
        <v>91</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6" t="n">
        <v>620</v>
      </c>
      <c r="U3855" s="16" t="n">
        <v>91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6" t="n">
        <v>500</v>
      </c>
      <c r="U3856" s="16" t="n">
        <v>91</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6" t="n">
        <v>500</v>
      </c>
      <c r="U3857" s="16" t="n">
        <v>91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6" t="n">
        <v>380</v>
      </c>
      <c r="U3858" s="16" t="n">
        <v>91</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6" t="n">
        <v>380</v>
      </c>
      <c r="U3859" s="16" t="n">
        <v>91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6" t="n">
        <v>620</v>
      </c>
      <c r="U3860" s="16" t="n">
        <v>37</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6" t="n">
        <v>620</v>
      </c>
      <c r="U3861" s="16" t="n">
        <v>37</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6" t="n">
        <v>500</v>
      </c>
      <c r="U3862" s="16" t="n">
        <v>37</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6" t="n">
        <v>500</v>
      </c>
      <c r="U3863" s="16" t="n">
        <v>37</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6" t="n">
        <v>380</v>
      </c>
      <c r="U3864" s="16" t="n">
        <v>37</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6" t="n">
        <v>380</v>
      </c>
      <c r="U3865" s="16" t="n">
        <v>37</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38</v>
      </c>
      <c r="U3866" s="16" t="n">
        <v>32</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6" t="n">
        <v>38</v>
      </c>
      <c r="U3867" s="16" t="n">
        <v>32</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6" t="n">
        <v>38</v>
      </c>
      <c r="U3868" s="16" t="n">
        <v>32</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6" t="n">
        <v>38</v>
      </c>
      <c r="U3869" s="16" t="n">
        <v>32</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6" t="n">
        <v>336</v>
      </c>
      <c r="U3870" s="16" t="n">
        <v>32</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6" t="n">
        <v>10</v>
      </c>
      <c r="U3871" s="16" t="n">
        <v>150</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160</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6" t="n">
        <v>0</v>
      </c>
      <c r="U3873" s="16" t="n">
        <v>200</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6" t="n">
        <v>0</v>
      </c>
      <c r="U3874" s="16" t="n">
        <v>200</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6" t="n">
        <v>0</v>
      </c>
      <c r="U3875" s="16" t="n">
        <v>168</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6" t="n">
        <v>0</v>
      </c>
      <c r="U3876" s="16" t="n">
        <v>168</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6" t="n">
        <v>10</v>
      </c>
      <c r="U3877" s="16" t="n">
        <v>266</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6" t="n">
        <v>0</v>
      </c>
      <c r="U3878" s="16" t="n">
        <v>276</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6" t="n">
        <v>0</v>
      </c>
      <c r="U3879" s="16" t="n">
        <v>316</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6" t="n">
        <v>0</v>
      </c>
      <c r="U3880" s="16" t="n">
        <v>316</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6" t="n">
        <v>0</v>
      </c>
      <c r="U3881" s="16" t="n">
        <v>284</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Tray</t>
        </is>
      </c>
      <c r="T3882" s="16" t="n">
        <v>0</v>
      </c>
      <c r="U3882" s="16" t="n">
        <v>284</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6" t="n">
        <v>0</v>
      </c>
      <c r="U3883" s="16" t="n">
        <v>290</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6" t="n">
        <v>0</v>
      </c>
      <c r="U3884" s="16" t="n">
        <v>290</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6" t="n">
        <v>0</v>
      </c>
      <c r="U3885" s="16" t="n">
        <v>290</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6" t="n">
        <v>0</v>
      </c>
      <c r="U3886" s="16" t="n">
        <v>290</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6" t="n">
        <v>0</v>
      </c>
      <c r="U3887" s="16" t="n">
        <v>290</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6" t="n">
        <v>0</v>
      </c>
      <c r="U3888" s="16" t="n">
        <v>290</v>
      </c>
      <c r="V3888" s="16">
        <f>ROUNDUP((T3888+U3888+2*'Read Me'!$B$13)*(1+'Read Me'!$B$12),-1)</f>
        <v/>
      </c>
      <c r="W3888" s="16">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6" t="n">
        <v>0</v>
      </c>
      <c r="U3889" s="16" t="n">
        <v>174</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6" t="n">
        <v>0</v>
      </c>
      <c r="U3890" s="16" t="n">
        <v>174</v>
      </c>
      <c r="V3890" s="16">
        <f>ROUNDUP((T3890+U3890+2*'Read Me'!$B$13)*(1+'Read Me'!$B$12),-1)</f>
        <v/>
      </c>
      <c r="W3890" s="16">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6" t="n">
        <v>0</v>
      </c>
      <c r="U3891" s="16" t="n">
        <v>174</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6" t="n">
        <v>0</v>
      </c>
      <c r="U3892" s="16" t="n">
        <v>174</v>
      </c>
      <c r="V3892" s="16">
        <f>ROUNDUP((T3892+U3892+2*'Read Me'!$B$13)*(1+'Read Me'!$B$12),-1)</f>
        <v/>
      </c>
      <c r="W3892" s="16">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6" t="n">
        <v>0</v>
      </c>
      <c r="U3893" s="16" t="n">
        <v>174</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6" t="n">
        <v>0</v>
      </c>
      <c r="U3894" s="16" t="n">
        <v>174</v>
      </c>
      <c r="V3894" s="16">
        <f>ROUNDUP((T3894+U3894+2*'Read Me'!$B$13)*(1+'Read Me'!$B$12),-1)</f>
        <v/>
      </c>
      <c r="W3894" s="16">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6" t="n">
        <v>0</v>
      </c>
      <c r="U3895" s="16" t="n">
        <v>62</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6" t="n">
        <v>0</v>
      </c>
      <c r="U3896" s="16" t="n">
        <v>62</v>
      </c>
      <c r="V3896" s="16">
        <f>ROUNDUP((T3896+U3896+2*'Read Me'!$B$13)*(1+'Read Me'!$B$12),-1)</f>
        <v/>
      </c>
      <c r="W3896" s="16">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6" t="n">
        <v>0</v>
      </c>
      <c r="U3897" s="16" t="n">
        <v>62</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6" t="n">
        <v>0</v>
      </c>
      <c r="U3898" s="16" t="n">
        <v>62</v>
      </c>
      <c r="V3898" s="16">
        <f>ROUNDUP((T3898+U3898+2*'Read Me'!$B$13)*(1+'Read Me'!$B$12),-1)</f>
        <v/>
      </c>
      <c r="W3898" s="16">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6" t="n">
        <v>0</v>
      </c>
      <c r="U3899" s="16" t="n">
        <v>62</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6" t="n">
        <v>0</v>
      </c>
      <c r="U3900" s="16" t="n">
        <v>62</v>
      </c>
      <c r="V3900" s="16">
        <f>ROUNDUP((T3900+U3900+2*'Read Me'!$B$13)*(1+'Read Me'!$B$12),-1)</f>
        <v/>
      </c>
      <c r="W3900" s="16">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6" t="n">
        <v>180</v>
      </c>
      <c r="U3901" s="16" t="n">
        <v>32</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6" t="n">
        <v>180</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6" t="n">
        <v>180</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6" t="n">
        <v>180</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6" t="n">
        <v>180</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6" t="n">
        <v>180</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6" t="n">
        <v>162</v>
      </c>
      <c r="U3907" s="16" t="n">
        <v>32</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6" t="n">
        <v>162</v>
      </c>
      <c r="U3908" s="16" t="n">
        <v>32</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6" t="n">
        <v>162</v>
      </c>
      <c r="U3909" s="16" t="n">
        <v>32</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6" t="n">
        <v>162</v>
      </c>
      <c r="U3910" s="16" t="n">
        <v>32</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6" t="n">
        <v>280</v>
      </c>
      <c r="U3911" s="16" t="n">
        <v>87</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6" t="n">
        <v>280</v>
      </c>
      <c r="U3912" s="16" t="n">
        <v>87</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6" t="n">
        <v>280</v>
      </c>
      <c r="U3913" s="16" t="n">
        <v>87</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6" t="n">
        <v>280</v>
      </c>
      <c r="U3914" s="16" t="n">
        <v>87</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6" t="n">
        <v>10</v>
      </c>
      <c r="U3915" s="16" t="n">
        <v>150</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160</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6" t="n">
        <v>0</v>
      </c>
      <c r="U3917" s="16" t="n">
        <v>200</v>
      </c>
      <c r="V3917" s="16">
        <f>ROUNDUP((T3917+U3917+2*'Read Me'!$B$13)*(1+'Read Me'!$B$12),-1)</f>
        <v/>
      </c>
      <c r="W3917" s="16">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6" t="n">
        <v>0</v>
      </c>
      <c r="U3918" s="16" t="n">
        <v>200</v>
      </c>
      <c r="V3918" s="16">
        <f>ROUNDUP((T3918+U3918+2*'Read Me'!$B$13)*(1+'Read Me'!$B$12),-1)</f>
        <v/>
      </c>
      <c r="W3918" s="16">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6" t="n">
        <v>0</v>
      </c>
      <c r="U3919" s="16" t="n">
        <v>168</v>
      </c>
      <c r="V3919" s="16">
        <f>ROUNDUP((T3919+U3919+2*'Read Me'!$B$13)*(1+'Read Me'!$B$12),-1)</f>
        <v/>
      </c>
      <c r="W3919" s="16">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6" t="n">
        <v>10</v>
      </c>
      <c r="U3920" s="16" t="n">
        <v>158</v>
      </c>
      <c r="V3920" s="16">
        <f>ROUNDUP((T3920+U3920+2*'Read Me'!$B$13)*(1+'Read Me'!$B$12),-1)</f>
        <v/>
      </c>
      <c r="W3920" s="16">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6" t="n">
        <v>10</v>
      </c>
      <c r="U3921" s="16" t="n">
        <v>266</v>
      </c>
      <c r="V3921" s="16">
        <f>ROUNDUP((T3921+U3921+2*'Read Me'!$B$13)*(1+'Read Me'!$B$12),-1)</f>
        <v/>
      </c>
      <c r="W3921" s="16">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6" t="n">
        <v>0</v>
      </c>
      <c r="U3922" s="16" t="n">
        <v>276</v>
      </c>
      <c r="V3922" s="16">
        <f>ROUNDUP((T3922+U3922+2*'Read Me'!$B$13)*(1+'Read Me'!$B$12),-1)</f>
        <v/>
      </c>
      <c r="W3922" s="16">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6" t="n">
        <v>0</v>
      </c>
      <c r="U3923" s="16" t="n">
        <v>316</v>
      </c>
      <c r="V3923" s="16">
        <f>ROUNDUP((T3923+U3923+2*'Read Me'!$B$13)*(1+'Read Me'!$B$12),-1)</f>
        <v/>
      </c>
      <c r="W3923" s="16">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6" t="n">
        <v>0</v>
      </c>
      <c r="U3924" s="16" t="n">
        <v>316</v>
      </c>
      <c r="V3924" s="16">
        <f>ROUNDUP((T3924+U3924+2*'Read Me'!$B$13)*(1+'Read Me'!$B$12),-1)</f>
        <v/>
      </c>
      <c r="W3924" s="16">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6" t="n">
        <v>0</v>
      </c>
      <c r="U3925" s="16" t="n">
        <v>284</v>
      </c>
      <c r="V3925" s="16">
        <f>ROUNDUP((T3925+U3925+2*'Read Me'!$B$13)*(1+'Read Me'!$B$12),-1)</f>
        <v/>
      </c>
      <c r="W3925" s="16">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6" t="n">
        <v>10</v>
      </c>
      <c r="U3926" s="16" t="n">
        <v>274</v>
      </c>
      <c r="V3926" s="16">
        <f>ROUNDUP((T3926+U3926+2*'Read Me'!$B$13)*(1+'Read Me'!$B$12),-1)</f>
        <v/>
      </c>
      <c r="W3926" s="16">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6" t="n">
        <v>0</v>
      </c>
      <c r="U3927" s="16" t="n">
        <v>290</v>
      </c>
      <c r="V3927" s="16">
        <f>ROUNDUP((T3927+U3927+2*'Read Me'!$B$13)*(1+'Read Me'!$B$12),-1)</f>
        <v/>
      </c>
      <c r="W3927" s="16">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6" t="n">
        <v>0</v>
      </c>
      <c r="U3928" s="16" t="n">
        <v>290</v>
      </c>
      <c r="V3928" s="16">
        <f>ROUNDUP((T3928+U3928+2*'Read Me'!$B$13)*(1+'Read Me'!$B$12),-1)</f>
        <v/>
      </c>
      <c r="W3928" s="16">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6" t="n">
        <v>0</v>
      </c>
      <c r="U3929" s="16" t="n">
        <v>290</v>
      </c>
      <c r="V3929" s="16">
        <f>ROUNDUP((T3929+U3929+2*'Read Me'!$B$13)*(1+'Read Me'!$B$12),-1)</f>
        <v/>
      </c>
      <c r="W3929" s="16">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6" t="n">
        <v>0</v>
      </c>
      <c r="U3930" s="16" t="n">
        <v>290</v>
      </c>
      <c r="V3930" s="16">
        <f>ROUNDUP((T3930+U3930+2*'Read Me'!$B$13)*(1+'Read Me'!$B$12),-1)</f>
        <v/>
      </c>
      <c r="W3930" s="16">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6" t="n">
        <v>0</v>
      </c>
      <c r="U3931" s="16" t="n">
        <v>290</v>
      </c>
      <c r="V3931" s="16">
        <f>ROUNDUP((T3931+U3931+2*'Read Me'!$B$13)*(1+'Read Me'!$B$12),-1)</f>
        <v/>
      </c>
      <c r="W3931" s="16">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6" t="n">
        <v>27</v>
      </c>
      <c r="U3932" s="16" t="n">
        <v>263</v>
      </c>
      <c r="V3932" s="16">
        <f>ROUNDUP((T3932+U3932+2*'Read Me'!$B$13)*(1+'Read Me'!$B$12),-1)</f>
        <v/>
      </c>
      <c r="W3932" s="16">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6" t="n">
        <v>0</v>
      </c>
      <c r="U3933" s="16" t="n">
        <v>174</v>
      </c>
      <c r="V3933" s="16">
        <f>ROUNDUP((T3933+U3933+2*'Read Me'!$B$13)*(1+'Read Me'!$B$12),-1)</f>
        <v/>
      </c>
      <c r="W3933" s="16">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6" t="n">
        <v>0</v>
      </c>
      <c r="U3934" s="16" t="n">
        <v>174</v>
      </c>
      <c r="V3934" s="16">
        <f>ROUNDUP((T3934+U3934+2*'Read Me'!$B$13)*(1+'Read Me'!$B$12),-1)</f>
        <v/>
      </c>
      <c r="W3934" s="16">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6" t="n">
        <v>0</v>
      </c>
      <c r="U3935" s="16" t="n">
        <v>174</v>
      </c>
      <c r="V3935" s="16">
        <f>ROUNDUP((T3935+U3935+2*'Read Me'!$B$13)*(1+'Read Me'!$B$12),-1)</f>
        <v/>
      </c>
      <c r="W3935" s="16">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6" t="n">
        <v>0</v>
      </c>
      <c r="U3936" s="16" t="n">
        <v>174</v>
      </c>
      <c r="V3936" s="16">
        <f>ROUNDUP((T3936+U3936+2*'Read Me'!$B$13)*(1+'Read Me'!$B$12),-1)</f>
        <v/>
      </c>
      <c r="W3936" s="16">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6" t="n">
        <v>0</v>
      </c>
      <c r="U3937" s="16" t="n">
        <v>174</v>
      </c>
      <c r="V3937" s="16">
        <f>ROUNDUP((T3937+U3937+2*'Read Me'!$B$13)*(1+'Read Me'!$B$12),-1)</f>
        <v/>
      </c>
      <c r="W3937" s="16">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6" t="n">
        <v>0</v>
      </c>
      <c r="U3938" s="16" t="n">
        <v>174</v>
      </c>
      <c r="V3938" s="16">
        <f>ROUNDUP((T3938+U3938+2*'Read Me'!$B$13)*(1+'Read Me'!$B$12),-1)</f>
        <v/>
      </c>
      <c r="W3938" s="16">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6" t="n">
        <v>0</v>
      </c>
      <c r="U3939" s="16" t="n">
        <v>62</v>
      </c>
      <c r="V3939" s="16">
        <f>ROUNDUP((T3939+U3939+2*'Read Me'!$B$13)*(1+'Read Me'!$B$12),-1)</f>
        <v/>
      </c>
      <c r="W3939" s="16">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6" t="n">
        <v>0</v>
      </c>
      <c r="U3940" s="16" t="n">
        <v>62</v>
      </c>
      <c r="V3940" s="16">
        <f>ROUNDUP((T3940+U3940+2*'Read Me'!$B$13)*(1+'Read Me'!$B$12),-1)</f>
        <v/>
      </c>
      <c r="W3940" s="16">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6" t="n">
        <v>0</v>
      </c>
      <c r="U3941" s="16" t="n">
        <v>62</v>
      </c>
      <c r="V3941" s="16">
        <f>ROUNDUP((T3941+U3941+2*'Read Me'!$B$13)*(1+'Read Me'!$B$12),-1)</f>
        <v/>
      </c>
      <c r="W3941" s="16">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6" t="n">
        <v>0</v>
      </c>
      <c r="U3942" s="16" t="n">
        <v>62</v>
      </c>
      <c r="V3942" s="16">
        <f>ROUNDUP((T3942+U3942+2*'Read Me'!$B$13)*(1+'Read Me'!$B$12),-1)</f>
        <v/>
      </c>
      <c r="W3942" s="16">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6" t="n">
        <v>0</v>
      </c>
      <c r="U3943" s="16" t="n">
        <v>62</v>
      </c>
      <c r="V3943" s="16">
        <f>ROUNDUP((T3943+U3943+2*'Read Me'!$B$13)*(1+'Read Me'!$B$12),-1)</f>
        <v/>
      </c>
      <c r="W3943" s="16">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6" t="n">
        <v>0</v>
      </c>
      <c r="U3944" s="16" t="n">
        <v>62</v>
      </c>
      <c r="V3944" s="16">
        <f>ROUNDUP((T3944+U3944+2*'Read Me'!$B$13)*(1+'Read Me'!$B$12),-1)</f>
        <v/>
      </c>
      <c r="W3944" s="16">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6" t="n">
        <v>2496</v>
      </c>
      <c r="U3945" s="16" t="n">
        <v>36</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6" t="n">
        <v>2583</v>
      </c>
      <c r="U3946" s="16" t="n">
        <v>76</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68</v>
      </c>
      <c r="U3947" s="16" t="n">
        <v>37</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6" t="n">
        <v>0</v>
      </c>
      <c r="U3948" s="16" t="n">
        <v>32</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336</v>
      </c>
      <c r="U3949" s="16" t="n">
        <v>32</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300</v>
      </c>
      <c r="U3950" s="16" t="n">
        <v>89</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160</v>
      </c>
      <c r="U3951" s="16" t="n">
        <v>169</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6" t="n">
        <v>160</v>
      </c>
      <c r="U3952" s="16" t="n">
        <v>109</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6" t="n">
        <v>70</v>
      </c>
      <c r="U3953" s="16" t="n">
        <v>139</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6" t="n">
        <v>30</v>
      </c>
      <c r="U3954" s="16" t="n">
        <v>93</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6" t="n">
        <v>0</v>
      </c>
      <c r="U3955" s="16" t="n">
        <v>83</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6" t="n">
        <v>300</v>
      </c>
      <c r="U3956" s="16" t="n">
        <v>147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6" t="n">
        <v>160</v>
      </c>
      <c r="U3957" s="16" t="n">
        <v>227</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6" t="n">
        <v>160</v>
      </c>
      <c r="U3958" s="16" t="n">
        <v>167</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6" t="n">
        <v>30</v>
      </c>
      <c r="U3959" s="16" t="n">
        <v>211</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6" t="n">
        <v>30</v>
      </c>
      <c r="U3960" s="16" t="n">
        <v>151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Tray</t>
        </is>
      </c>
      <c r="T3961" s="16" t="n">
        <v>0</v>
      </c>
      <c r="U3961" s="16" t="n">
        <v>141</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6" t="n">
        <v>300</v>
      </c>
      <c r="U3963" s="16" t="n">
        <v>205</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6" t="n">
        <v>160</v>
      </c>
      <c r="U3964" s="16" t="n">
        <v>225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6" t="n">
        <v>160</v>
      </c>
      <c r="U3965" s="16" t="n">
        <v>225</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6" t="n">
        <v>30</v>
      </c>
      <c r="U3966" s="16" t="n">
        <v>209</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6" t="n">
        <v>336</v>
      </c>
      <c r="U3967" s="16" t="n">
        <v>173</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6" t="n">
        <v>340</v>
      </c>
      <c r="U3968" s="16" t="n">
        <v>253</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6" t="n">
        <v>300</v>
      </c>
      <c r="U3969" s="16" t="n">
        <v>263</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6" t="n">
        <v>160</v>
      </c>
      <c r="U3970" s="16" t="n">
        <v>283</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6" t="n">
        <v>160</v>
      </c>
      <c r="U3971" s="16" t="n">
        <v>283</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6" t="n">
        <v>336</v>
      </c>
      <c r="U3972" s="16" t="n">
        <v>115</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6" t="n">
        <v>336</v>
      </c>
      <c r="U3973" s="16" t="n">
        <v>115</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6" t="n">
        <v>602</v>
      </c>
      <c r="U3974" s="16" t="n">
        <v>57</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6" t="n">
        <v>482</v>
      </c>
      <c r="U3975" s="16" t="n">
        <v>117</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6" t="n">
        <v>336</v>
      </c>
      <c r="U3976" s="16" t="n">
        <v>177</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6" t="n">
        <v>336</v>
      </c>
      <c r="U3977" s="16" t="n">
        <v>117</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6" t="n">
        <v>336</v>
      </c>
      <c r="U3978" s="16" t="n">
        <v>57</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6" t="n">
        <v>336</v>
      </c>
      <c r="U3979" s="16" t="n">
        <v>57</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300</v>
      </c>
      <c r="U3981" s="16" t="n">
        <v>103</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300</v>
      </c>
      <c r="U3983" s="16" t="n">
        <v>103</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160</v>
      </c>
      <c r="U3985" s="16" t="n">
        <v>123</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160</v>
      </c>
      <c r="U3987" s="16" t="n">
        <v>123</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30</v>
      </c>
      <c r="U3989" s="16" t="n">
        <v>107</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30</v>
      </c>
      <c r="U3991" s="16" t="n">
        <v>107</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300</v>
      </c>
      <c r="U3993" s="16" t="n">
        <v>161</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300</v>
      </c>
      <c r="U3995" s="16" t="n">
        <v>161</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160</v>
      </c>
      <c r="U3997" s="16" t="n">
        <v>181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160</v>
      </c>
      <c r="U3999" s="16" t="n">
        <v>181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30</v>
      </c>
      <c r="U4001" s="16" t="n">
        <v>165</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30</v>
      </c>
      <c r="U4003" s="16" t="n">
        <v>165</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300</v>
      </c>
      <c r="U4005" s="16" t="n">
        <v>219</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300</v>
      </c>
      <c r="U4007" s="16" t="n">
        <v>219</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160</v>
      </c>
      <c r="U4009" s="16" t="n">
        <v>239</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160</v>
      </c>
      <c r="U4011" s="16" t="n">
        <v>239</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6" t="n">
        <v>43</v>
      </c>
      <c r="U4012" s="16" t="n">
        <v>10</v>
      </c>
      <c r="V4012" s="16">
        <f>ROUNDUP((T4012+U4012+2*'Read Me'!$B$13)*(1+'Read Me'!$B$12),-1)</f>
        <v/>
      </c>
      <c r="W4012" s="16">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6" t="n">
        <v>336</v>
      </c>
      <c r="U4013" s="16" t="n">
        <v>149</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6" t="n">
        <v>43</v>
      </c>
      <c r="U4014" s="16" t="n">
        <v>10</v>
      </c>
      <c r="V4014" s="16">
        <f>ROUNDUP((T4014+U4014+2*'Read Me'!$B$13)*(1+'Read Me'!$B$12),-1)</f>
        <v/>
      </c>
      <c r="W4014" s="16">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6" t="n">
        <v>336</v>
      </c>
      <c r="U4015" s="16" t="n">
        <v>149</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6" t="n">
        <v>43</v>
      </c>
      <c r="U4016" s="16" t="n">
        <v>10</v>
      </c>
      <c r="V4016" s="16">
        <f>ROUNDUP((T4016+U4016+2*'Read Me'!$B$13)*(1+'Read Me'!$B$12),-1)</f>
        <v/>
      </c>
      <c r="W4016" s="16">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6" t="n">
        <v>602</v>
      </c>
      <c r="U4017" s="16" t="n">
        <v>91</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6" t="n">
        <v>43</v>
      </c>
      <c r="U4018" s="16" t="n">
        <v>10</v>
      </c>
      <c r="V4018" s="16">
        <f>ROUNDUP((T4018+U4018+2*'Read Me'!$B$13)*(1+'Read Me'!$B$12),-1)</f>
        <v/>
      </c>
      <c r="W4018" s="16">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6" t="n">
        <v>602</v>
      </c>
      <c r="U4019" s="16" t="n">
        <v>91</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6" t="n">
        <v>43</v>
      </c>
      <c r="U4020" s="16" t="n">
        <v>10</v>
      </c>
      <c r="V4020" s="16">
        <f>ROUNDUP((T4020+U4020+2*'Read Me'!$B$13)*(1+'Read Me'!$B$12),-1)</f>
        <v/>
      </c>
      <c r="W4020" s="16">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6" t="n">
        <v>336</v>
      </c>
      <c r="U4021" s="16" t="n">
        <v>211</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6" t="n">
        <v>43</v>
      </c>
      <c r="U4022" s="16" t="n">
        <v>10</v>
      </c>
      <c r="V4022" s="16">
        <f>ROUNDUP((T4022+U4022+2*'Read Me'!$B$13)*(1+'Read Me'!$B$12),-1)</f>
        <v/>
      </c>
      <c r="W4022" s="16">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6" t="n">
        <v>336</v>
      </c>
      <c r="U4023" s="16" t="n">
        <v>211</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6" t="n">
        <v>43</v>
      </c>
      <c r="U4024" s="16" t="n">
        <v>10</v>
      </c>
      <c r="V4024" s="16">
        <f>ROUNDUP((T4024+U4024+2*'Read Me'!$B$13)*(1+'Read Me'!$B$12),-1)</f>
        <v/>
      </c>
      <c r="W4024" s="16">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6" t="n">
        <v>336</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6" t="n">
        <v>43</v>
      </c>
      <c r="U4026" s="16" t="n">
        <v>10</v>
      </c>
      <c r="V4026" s="16">
        <f>ROUNDUP((T4026+U4026+2*'Read Me'!$B$13)*(1+'Read Me'!$B$12),-1)</f>
        <v/>
      </c>
      <c r="W4026" s="16">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6" t="n">
        <v>336</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6" t="n">
        <v>43</v>
      </c>
      <c r="U4028" s="16" t="n">
        <v>10</v>
      </c>
      <c r="V4028" s="16">
        <f>ROUNDUP((T4028+U4028+2*'Read Me'!$B$13)*(1+'Read Me'!$B$12),-1)</f>
        <v/>
      </c>
      <c r="W4028" s="16">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6" t="n">
        <v>602</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6" t="n">
        <v>43</v>
      </c>
      <c r="U4030" s="16" t="n">
        <v>10</v>
      </c>
      <c r="V4030" s="16">
        <f>ROUNDUP((T4030+U4030+2*'Read Me'!$B$13)*(1+'Read Me'!$B$12),-1)</f>
        <v/>
      </c>
      <c r="W4030" s="16">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6" t="n">
        <v>602</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6" t="n">
        <v>43</v>
      </c>
      <c r="U4032" s="16" t="n">
        <v>10</v>
      </c>
      <c r="V4032" s="16">
        <f>ROUNDUP((T4032+U4032+2*'Read Me'!$B$13)*(1+'Read Me'!$B$12),-1)</f>
        <v/>
      </c>
      <c r="W4032" s="16">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6" t="n">
        <v>336</v>
      </c>
      <c r="U4033" s="16" t="n">
        <v>157</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6" t="n">
        <v>43</v>
      </c>
      <c r="U4034" s="16" t="n">
        <v>10</v>
      </c>
      <c r="V4034" s="16">
        <f>ROUNDUP((T4034+U4034+2*'Read Me'!$B$13)*(1+'Read Me'!$B$12),-1)</f>
        <v/>
      </c>
      <c r="W4034" s="16">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6" t="n">
        <v>336</v>
      </c>
      <c r="U4035" s="16" t="n">
        <v>157</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6" t="n">
        <v>43</v>
      </c>
      <c r="U4036" s="16" t="n">
        <v>10</v>
      </c>
      <c r="V4036" s="16">
        <f>ROUNDUP((T4036+U4036+2*'Read Me'!$B$13)*(1+'Read Me'!$B$12),-1)</f>
        <v/>
      </c>
      <c r="W4036" s="16">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6" t="n">
        <v>336</v>
      </c>
      <c r="U4037" s="16" t="n">
        <v>37</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6" t="n">
        <v>43</v>
      </c>
      <c r="U4038" s="16" t="n">
        <v>10</v>
      </c>
      <c r="V4038" s="16">
        <f>ROUNDUP((T4038+U4038+2*'Read Me'!$B$13)*(1+'Read Me'!$B$12),-1)</f>
        <v/>
      </c>
      <c r="W4038" s="16">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6" t="n">
        <v>336</v>
      </c>
      <c r="U4039" s="16" t="n">
        <v>37</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38</v>
      </c>
      <c r="U4040" s="16" t="n">
        <v>32</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6" t="n">
        <v>336</v>
      </c>
      <c r="U4041" s="16" t="n">
        <v>32</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6" t="n">
        <v>336</v>
      </c>
      <c r="U4042" s="16" t="n">
        <v>32</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6" t="n">
        <v>336</v>
      </c>
      <c r="U4043" s="16" t="n">
        <v>32</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6" t="n">
        <v>336</v>
      </c>
      <c r="U4044" s="16" t="n">
        <v>32</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6" t="n">
        <v>10</v>
      </c>
      <c r="U4045" s="16" t="n">
        <v>150</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160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6" t="n">
        <v>0</v>
      </c>
      <c r="U4047" s="16" t="n">
        <v>200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6" t="n">
        <v>0</v>
      </c>
      <c r="U4048" s="16" t="n">
        <v>200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6" t="n">
        <v>0</v>
      </c>
      <c r="U4049" s="16" t="n">
        <v>168</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6" t="n">
        <v>0</v>
      </c>
      <c r="U4050" s="16" t="n">
        <v>168</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6" t="n">
        <v>10</v>
      </c>
      <c r="U4051" s="16" t="n">
        <v>266</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6" t="n">
        <v>0</v>
      </c>
      <c r="U4052" s="16" t="n">
        <v>276</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6" t="n">
        <v>0</v>
      </c>
      <c r="U4053" s="16" t="n">
        <v>316</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6" t="n">
        <v>0</v>
      </c>
      <c r="U4054" s="16" t="n">
        <v>316</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6" t="n">
        <v>0</v>
      </c>
      <c r="U4055" s="16" t="n">
        <v>284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Tray</t>
        </is>
      </c>
      <c r="T4056" s="16" t="n">
        <v>0</v>
      </c>
      <c r="U4056" s="16" t="n">
        <v>284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6" t="n">
        <v>0</v>
      </c>
      <c r="U4057" s="16" t="n">
        <v>290</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6" t="n">
        <v>0</v>
      </c>
      <c r="U4058" s="16" t="n">
        <v>290</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6" t="n">
        <v>0</v>
      </c>
      <c r="U4059" s="16" t="n">
        <v>290</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6" t="n">
        <v>0</v>
      </c>
      <c r="U4060" s="16" t="n">
        <v>290</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6" t="n">
        <v>0</v>
      </c>
      <c r="U4061" s="16" t="n">
        <v>290</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6" t="n">
        <v>0</v>
      </c>
      <c r="U4062" s="16" t="n">
        <v>290</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6" t="n">
        <v>0</v>
      </c>
      <c r="U4063" s="16" t="n">
        <v>174</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6" t="n">
        <v>0</v>
      </c>
      <c r="U4064" s="16" t="n">
        <v>174</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6" t="n">
        <v>0</v>
      </c>
      <c r="U4065" s="16" t="n">
        <v>174</v>
      </c>
      <c r="V4065" s="16">
        <f>ROUNDUP((T4065+U4065+2*'Read Me'!$B$13)*(1+'Read Me'!$B$12),-1)</f>
        <v/>
      </c>
      <c r="W4065" s="16">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6" t="n">
        <v>0</v>
      </c>
      <c r="U4066" s="16" t="n">
        <v>174</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6" t="n">
        <v>0</v>
      </c>
      <c r="U4067" s="16" t="n">
        <v>174</v>
      </c>
      <c r="V4067" s="16">
        <f>ROUNDUP((T4067+U4067+2*'Read Me'!$B$13)*(1+'Read Me'!$B$12),-1)</f>
        <v/>
      </c>
      <c r="W4067" s="16">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6" t="n">
        <v>0</v>
      </c>
      <c r="U4068" s="16" t="n">
        <v>174</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6" t="n">
        <v>0</v>
      </c>
      <c r="U4069" s="16" t="n">
        <v>62</v>
      </c>
      <c r="V4069" s="16">
        <f>ROUNDUP((T4069+U4069+2*'Read Me'!$B$13)*(1+'Read Me'!$B$12),-1)</f>
        <v/>
      </c>
      <c r="W4069" s="16">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6" t="n">
        <v>0</v>
      </c>
      <c r="U4070" s="16" t="n">
        <v>62</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6" t="n">
        <v>0</v>
      </c>
      <c r="U4071" s="16" t="n">
        <v>62</v>
      </c>
      <c r="V4071" s="16">
        <f>ROUNDUP((T4071+U4071+2*'Read Me'!$B$13)*(1+'Read Me'!$B$12),-1)</f>
        <v/>
      </c>
      <c r="W4071" s="16">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6" t="n">
        <v>0</v>
      </c>
      <c r="U4072" s="16" t="n">
        <v>62</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6" t="n">
        <v>0</v>
      </c>
      <c r="U4073" s="16" t="n">
        <v>62</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6" t="n">
        <v>0</v>
      </c>
      <c r="U4074" s="16" t="n">
        <v>62</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300</v>
      </c>
      <c r="U4076" s="16" t="n">
        <v>89</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6" t="n">
        <v>160</v>
      </c>
      <c r="U4078" s="16" t="n">
        <v>169</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160</v>
      </c>
      <c r="U4080" s="16" t="n">
        <v>109</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70</v>
      </c>
      <c r="U4082" s="16" t="n">
        <v>139</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30</v>
      </c>
      <c r="U4084" s="16" t="n">
        <v>93</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6" t="n">
        <v>0</v>
      </c>
      <c r="U4086" s="16" t="n">
        <v>83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300</v>
      </c>
      <c r="U4088" s="16" t="n">
        <v>147</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160</v>
      </c>
      <c r="U4090" s="16" t="n">
        <v>227</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160</v>
      </c>
      <c r="U4092" s="16" t="n">
        <v>167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30</v>
      </c>
      <c r="U4094" s="16" t="n">
        <v>211</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30</v>
      </c>
      <c r="U4096" s="16" t="n">
        <v>151</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Tray</t>
        </is>
      </c>
      <c r="T4098" s="16" t="n">
        <v>0</v>
      </c>
      <c r="U4098" s="16" t="n">
        <v>141</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300</v>
      </c>
      <c r="U4100" s="16" t="n">
        <v>205</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300</v>
      </c>
      <c r="U4102" s="16" t="n">
        <v>205</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160</v>
      </c>
      <c r="U4104" s="16" t="n">
        <v>225</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160</v>
      </c>
      <c r="U4106" s="16" t="n">
        <v>225</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53</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30</v>
      </c>
      <c r="U4108" s="16" t="n">
        <v>209</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6" t="n">
        <v>53</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336</v>
      </c>
      <c r="U4110" s="16" t="n">
        <v>173</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6" t="n">
        <v>53</v>
      </c>
      <c r="U4111" s="16" t="n">
        <v>10</v>
      </c>
      <c r="V4111" s="16">
        <f>ROUNDUP((T4111+U4111+2*'Read Me'!$B$13)*(1+'Read Me'!$B$12),-1)</f>
        <v/>
      </c>
      <c r="W4111" s="16">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6" t="n">
        <v>340</v>
      </c>
      <c r="U4112" s="16" t="n">
        <v>253</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6" t="n">
        <v>53</v>
      </c>
      <c r="U4113" s="16" t="n">
        <v>10</v>
      </c>
      <c r="V4113" s="16">
        <f>ROUNDUP((T4113+U4113+2*'Read Me'!$B$13)*(1+'Read Me'!$B$12),-1)</f>
        <v/>
      </c>
      <c r="W4113" s="16">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6" t="n">
        <v>300</v>
      </c>
      <c r="U4114" s="16" t="n">
        <v>263</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6" t="n">
        <v>53</v>
      </c>
      <c r="U4115" s="16" t="n">
        <v>10</v>
      </c>
      <c r="V4115" s="16">
        <f>ROUNDUP((T4115+U4115+2*'Read Me'!$B$13)*(1+'Read Me'!$B$12),-1)</f>
        <v/>
      </c>
      <c r="W4115" s="16">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6" t="n">
        <v>160</v>
      </c>
      <c r="U4116" s="16" t="n">
        <v>283</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6" t="n">
        <v>53</v>
      </c>
      <c r="U4117" s="16" t="n">
        <v>10</v>
      </c>
      <c r="V4117" s="16">
        <f>ROUNDUP((T4117+U4117+2*'Read Me'!$B$13)*(1+'Read Me'!$B$12),-1)</f>
        <v/>
      </c>
      <c r="W4117" s="16">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6" t="n">
        <v>160</v>
      </c>
      <c r="U4118" s="16" t="n">
        <v>283</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6" t="n">
        <v>53</v>
      </c>
      <c r="U4119" s="16" t="n">
        <v>10</v>
      </c>
      <c r="V4119" s="16">
        <f>ROUNDUP((T4119+U4119+2*'Read Me'!$B$13)*(1+'Read Me'!$B$12),-1)</f>
        <v/>
      </c>
      <c r="W4119" s="16">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6" t="n">
        <v>336</v>
      </c>
      <c r="U4120" s="16" t="n">
        <v>115</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6" t="n">
        <v>53</v>
      </c>
      <c r="U4121" s="16" t="n">
        <v>10</v>
      </c>
      <c r="V4121" s="16">
        <f>ROUNDUP((T4121+U4121+2*'Read Me'!$B$13)*(1+'Read Me'!$B$12),-1)</f>
        <v/>
      </c>
      <c r="W4121" s="16">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6" t="n">
        <v>336</v>
      </c>
      <c r="U4122" s="16" t="n">
        <v>115</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6" t="n">
        <v>53</v>
      </c>
      <c r="U4123" s="16" t="n">
        <v>10</v>
      </c>
      <c r="V4123" s="16">
        <f>ROUNDUP((T4123+U4123+2*'Read Me'!$B$13)*(1+'Read Me'!$B$12),-1)</f>
        <v/>
      </c>
      <c r="W4123" s="16">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6" t="n">
        <v>602</v>
      </c>
      <c r="U4124" s="16" t="n">
        <v>57</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6" t="n">
        <v>53</v>
      </c>
      <c r="U4125" s="16" t="n">
        <v>10</v>
      </c>
      <c r="V4125" s="16">
        <f>ROUNDUP((T4125+U4125+2*'Read Me'!$B$13)*(1+'Read Me'!$B$12),-1)</f>
        <v/>
      </c>
      <c r="W4125" s="16">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6" t="n">
        <v>482</v>
      </c>
      <c r="U4126" s="16" t="n">
        <v>117</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6" t="n">
        <v>53</v>
      </c>
      <c r="U4127" s="16" t="n">
        <v>10</v>
      </c>
      <c r="V4127" s="16">
        <f>ROUNDUP((T4127+U4127+2*'Read Me'!$B$13)*(1+'Read Me'!$B$12),-1)</f>
        <v/>
      </c>
      <c r="W4127" s="16">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6" t="n">
        <v>336</v>
      </c>
      <c r="U4128" s="16" t="n">
        <v>177</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6" t="n">
        <v>53</v>
      </c>
      <c r="U4129" s="16" t="n">
        <v>10</v>
      </c>
      <c r="V4129" s="16">
        <f>ROUNDUP((T4129+U4129+2*'Read Me'!$B$13)*(1+'Read Me'!$B$12),-1)</f>
        <v/>
      </c>
      <c r="W4129" s="16">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6" t="n">
        <v>336</v>
      </c>
      <c r="U4130" s="16" t="n">
        <v>117</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6" t="n">
        <v>53</v>
      </c>
      <c r="U4131" s="16" t="n">
        <v>10</v>
      </c>
      <c r="V4131" s="16">
        <f>ROUNDUP((T4131+U4131+2*'Read Me'!$B$13)*(1+'Read Me'!$B$12),-1)</f>
        <v/>
      </c>
      <c r="W4131" s="16">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6" t="n">
        <v>336</v>
      </c>
      <c r="U4132" s="16" t="n">
        <v>57</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6" t="n">
        <v>53</v>
      </c>
      <c r="U4133" s="16" t="n">
        <v>10</v>
      </c>
      <c r="V4133" s="16">
        <f>ROUNDUP((T4133+U4133+2*'Read Me'!$B$13)*(1+'Read Me'!$B$12),-1)</f>
        <v/>
      </c>
      <c r="W4133" s="16">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6" t="n">
        <v>336</v>
      </c>
      <c r="U4134" s="16" t="n">
        <v>57</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6" t="n">
        <v>77</v>
      </c>
      <c r="U4135" s="16" t="n">
        <v>10</v>
      </c>
      <c r="V4135" s="16">
        <f>ROUNDUP((T4135+U4135+2*'Read Me'!$B$13)*(1+'Read Me'!$B$12),-1)</f>
        <v/>
      </c>
      <c r="W4135" s="16">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6" t="n">
        <v>162</v>
      </c>
      <c r="U4136" s="16" t="n">
        <v>32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6" t="n">
        <v>77</v>
      </c>
      <c r="U4137" s="16" t="n">
        <v>10</v>
      </c>
      <c r="V4137" s="16">
        <f>ROUNDUP((T4137+U4137+2*'Read Me'!$B$13)*(1+'Read Me'!$B$12),-1)</f>
        <v/>
      </c>
      <c r="W4137" s="16">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6" t="n">
        <v>162</v>
      </c>
      <c r="U4138" s="16" t="n">
        <v>32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6" t="n">
        <v>280</v>
      </c>
      <c r="U4139" s="16" t="n">
        <v>87</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6" t="n">
        <v>30</v>
      </c>
      <c r="U4140" s="16" t="n">
        <v>37</v>
      </c>
      <c r="V4140" s="16">
        <f>ROUNDUP((T4140+U4140+2*'Read Me'!$B$13)*(1+'Read Me'!$B$12),-1)</f>
        <v/>
      </c>
      <c r="W4140" s="16">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6" t="n">
        <v>0</v>
      </c>
      <c r="U4141" s="16" t="n">
        <v>70</v>
      </c>
      <c r="V4141" s="16">
        <f>ROUNDUP((T4141+U4141+2*'Read Me'!$B$13)*(1+'Read Me'!$B$12),-1)</f>
        <v/>
      </c>
      <c r="W4141" s="16">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318</v>
      </c>
      <c r="U4142" s="16" t="n">
        <v>103</v>
      </c>
      <c r="V4142" s="16">
        <f>ROUNDUP((T4142+U4142+2*'Read Me'!$B$13)*(1+'Read Me'!$B$12),-1)</f>
        <v/>
      </c>
      <c r="W4142" s="16">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318</v>
      </c>
      <c r="U4143" s="16" t="n">
        <v>103</v>
      </c>
      <c r="V4143" s="16">
        <f>ROUNDUP((T4143+U4143+2*'Read Me'!$B$13)*(1+'Read Me'!$B$12),-1)</f>
        <v/>
      </c>
      <c r="W4143" s="16">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6" t="n">
        <v>178</v>
      </c>
      <c r="U4144" s="16" t="n">
        <v>123</v>
      </c>
      <c r="V4144" s="16">
        <f>ROUNDUP((T4144+U4144+2*'Read Me'!$B$13)*(1+'Read Me'!$B$12),-1)</f>
        <v/>
      </c>
      <c r="W4144" s="16">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6" t="n">
        <v>178</v>
      </c>
      <c r="U4145" s="16" t="n">
        <v>123</v>
      </c>
      <c r="V4145" s="16">
        <f>ROUNDUP((T4145+U4145+2*'Read Me'!$B$13)*(1+'Read Me'!$B$12),-1)</f>
        <v/>
      </c>
      <c r="W4145" s="16">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6" t="n">
        <v>74</v>
      </c>
      <c r="U4146" s="16" t="n">
        <v>107</v>
      </c>
      <c r="V4146" s="16">
        <f>ROUNDUP((T4146+U4146+2*'Read Me'!$B$13)*(1+'Read Me'!$B$12),-1)</f>
        <v/>
      </c>
      <c r="W4146" s="16">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6" t="n">
        <v>74</v>
      </c>
      <c r="U4147" s="16" t="n">
        <v>107</v>
      </c>
      <c r="V4147" s="16">
        <f>ROUNDUP((T4147+U4147+2*'Read Me'!$B$13)*(1+'Read Me'!$B$12),-1)</f>
        <v/>
      </c>
      <c r="W4147" s="16">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6" t="n">
        <v>318</v>
      </c>
      <c r="U4148" s="16" t="n">
        <v>161</v>
      </c>
      <c r="V4148" s="16">
        <f>ROUNDUP((T4148+U4148+2*'Read Me'!$B$13)*(1+'Read Me'!$B$12),-1)</f>
        <v/>
      </c>
      <c r="W4148" s="16">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6" t="n">
        <v>318</v>
      </c>
      <c r="U4149" s="16" t="n">
        <v>161</v>
      </c>
      <c r="V4149" s="16">
        <f>ROUNDUP((T4149+U4149+2*'Read Me'!$B$13)*(1+'Read Me'!$B$12),-1)</f>
        <v/>
      </c>
      <c r="W4149" s="16">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6" t="n">
        <v>178</v>
      </c>
      <c r="U4150" s="16" t="n">
        <v>181</v>
      </c>
      <c r="V4150" s="16">
        <f>ROUNDUP((T4150+U4150+2*'Read Me'!$B$13)*(1+'Read Me'!$B$12),-1)</f>
        <v/>
      </c>
      <c r="W4150" s="16">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6" t="n">
        <v>178</v>
      </c>
      <c r="U4151" s="16" t="n">
        <v>181</v>
      </c>
      <c r="V4151" s="16">
        <f>ROUNDUP((T4151+U4151+2*'Read Me'!$B$13)*(1+'Read Me'!$B$12),-1)</f>
        <v/>
      </c>
      <c r="W4151" s="16">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6" t="n">
        <v>74</v>
      </c>
      <c r="U4152" s="16" t="n">
        <v>165</v>
      </c>
      <c r="V4152" s="16">
        <f>ROUNDUP((T4152+U4152+2*'Read Me'!$B$13)*(1+'Read Me'!$B$12),-1)</f>
        <v/>
      </c>
      <c r="W4152" s="16">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6" t="n">
        <v>74</v>
      </c>
      <c r="U4153" s="16" t="n">
        <v>165</v>
      </c>
      <c r="V4153" s="16">
        <f>ROUNDUP((T4153+U4153+2*'Read Me'!$B$13)*(1+'Read Me'!$B$12),-1)</f>
        <v/>
      </c>
      <c r="W4153" s="16">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6" t="n">
        <v>318</v>
      </c>
      <c r="U4154" s="16" t="n">
        <v>219</v>
      </c>
      <c r="V4154" s="16">
        <f>ROUNDUP((T4154+U4154+2*'Read Me'!$B$13)*(1+'Read Me'!$B$12),-1)</f>
        <v/>
      </c>
      <c r="W4154" s="16">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6" t="n">
        <v>318</v>
      </c>
      <c r="U4155" s="16" t="n">
        <v>219</v>
      </c>
      <c r="V4155" s="16">
        <f>ROUNDUP((T4155+U4155+2*'Read Me'!$B$13)*(1+'Read Me'!$B$12),-1)</f>
        <v/>
      </c>
      <c r="W4155" s="16">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6" t="n">
        <v>178</v>
      </c>
      <c r="U4156" s="16" t="n">
        <v>239</v>
      </c>
      <c r="V4156" s="16">
        <f>ROUNDUP((T4156+U4156+2*'Read Me'!$B$13)*(1+'Read Me'!$B$12),-1)</f>
        <v/>
      </c>
      <c r="W4156" s="16">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6" t="n">
        <v>178</v>
      </c>
      <c r="U4157" s="16" t="n">
        <v>239</v>
      </c>
      <c r="V4157" s="16">
        <f>ROUNDUP((T4157+U4157+2*'Read Me'!$B$13)*(1+'Read Me'!$B$12),-1)</f>
        <v/>
      </c>
      <c r="W4157" s="16">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6" t="n">
        <v>380</v>
      </c>
      <c r="U4158" s="16" t="n">
        <v>149</v>
      </c>
      <c r="V4158" s="16">
        <f>ROUNDUP((T4158+U4158+2*'Read Me'!$B$13)*(1+'Read Me'!$B$12),-1)</f>
        <v/>
      </c>
      <c r="W4158" s="16">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6" t="n">
        <v>380</v>
      </c>
      <c r="U4159" s="16" t="n">
        <v>149</v>
      </c>
      <c r="V4159" s="16">
        <f>ROUNDUP((T4159+U4159+2*'Read Me'!$B$13)*(1+'Read Me'!$B$12),-1)</f>
        <v/>
      </c>
      <c r="W4159" s="16">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6" t="n">
        <v>620</v>
      </c>
      <c r="U4160" s="16" t="n">
        <v>91</v>
      </c>
      <c r="V4160" s="16">
        <f>ROUNDUP((T4160+U4160+2*'Read Me'!$B$13)*(1+'Read Me'!$B$12),-1)</f>
        <v/>
      </c>
      <c r="W4160" s="16">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6" t="n">
        <v>620</v>
      </c>
      <c r="U4161" s="16" t="n">
        <v>91</v>
      </c>
      <c r="V4161" s="16">
        <f>ROUNDUP((T4161+U4161+2*'Read Me'!$B$13)*(1+'Read Me'!$B$12),-1)</f>
        <v/>
      </c>
      <c r="W4161" s="16">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6" t="n">
        <v>500</v>
      </c>
      <c r="U4162" s="16" t="n">
        <v>91</v>
      </c>
      <c r="V4162" s="16">
        <f>ROUNDUP((T4162+U4162+2*'Read Me'!$B$13)*(1+'Read Me'!$B$12),-1)</f>
        <v/>
      </c>
      <c r="W4162" s="16">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6" t="n">
        <v>500</v>
      </c>
      <c r="U4163" s="16" t="n">
        <v>91</v>
      </c>
      <c r="V4163" s="16">
        <f>ROUNDUP((T4163+U4163+2*'Read Me'!$B$13)*(1+'Read Me'!$B$12),-1)</f>
        <v/>
      </c>
      <c r="W4163" s="16">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6" t="n">
        <v>380</v>
      </c>
      <c r="U4164" s="16" t="n">
        <v>91</v>
      </c>
      <c r="V4164" s="16">
        <f>ROUNDUP((T4164+U4164+2*'Read Me'!$B$13)*(1+'Read Me'!$B$12),-1)</f>
        <v/>
      </c>
      <c r="W4164" s="16">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6" t="n">
        <v>380</v>
      </c>
      <c r="U4165" s="16" t="n">
        <v>91</v>
      </c>
      <c r="V4165" s="16">
        <f>ROUNDUP((T4165+U4165+2*'Read Me'!$B$13)*(1+'Read Me'!$B$12),-1)</f>
        <v/>
      </c>
      <c r="W4165" s="16">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6" t="n">
        <v>620</v>
      </c>
      <c r="U4166" s="16" t="n">
        <v>37</v>
      </c>
      <c r="V4166" s="16">
        <f>ROUNDUP((T4166+U4166+2*'Read Me'!$B$13)*(1+'Read Me'!$B$12),-1)</f>
        <v/>
      </c>
      <c r="W4166" s="16">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6" t="n">
        <v>620</v>
      </c>
      <c r="U4167" s="16" t="n">
        <v>37</v>
      </c>
      <c r="V4167" s="16">
        <f>ROUNDUP((T4167+U4167+2*'Read Me'!$B$13)*(1+'Read Me'!$B$12),-1)</f>
        <v/>
      </c>
      <c r="W4167" s="16">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6" t="n">
        <v>500</v>
      </c>
      <c r="U4168" s="16" t="n">
        <v>37</v>
      </c>
      <c r="V4168" s="16">
        <f>ROUNDUP((T4168+U4168+2*'Read Me'!$B$13)*(1+'Read Me'!$B$12),-1)</f>
        <v/>
      </c>
      <c r="W4168" s="16">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6" t="n">
        <v>500</v>
      </c>
      <c r="U4169" s="16" t="n">
        <v>37</v>
      </c>
      <c r="V4169" s="16">
        <f>ROUNDUP((T4169+U4169+2*'Read Me'!$B$13)*(1+'Read Me'!$B$12),-1)</f>
        <v/>
      </c>
      <c r="W4169" s="16">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6" t="n">
        <v>380</v>
      </c>
      <c r="U4170" s="16" t="n">
        <v>37</v>
      </c>
      <c r="V4170" s="16">
        <f>ROUNDUP((T4170+U4170+2*'Read Me'!$B$13)*(1+'Read Me'!$B$12),-1)</f>
        <v/>
      </c>
      <c r="W4170" s="16">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6" t="n">
        <v>380</v>
      </c>
      <c r="U4171" s="16" t="n">
        <v>37</v>
      </c>
      <c r="V4171" s="16">
        <f>ROUNDUP((T4171+U4171+2*'Read Me'!$B$13)*(1+'Read Me'!$B$12),-1)</f>
        <v/>
      </c>
      <c r="W4171" s="16">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Duct bank</t>
        </is>
      </c>
      <c r="T4172" s="16" t="n">
        <v>10</v>
      </c>
      <c r="U4172" s="16" t="n">
        <v>150</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160</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6" t="n">
        <v>0</v>
      </c>
      <c r="U4174" s="16" t="n">
        <v>200</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6" t="n">
        <v>0</v>
      </c>
      <c r="U4175" s="16" t="n">
        <v>200</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6" t="n">
        <v>0</v>
      </c>
      <c r="U4176" s="16" t="n">
        <v>168</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6" t="n">
        <v>0</v>
      </c>
      <c r="U4177" s="16" t="n">
        <v>168</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Duct bank</t>
        </is>
      </c>
      <c r="T4178" s="16" t="n">
        <v>10</v>
      </c>
      <c r="U4178" s="16" t="n">
        <v>266</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6" t="n">
        <v>0</v>
      </c>
      <c r="U4179" s="16" t="n">
        <v>276</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6" t="n">
        <v>0</v>
      </c>
      <c r="U4180" s="16" t="n">
        <v>316</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6" t="n">
        <v>0</v>
      </c>
      <c r="U4181" s="16" t="n">
        <v>316</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85</v>
      </c>
      <c r="S4182" s="12" t="inlineStr">
        <is>
          <t>Tray</t>
        </is>
      </c>
      <c r="T4182" s="16" t="n">
        <v>0</v>
      </c>
      <c r="U4182" s="16" t="n">
        <v>284</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t>
        </is>
      </c>
      <c r="L4183" s="12" t="inlineStr">
        <is>
          <t>3/C+G</t>
        </is>
      </c>
      <c r="M4183" s="12" t="inlineStr">
        <is>
          <t>2</t>
        </is>
      </c>
      <c r="N4183" s="12" t="n">
        <v>1</v>
      </c>
      <c r="O4183" s="12" t="n">
        <v>1</v>
      </c>
      <c r="P4183" s="12" t="n">
        <v>480</v>
      </c>
      <c r="Q4183" s="12" t="n">
        <v>60</v>
      </c>
      <c r="R4183" s="12" t="n">
        <v>85</v>
      </c>
      <c r="S4183" s="12" t="inlineStr">
        <is>
          <t>Tray</t>
        </is>
      </c>
      <c r="T4183" s="16" t="n">
        <v>0</v>
      </c>
      <c r="U4183" s="16" t="n">
        <v>284</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85</v>
      </c>
      <c r="S4184" s="12" t="inlineStr">
        <is>
          <t>Tray</t>
        </is>
      </c>
      <c r="T4184" s="16" t="n">
        <v>0</v>
      </c>
      <c r="U4184" s="16" t="n">
        <v>290</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85</v>
      </c>
      <c r="S4185" s="12" t="inlineStr">
        <is>
          <t>Tray</t>
        </is>
      </c>
      <c r="T4185" s="16" t="n">
        <v>0</v>
      </c>
      <c r="U4185" s="16" t="n">
        <v>290</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85</v>
      </c>
      <c r="S4186" s="12" t="inlineStr">
        <is>
          <t>Tray</t>
        </is>
      </c>
      <c r="T4186" s="16" t="n">
        <v>0</v>
      </c>
      <c r="U4186" s="16" t="n">
        <v>290</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85</v>
      </c>
      <c r="S4187" s="12" t="inlineStr">
        <is>
          <t>Tray</t>
        </is>
      </c>
      <c r="T4187" s="16" t="n">
        <v>0</v>
      </c>
      <c r="U4187" s="16" t="n">
        <v>290</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85</v>
      </c>
      <c r="S4188" s="12" t="inlineStr">
        <is>
          <t>Tray</t>
        </is>
      </c>
      <c r="T4188" s="16" t="n">
        <v>0</v>
      </c>
      <c r="U4188" s="16" t="n">
        <v>290</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85</v>
      </c>
      <c r="S4189" s="12" t="inlineStr">
        <is>
          <t>Tray</t>
        </is>
      </c>
      <c r="T4189" s="16" t="n">
        <v>0</v>
      </c>
      <c r="U4189" s="16" t="n">
        <v>290</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85</v>
      </c>
      <c r="S4190" s="12" t="inlineStr">
        <is>
          <t>Tray</t>
        </is>
      </c>
      <c r="T4190" s="16" t="n">
        <v>0</v>
      </c>
      <c r="U4190" s="16" t="n">
        <v>174</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85</v>
      </c>
      <c r="S4191" s="12" t="inlineStr">
        <is>
          <t>Tray</t>
        </is>
      </c>
      <c r="T4191" s="16" t="n">
        <v>0</v>
      </c>
      <c r="U4191" s="16" t="n">
        <v>174</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85</v>
      </c>
      <c r="S4192" s="12" t="inlineStr">
        <is>
          <t>Tray</t>
        </is>
      </c>
      <c r="T4192" s="16" t="n">
        <v>0</v>
      </c>
      <c r="U4192" s="16" t="n">
        <v>174</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85</v>
      </c>
      <c r="S4193" s="12" t="inlineStr">
        <is>
          <t>Tray</t>
        </is>
      </c>
      <c r="T4193" s="16" t="n">
        <v>0</v>
      </c>
      <c r="U4193" s="16" t="n">
        <v>174</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85</v>
      </c>
      <c r="S4194" s="12" t="inlineStr">
        <is>
          <t>Tray</t>
        </is>
      </c>
      <c r="T4194" s="16" t="n">
        <v>0</v>
      </c>
      <c r="U4194" s="16" t="n">
        <v>174</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85</v>
      </c>
      <c r="S4195" s="12" t="inlineStr">
        <is>
          <t>Tray</t>
        </is>
      </c>
      <c r="T4195" s="16" t="n">
        <v>0</v>
      </c>
      <c r="U4195" s="16" t="n">
        <v>174</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85</v>
      </c>
      <c r="S4196" s="12" t="inlineStr">
        <is>
          <t>Tray</t>
        </is>
      </c>
      <c r="T4196" s="16" t="n">
        <v>0</v>
      </c>
      <c r="U4196" s="16" t="n">
        <v>62</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85</v>
      </c>
      <c r="S4197" s="12" t="inlineStr">
        <is>
          <t>Tray</t>
        </is>
      </c>
      <c r="T4197" s="16" t="n">
        <v>0</v>
      </c>
      <c r="U4197" s="16" t="n">
        <v>62</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85</v>
      </c>
      <c r="S4198" s="12" t="inlineStr">
        <is>
          <t>Tray</t>
        </is>
      </c>
      <c r="T4198" s="16" t="n">
        <v>0</v>
      </c>
      <c r="U4198" s="16" t="n">
        <v>62</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85</v>
      </c>
      <c r="S4199" s="12" t="inlineStr">
        <is>
          <t>Tray</t>
        </is>
      </c>
      <c r="T4199" s="16" t="n">
        <v>0</v>
      </c>
      <c r="U4199" s="16" t="n">
        <v>62</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85</v>
      </c>
      <c r="S4200" s="12" t="inlineStr">
        <is>
          <t>Tray</t>
        </is>
      </c>
      <c r="T4200" s="16" t="n">
        <v>0</v>
      </c>
      <c r="U4200" s="16" t="n">
        <v>62</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85</v>
      </c>
      <c r="S4201" s="12" t="inlineStr">
        <is>
          <t>Tray</t>
        </is>
      </c>
      <c r="T4201" s="16" t="n">
        <v>0</v>
      </c>
      <c r="U4201" s="16" t="n">
        <v>62</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6" t="n">
        <v>180</v>
      </c>
      <c r="U4202" s="16" t="n">
        <v>32</v>
      </c>
      <c r="V4202" s="16">
        <f>ROUNDUP((T4202+U4202+2*'Read Me'!$B$13)*(1+'Read Me'!$B$12),-1)</f>
        <v/>
      </c>
      <c r="W4202" s="16">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6" t="n">
        <v>180</v>
      </c>
      <c r="U4203" s="16" t="n">
        <v>32</v>
      </c>
      <c r="V4203" s="16">
        <f>ROUNDUP((T4203+U4203+2*'Read Me'!$B$13)*(1+'Read Me'!$B$12),-1)</f>
        <v/>
      </c>
      <c r="W4203" s="16">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6" t="n">
        <v>180</v>
      </c>
      <c r="U4204" s="16" t="n">
        <v>32</v>
      </c>
      <c r="V4204" s="16">
        <f>ROUNDUP((T4204+U4204+2*'Read Me'!$B$13)*(1+'Read Me'!$B$12),-1)</f>
        <v/>
      </c>
      <c r="W4204" s="16">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6" t="n">
        <v>180</v>
      </c>
      <c r="U4205" s="16" t="n">
        <v>32</v>
      </c>
      <c r="V4205" s="16">
        <f>ROUNDUP((T4205+U4205+2*'Read Me'!$B$13)*(1+'Read Me'!$B$12),-1)</f>
        <v/>
      </c>
      <c r="W4205" s="16">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6" t="n">
        <v>180</v>
      </c>
      <c r="U4206" s="16" t="n">
        <v>32</v>
      </c>
      <c r="V4206" s="16">
        <f>ROUNDUP((T4206+U4206+2*'Read Me'!$B$13)*(1+'Read Me'!$B$12),-1)</f>
        <v/>
      </c>
      <c r="W4206" s="16">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6" t="n">
        <v>180</v>
      </c>
      <c r="U4207" s="16" t="n">
        <v>32</v>
      </c>
      <c r="V4207" s="16">
        <f>ROUNDUP((T4207+U4207+2*'Read Me'!$B$13)*(1+'Read Me'!$B$12),-1)</f>
        <v/>
      </c>
      <c r="W4207" s="16">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6" t="n">
        <v>900</v>
      </c>
      <c r="U4208" s="16" t="n">
        <v>30</v>
      </c>
      <c r="V4208" s="16">
        <f>ROUNDUP((T4208+U4208+2*'Read Me'!$B$13)*(1+'Read Me'!$B$12),-1)</f>
        <v/>
      </c>
      <c r="W4208" s="16">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6" t="n">
        <v>900</v>
      </c>
      <c r="U4209" s="16" t="n">
        <v>30</v>
      </c>
      <c r="V4209" s="16">
        <f>ROUNDUP((T4209+U4209+2*'Read Me'!$B$13)*(1+'Read Me'!$B$12),-1)</f>
        <v/>
      </c>
      <c r="W4209" s="16">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6" t="n">
        <v>900</v>
      </c>
      <c r="U4210" s="16" t="n">
        <v>30</v>
      </c>
      <c r="V4210" s="16">
        <f>ROUNDUP((T4210+U4210+2*'Read Me'!$B$13)*(1+'Read Me'!$B$12),-1)</f>
        <v/>
      </c>
      <c r="W4210" s="16">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6" t="n">
        <v>556</v>
      </c>
      <c r="U4211" s="16" t="n">
        <v>37</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6" t="n">
        <v>436</v>
      </c>
      <c r="U4212" s="16" t="n">
        <v>37</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6" t="n">
        <v>350</v>
      </c>
      <c r="U4213" s="16" t="n">
        <v>42</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6" t="n">
        <v>254</v>
      </c>
      <c r="U4214" s="16" t="n">
        <v>103</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6" t="n">
        <v>0</v>
      </c>
      <c r="U4215" s="16" t="n">
        <v>232</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6" t="n">
        <v>0</v>
      </c>
      <c r="U4216" s="16" t="n">
        <v>348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6" t="n">
        <v>0</v>
      </c>
      <c r="U4217" s="16" t="n">
        <v>208</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6" t="n">
        <v>0</v>
      </c>
      <c r="U4218" s="16" t="n">
        <v>96</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6" t="n">
        <v>35</v>
      </c>
      <c r="U4219" s="16" t="n">
        <v>185</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6" t="n">
        <v>0</v>
      </c>
      <c r="U4220" s="16" t="n">
        <v>272</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6" t="n">
        <v>0</v>
      </c>
      <c r="U4221" s="16" t="n">
        <v>388</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6" t="n">
        <v>0</v>
      </c>
      <c r="U4222" s="16" t="n">
        <v>208</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6" t="n">
        <v>0</v>
      </c>
      <c r="U4223" s="16" t="n">
        <v>96</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6" t="n">
        <v>24</v>
      </c>
      <c r="U4224" s="16" t="n">
        <v>123</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6" t="n">
        <v>0</v>
      </c>
      <c r="U4225" s="16" t="n">
        <v>240</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6" t="n">
        <v>306</v>
      </c>
      <c r="U4226" s="16" t="n">
        <v>282</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6" t="n">
        <v>0</v>
      </c>
      <c r="U4227" s="16" t="n">
        <v>208</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6" t="n">
        <v>0</v>
      </c>
      <c r="U4228" s="16" t="n">
        <v>96</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6" t="n">
        <v>35</v>
      </c>
      <c r="U4229" s="16" t="n">
        <v>32</v>
      </c>
      <c r="V4229" s="16">
        <f>ROUNDUP((T4229+U4229+2*'Read Me'!$B$13)*(1+'Read Me'!$B$12),-1)</f>
        <v/>
      </c>
      <c r="W4229" s="16">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6" t="n">
        <v>234</v>
      </c>
      <c r="U4230" s="16" t="n">
        <v>87</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6" t="n">
        <v>10560</v>
      </c>
      <c r="U4231" s="16" t="n">
        <v>0</v>
      </c>
      <c r="V4231" s="16">
        <f>ROUNDUP((T4231+U4231+2*'Read Me'!$B$13)*(1+'Read Me'!$B$12),-1)</f>
        <v/>
      </c>
      <c r="W4231" s="16">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13.8 kV modular collector e-house</t>
        </is>
      </c>
      <c r="G4232" s="12" t="inlineStr">
        <is>
          <t>MOD-EH</t>
        </is>
      </c>
      <c r="H4232" s="12" t="inlineStr">
        <is>
          <t>MOD-EH: 13.8 kV modular collector e-house</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6" t="n">
        <v>2560</v>
      </c>
      <c r="U4232" s="16" t="n">
        <v>0</v>
      </c>
      <c r="V4232" s="16">
        <f>ROUNDUP((T4232+U4232+2*'Read Me'!$B$13)*(1+'Read Me'!$B$12),-1)</f>
        <v/>
      </c>
      <c r="W4232" s="16">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c r="F4233" s="12" t="inlineStr">
        <is>
          <t>PCM: power control module</t>
        </is>
      </c>
      <c r="G4233" s="12" t="inlineStr"/>
      <c r="H4233" s="12" t="inlineStr">
        <is>
          <t>PCM: power control module</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6" t="n">
        <v>5120</v>
      </c>
      <c r="U4233" s="16" t="n">
        <v>0</v>
      </c>
      <c r="V4233" s="16">
        <f>ROUNDUP((T4233+U4233+2*'Read Me'!$B$13)*(1+'Read Me'!$B$12),-1)</f>
        <v/>
      </c>
      <c r="W4233" s="16">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c r="F4234" s="12" t="inlineStr">
        <is>
          <t>RICE CEMS</t>
        </is>
      </c>
      <c r="G4234" s="12" t="inlineStr"/>
      <c r="H4234" s="12" t="inlineStr">
        <is>
          <t>RICE CEMS</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6" t="n">
        <v>256</v>
      </c>
      <c r="U4234" s="16" t="n">
        <v>0</v>
      </c>
      <c r="V4234" s="16">
        <f>ROUNDUP((T4234+U4234+2*'Read Me'!$B$13)*(1+'Read Me'!$B$12),-1)</f>
        <v/>
      </c>
      <c r="W4234" s="16">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I-C-0001</t>
        </is>
      </c>
      <c r="B4235" s="12" t="inlineStr">
        <is>
          <t>I</t>
        </is>
      </c>
      <c r="C4235" s="12" t="inlineStr">
        <is>
          <t>Modular / portable power</t>
        </is>
      </c>
      <c r="D4235" s="12" t="inlineStr">
        <is>
          <t>Motor 1 of 2: control / local station</t>
        </is>
      </c>
      <c r="E4235" s="12" t="inlineStr"/>
      <c r="F4235" s="12" t="inlineStr">
        <is>
          <t>SC-2 PCM + 15 kV GCB</t>
        </is>
      </c>
      <c r="G4235" s="12" t="inlineStr"/>
      <c r="H4235" s="12" t="inlineStr">
        <is>
          <t>Aqueous ammonia (SC units)</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0</v>
      </c>
      <c r="U4235" s="16" t="n">
        <v>98</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I-C-0002</t>
        </is>
      </c>
      <c r="B4236" s="12" t="inlineStr">
        <is>
          <t>I</t>
        </is>
      </c>
      <c r="C4236" s="12" t="inlineStr">
        <is>
          <t>Modular / portable power</t>
        </is>
      </c>
      <c r="D4236" s="12" t="inlineStr">
        <is>
          <t>Motor 2 of 2: control / local station</t>
        </is>
      </c>
      <c r="E4236" s="12" t="inlineStr"/>
      <c r="F4236" s="12" t="inlineStr">
        <is>
          <t>SC-2 PCM + 15 kV GCB</t>
        </is>
      </c>
      <c r="G4236" s="12" t="inlineStr"/>
      <c r="H4236" s="12" t="inlineStr">
        <is>
          <t>Aqueous ammonia (SC units)</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0</v>
      </c>
      <c r="U4236" s="16" t="n">
        <v>98</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I-C-0003</t>
        </is>
      </c>
      <c r="B4237" s="12" t="inlineStr">
        <is>
          <t>I</t>
        </is>
      </c>
      <c r="C4237" s="12" t="inlineStr">
        <is>
          <t>Modular / portable power</t>
        </is>
      </c>
      <c r="D4237" s="12" t="inlineStr">
        <is>
          <t>Control</t>
        </is>
      </c>
      <c r="E4237" s="12" t="inlineStr"/>
      <c r="F4237" s="12" t="inlineStr">
        <is>
          <t>PCM: power control module</t>
        </is>
      </c>
      <c r="G4237" s="12" t="inlineStr"/>
      <c r="H4237" s="12" t="inlineStr">
        <is>
          <t>BS black-start switchgear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562</v>
      </c>
      <c r="U4237" s="16" t="n">
        <v>64</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I-C-0004</t>
        </is>
      </c>
      <c r="B4238" s="12" t="inlineStr">
        <is>
          <t>I</t>
        </is>
      </c>
      <c r="C4238" s="12" t="inlineStr">
        <is>
          <t>Modular / portable power</t>
        </is>
      </c>
      <c r="D4238" s="12" t="inlineStr">
        <is>
          <t>Control</t>
        </is>
      </c>
      <c r="E4238" s="12" t="inlineStr"/>
      <c r="F4238" s="12" t="inlineStr">
        <is>
          <t>PCM: power control module</t>
        </is>
      </c>
      <c r="G4238" s="12" t="inlineStr"/>
      <c r="H4238" s="12" t="inlineStr">
        <is>
          <t>CONDITIONAL: BESS black-start alternative</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550</v>
      </c>
      <c r="U4238" s="16" t="n">
        <v>32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I-C-0005</t>
        </is>
      </c>
      <c r="B4239" s="12" t="inlineStr">
        <is>
          <t>I</t>
        </is>
      </c>
      <c r="C4239" s="12" t="inlineStr">
        <is>
          <t>Modular / portable power</t>
        </is>
      </c>
      <c r="D4239" s="12" t="inlineStr">
        <is>
          <t>Control</t>
        </is>
      </c>
      <c r="E4239" s="12" t="inlineStr"/>
      <c r="F4239" s="12" t="inlineStr">
        <is>
          <t>SC-1 PCM + 15 kV GCB</t>
        </is>
      </c>
      <c r="G4239" s="12" t="inlineStr"/>
      <c r="H4239" s="12" t="inlineStr">
        <is>
          <t>CONDITIONAL: SC-1 inlet chiller / evaporative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6" t="n">
        <v>0</v>
      </c>
      <c r="U4239" s="16" t="n">
        <v>114</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I-C-0006</t>
        </is>
      </c>
      <c r="B4240" s="12" t="inlineStr">
        <is>
          <t>I</t>
        </is>
      </c>
      <c r="C4240" s="12" t="inlineStr">
        <is>
          <t>Modular / portable power</t>
        </is>
      </c>
      <c r="D4240" s="12" t="inlineStr">
        <is>
          <t>Control</t>
        </is>
      </c>
      <c r="E4240" s="12" t="inlineStr"/>
      <c r="F4240" s="12" t="inlineStr">
        <is>
          <t>SC-2 PCM + 15 kV GCB</t>
        </is>
      </c>
      <c r="G4240" s="12" t="inlineStr"/>
      <c r="H4240" s="12" t="inlineStr">
        <is>
          <t>CONDITIONAL: SC-2 inlet chiller / evaporative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75</v>
      </c>
      <c r="U4240" s="16" t="n">
        <v>32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I-C-0007</t>
        </is>
      </c>
      <c r="B4241" s="12" t="inlineStr">
        <is>
          <t>I</t>
        </is>
      </c>
      <c r="C4241" s="12" t="inlineStr">
        <is>
          <t>Modular / portable power</t>
        </is>
      </c>
      <c r="D4241" s="12" t="inlineStr">
        <is>
          <t>Control</t>
        </is>
      </c>
      <c r="E4241" s="12" t="inlineStr">
        <is>
          <t>PAD-EH</t>
        </is>
      </c>
      <c r="F4241" s="12" t="inlineStr">
        <is>
          <t>PAD-EH 13.8 kV switchgear e-house</t>
        </is>
      </c>
      <c r="G4241" s="12" t="inlineStr"/>
      <c r="H4241" s="12" t="inlineStr">
        <is>
          <t>FC-5..12 inverter / AC cabinet / desulfurizer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Surface</t>
        </is>
      </c>
      <c r="T4241" s="16" t="n">
        <v>202</v>
      </c>
      <c r="U4241" s="16" t="n">
        <v>37</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I-C-0008</t>
        </is>
      </c>
      <c r="B4242" s="12" t="inlineStr">
        <is>
          <t>I</t>
        </is>
      </c>
      <c r="C4242" s="12" t="inlineStr">
        <is>
          <t>Modular / portable power</t>
        </is>
      </c>
      <c r="D4242" s="12" t="inlineStr">
        <is>
          <t>Motor 1 of 6: control / local station</t>
        </is>
      </c>
      <c r="E4242" s="12" t="inlineStr"/>
      <c r="F4242" s="12" t="inlineStr">
        <is>
          <t>SC-2 PCM + 15 kV GCB</t>
        </is>
      </c>
      <c r="G4242" s="12" t="inlineStr"/>
      <c r="H4242" s="12" t="inlineStr">
        <is>
          <t>Fuel-gas compressors 3 x 100% electric</t>
        </is>
      </c>
      <c r="I4242" s="12" t="inlineStr">
        <is>
          <t>Control</t>
        </is>
      </c>
      <c r="J4242" s="12" t="inlineStr">
        <is>
          <t>ARMOR-X MC-HL 600 V control, Cu #14 AWG (Class I Div 2)</t>
        </is>
      </c>
      <c r="K4242" s="12" t="inlineStr">
        <is>
          <t>CTAX|7/C|14</t>
        </is>
      </c>
      <c r="L4242" s="12" t="inlineStr">
        <is>
          <t>7/C</t>
        </is>
      </c>
      <c r="M4242" s="12" t="inlineStr">
        <is>
          <t>14</t>
        </is>
      </c>
      <c r="N4242" s="12" t="n">
        <v>1</v>
      </c>
      <c r="O4242" s="12" t="n">
        <v>1</v>
      </c>
      <c r="P4242" s="12" t="n"/>
      <c r="Q4242" s="12" t="n"/>
      <c r="R4242" s="12" t="n"/>
      <c r="S4242" s="12" t="inlineStr">
        <is>
          <t>Duct bank</t>
        </is>
      </c>
      <c r="T4242" s="16" t="n">
        <v>8</v>
      </c>
      <c r="U4242" s="16" t="n">
        <v>108</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I-C-0009</t>
        </is>
      </c>
      <c r="B4243" s="12" t="inlineStr">
        <is>
          <t>I</t>
        </is>
      </c>
      <c r="C4243" s="12" t="inlineStr">
        <is>
          <t>Modular / portable power</t>
        </is>
      </c>
      <c r="D4243" s="12" t="inlineStr">
        <is>
          <t>Motor 2 of 6: control / local station</t>
        </is>
      </c>
      <c r="E4243" s="12" t="inlineStr"/>
      <c r="F4243" s="12" t="inlineStr">
        <is>
          <t>SC-2 PCM + 15 kV GCB</t>
        </is>
      </c>
      <c r="G4243" s="12" t="inlineStr"/>
      <c r="H4243" s="12" t="inlineStr">
        <is>
          <t>Fuel-gas compressors 3 x 100% electric</t>
        </is>
      </c>
      <c r="I4243" s="12" t="inlineStr">
        <is>
          <t>Control</t>
        </is>
      </c>
      <c r="J4243" s="12" t="inlineStr">
        <is>
          <t>ARMOR-X MC-HL 600 V control, Cu #14 AWG (Class I Div 2)</t>
        </is>
      </c>
      <c r="K4243" s="12" t="inlineStr">
        <is>
          <t>CTAX|7/C|14</t>
        </is>
      </c>
      <c r="L4243" s="12" t="inlineStr">
        <is>
          <t>7/C</t>
        </is>
      </c>
      <c r="M4243" s="12" t="inlineStr">
        <is>
          <t>14</t>
        </is>
      </c>
      <c r="N4243" s="12" t="n">
        <v>1</v>
      </c>
      <c r="O4243" s="12" t="n">
        <v>1</v>
      </c>
      <c r="P4243" s="12" t="n"/>
      <c r="Q4243" s="12" t="n"/>
      <c r="R4243" s="12" t="n"/>
      <c r="S4243" s="12" t="inlineStr">
        <is>
          <t>Duct bank</t>
        </is>
      </c>
      <c r="T4243" s="16" t="n">
        <v>8</v>
      </c>
      <c r="U4243" s="16" t="n">
        <v>108</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I-C-0010</t>
        </is>
      </c>
      <c r="B4244" s="12" t="inlineStr">
        <is>
          <t>I</t>
        </is>
      </c>
      <c r="C4244" s="12" t="inlineStr">
        <is>
          <t>Modular / portable power</t>
        </is>
      </c>
      <c r="D4244" s="12" t="inlineStr">
        <is>
          <t>Motor 3 of 6: control / local station</t>
        </is>
      </c>
      <c r="E4244" s="12" t="inlineStr"/>
      <c r="F4244" s="12" t="inlineStr">
        <is>
          <t>SC-2 PCM + 15 kV GCB</t>
        </is>
      </c>
      <c r="G4244" s="12" t="inlineStr"/>
      <c r="H4244" s="12" t="inlineStr">
        <is>
          <t>Fuel-gas compressors 3 x 100% electric</t>
        </is>
      </c>
      <c r="I4244" s="12" t="inlineStr">
        <is>
          <t>Control</t>
        </is>
      </c>
      <c r="J4244" s="12" t="inlineStr">
        <is>
          <t>ARMOR-X MC-HL 600 V control, Cu #14 AWG (Class I Div 2)</t>
        </is>
      </c>
      <c r="K4244" s="12" t="inlineStr">
        <is>
          <t>CTAX|7/C|14</t>
        </is>
      </c>
      <c r="L4244" s="12" t="inlineStr">
        <is>
          <t>7/C</t>
        </is>
      </c>
      <c r="M4244" s="12" t="inlineStr">
        <is>
          <t>14</t>
        </is>
      </c>
      <c r="N4244" s="12" t="n">
        <v>1</v>
      </c>
      <c r="O4244" s="12" t="n">
        <v>1</v>
      </c>
      <c r="P4244" s="12" t="n"/>
      <c r="Q4244" s="12" t="n"/>
      <c r="R4244" s="12" t="n"/>
      <c r="S4244" s="12" t="inlineStr">
        <is>
          <t>Duct bank</t>
        </is>
      </c>
      <c r="T4244" s="16" t="n">
        <v>8</v>
      </c>
      <c r="U4244" s="16" t="n">
        <v>108</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I-C-0011</t>
        </is>
      </c>
      <c r="B4245" s="12" t="inlineStr">
        <is>
          <t>I</t>
        </is>
      </c>
      <c r="C4245" s="12" t="inlineStr">
        <is>
          <t>Modular / portable power</t>
        </is>
      </c>
      <c r="D4245" s="12" t="inlineStr">
        <is>
          <t>Motor 4 of 6: control / local station</t>
        </is>
      </c>
      <c r="E4245" s="12" t="inlineStr"/>
      <c r="F4245" s="12" t="inlineStr">
        <is>
          <t>SC-2 PCM + 15 kV GCB</t>
        </is>
      </c>
      <c r="G4245" s="12" t="inlineStr"/>
      <c r="H4245" s="12" t="inlineStr">
        <is>
          <t>Fuel-gas compressors 3 x 100% electric</t>
        </is>
      </c>
      <c r="I4245" s="12" t="inlineStr">
        <is>
          <t>Control</t>
        </is>
      </c>
      <c r="J4245" s="12" t="inlineStr">
        <is>
          <t>ARMOR-X MC-HL 600 V control, Cu #14 AWG (Class I Div 2)</t>
        </is>
      </c>
      <c r="K4245" s="12" t="inlineStr">
        <is>
          <t>CTAX|7/C|14</t>
        </is>
      </c>
      <c r="L4245" s="12" t="inlineStr">
        <is>
          <t>7/C</t>
        </is>
      </c>
      <c r="M4245" s="12" t="inlineStr">
        <is>
          <t>14</t>
        </is>
      </c>
      <c r="N4245" s="12" t="n">
        <v>1</v>
      </c>
      <c r="O4245" s="12" t="n">
        <v>1</v>
      </c>
      <c r="P4245" s="12" t="n"/>
      <c r="Q4245" s="12" t="n"/>
      <c r="R4245" s="12" t="n"/>
      <c r="S4245" s="12" t="inlineStr">
        <is>
          <t>Duct bank</t>
        </is>
      </c>
      <c r="T4245" s="16" t="n">
        <v>8</v>
      </c>
      <c r="U4245" s="16" t="n">
        <v>108</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I-C-0012</t>
        </is>
      </c>
      <c r="B4246" s="12" t="inlineStr">
        <is>
          <t>I</t>
        </is>
      </c>
      <c r="C4246" s="12" t="inlineStr">
        <is>
          <t>Modular / portable power</t>
        </is>
      </c>
      <c r="D4246" s="12" t="inlineStr">
        <is>
          <t>Motor 5 of 6: control / local station</t>
        </is>
      </c>
      <c r="E4246" s="12" t="inlineStr"/>
      <c r="F4246" s="12" t="inlineStr">
        <is>
          <t>SC-2 PCM + 15 kV GCB</t>
        </is>
      </c>
      <c r="G4246" s="12" t="inlineStr"/>
      <c r="H4246" s="12" t="inlineStr">
        <is>
          <t>Fuel-gas compressors 3 x 100% electric</t>
        </is>
      </c>
      <c r="I4246" s="12" t="inlineStr">
        <is>
          <t>Control</t>
        </is>
      </c>
      <c r="J4246" s="12" t="inlineStr">
        <is>
          <t>ARMOR-X MC-HL 600 V control, Cu #14 AWG (Class I Div 2)</t>
        </is>
      </c>
      <c r="K4246" s="12" t="inlineStr">
        <is>
          <t>CTAX|7/C|14</t>
        </is>
      </c>
      <c r="L4246" s="12" t="inlineStr">
        <is>
          <t>7/C</t>
        </is>
      </c>
      <c r="M4246" s="12" t="inlineStr">
        <is>
          <t>14</t>
        </is>
      </c>
      <c r="N4246" s="12" t="n">
        <v>1</v>
      </c>
      <c r="O4246" s="12" t="n">
        <v>1</v>
      </c>
      <c r="P4246" s="12" t="n"/>
      <c r="Q4246" s="12" t="n"/>
      <c r="R4246" s="12" t="n"/>
      <c r="S4246" s="12" t="inlineStr">
        <is>
          <t>Duct bank</t>
        </is>
      </c>
      <c r="T4246" s="16" t="n">
        <v>8</v>
      </c>
      <c r="U4246" s="16" t="n">
        <v>108</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I-C-0013</t>
        </is>
      </c>
      <c r="B4247" s="12" t="inlineStr">
        <is>
          <t>I</t>
        </is>
      </c>
      <c r="C4247" s="12" t="inlineStr">
        <is>
          <t>Modular / portable power</t>
        </is>
      </c>
      <c r="D4247" s="12" t="inlineStr">
        <is>
          <t>Motor 6 of 6: control / local station</t>
        </is>
      </c>
      <c r="E4247" s="12" t="inlineStr"/>
      <c r="F4247" s="12" t="inlineStr">
        <is>
          <t>SC-2 PCM + 15 kV GCB</t>
        </is>
      </c>
      <c r="G4247" s="12" t="inlineStr"/>
      <c r="H4247" s="12" t="inlineStr">
        <is>
          <t>Fuel-gas compressors 3 x 100% electric</t>
        </is>
      </c>
      <c r="I4247" s="12" t="inlineStr">
        <is>
          <t>Control</t>
        </is>
      </c>
      <c r="J4247" s="12" t="inlineStr">
        <is>
          <t>ARMOR-X MC-HL 600 V control, Cu #14 AWG (Class I Div 2)</t>
        </is>
      </c>
      <c r="K4247" s="12" t="inlineStr">
        <is>
          <t>CTAX|7/C|14</t>
        </is>
      </c>
      <c r="L4247" s="12" t="inlineStr">
        <is>
          <t>7/C</t>
        </is>
      </c>
      <c r="M4247" s="12" t="inlineStr">
        <is>
          <t>14</t>
        </is>
      </c>
      <c r="N4247" s="12" t="n">
        <v>1</v>
      </c>
      <c r="O4247" s="12" t="n">
        <v>1</v>
      </c>
      <c r="P4247" s="12" t="n"/>
      <c r="Q4247" s="12" t="n"/>
      <c r="R4247" s="12" t="n"/>
      <c r="S4247" s="12" t="inlineStr">
        <is>
          <t>Duct bank</t>
        </is>
      </c>
      <c r="T4247" s="16" t="n">
        <v>8</v>
      </c>
      <c r="U4247" s="16" t="n">
        <v>108</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I-C-0014</t>
        </is>
      </c>
      <c r="B4248" s="12" t="inlineStr">
        <is>
          <t>I</t>
        </is>
      </c>
      <c r="C4248" s="12" t="inlineStr">
        <is>
          <t>Modular / portable power</t>
        </is>
      </c>
      <c r="D4248" s="12" t="inlineStr">
        <is>
          <t>L7 GB-1.1 control / sync / protection</t>
        </is>
      </c>
      <c r="E4248" s="12" t="inlineStr">
        <is>
          <t>GBC-1</t>
        </is>
      </c>
      <c r="F4248" s="12" t="inlineStr">
        <is>
          <t xml:space="preserve">GBC-1: block GB-1 generator collector box, 480 V outdoor switchboard, </t>
        </is>
      </c>
      <c r="G4248" s="12" t="inlineStr">
        <is>
          <t>GB-1.1</t>
        </is>
      </c>
      <c r="H4248" s="12" t="inlineStr">
        <is>
          <t>GB-1.1: modular gas genset 500 kW, 480 V (block GB-1, unit 1 of 5)</t>
        </is>
      </c>
      <c r="I4248" s="12" t="inlineStr">
        <is>
          <t>Control</t>
        </is>
      </c>
      <c r="J4248" s="12" t="inlineStr">
        <is>
          <t>ARMOR-X MC-HL 600 V control, Cu #14 AWG (Class I Div 2)</t>
        </is>
      </c>
      <c r="K4248" s="12" t="inlineStr">
        <is>
          <t>CTAX|12/C|14</t>
        </is>
      </c>
      <c r="L4248" s="12" t="inlineStr">
        <is>
          <t>12/C</t>
        </is>
      </c>
      <c r="M4248" s="12" t="inlineStr">
        <is>
          <t>14</t>
        </is>
      </c>
      <c r="N4248" s="12" t="n">
        <v>1</v>
      </c>
      <c r="O4248" s="12" t="n">
        <v>1</v>
      </c>
      <c r="P4248" s="12" t="n"/>
      <c r="Q4248" s="12" t="n"/>
      <c r="R4248" s="12" t="n"/>
      <c r="S4248" s="12" t="inlineStr">
        <is>
          <t>Surface</t>
        </is>
      </c>
      <c r="T4248" s="16" t="n">
        <v>44</v>
      </c>
      <c r="U4248" s="16" t="n">
        <v>28</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I-C-0015</t>
        </is>
      </c>
      <c r="B4249" s="12" t="inlineStr">
        <is>
          <t>I</t>
        </is>
      </c>
      <c r="C4249" s="12" t="inlineStr">
        <is>
          <t>Modular / portable power</t>
        </is>
      </c>
      <c r="D4249" s="12" t="inlineStr">
        <is>
          <t>L7 GB-1.2 control / sync / protection</t>
        </is>
      </c>
      <c r="E4249" s="12" t="inlineStr">
        <is>
          <t>GBC-1</t>
        </is>
      </c>
      <c r="F4249" s="12" t="inlineStr">
        <is>
          <t xml:space="preserve">GBC-1: block GB-1 generator collector box, 480 V outdoor switchboard, </t>
        </is>
      </c>
      <c r="G4249" s="12" t="inlineStr">
        <is>
          <t>GB-1.2</t>
        </is>
      </c>
      <c r="H4249" s="12" t="inlineStr">
        <is>
          <t>GB-1.2: modular gas genset 500 kW, 480 V (block GB-1, unit 2 of 5)</t>
        </is>
      </c>
      <c r="I4249" s="12" t="inlineStr">
        <is>
          <t>Control</t>
        </is>
      </c>
      <c r="J4249" s="12" t="inlineStr">
        <is>
          <t>ARMOR-X MC-HL 600 V control, Cu #14 AWG (Class I Div 2)</t>
        </is>
      </c>
      <c r="K4249" s="12" t="inlineStr">
        <is>
          <t>CTAX|12/C|14</t>
        </is>
      </c>
      <c r="L4249" s="12" t="inlineStr">
        <is>
          <t>12/C</t>
        </is>
      </c>
      <c r="M4249" s="12" t="inlineStr">
        <is>
          <t>14</t>
        </is>
      </c>
      <c r="N4249" s="12" t="n">
        <v>1</v>
      </c>
      <c r="O4249" s="12" t="n">
        <v>1</v>
      </c>
      <c r="P4249" s="12" t="n"/>
      <c r="Q4249" s="12" t="n"/>
      <c r="R4249" s="12" t="n"/>
      <c r="S4249" s="12" t="inlineStr">
        <is>
          <t>Surface</t>
        </is>
      </c>
      <c r="T4249" s="16" t="n">
        <v>34</v>
      </c>
      <c r="U4249" s="16" t="n">
        <v>28</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I-C-0016</t>
        </is>
      </c>
      <c r="B4250" s="12" t="inlineStr">
        <is>
          <t>I</t>
        </is>
      </c>
      <c r="C4250" s="12" t="inlineStr">
        <is>
          <t>Modular / portable power</t>
        </is>
      </c>
      <c r="D4250" s="12" t="inlineStr">
        <is>
          <t>L7 GB-1.3 control / sync / protection</t>
        </is>
      </c>
      <c r="E4250" s="12" t="inlineStr">
        <is>
          <t>GBC-1</t>
        </is>
      </c>
      <c r="F4250" s="12" t="inlineStr">
        <is>
          <t xml:space="preserve">GBC-1: block GB-1 generator collector box, 480 V outdoor switchboard, </t>
        </is>
      </c>
      <c r="G4250" s="12" t="inlineStr">
        <is>
          <t>GB-1.3</t>
        </is>
      </c>
      <c r="H4250" s="12" t="inlineStr">
        <is>
          <t>GB-1.3: modular gas genset 500 kW, 480 V (block GB-1, unit 3 of 5)</t>
        </is>
      </c>
      <c r="I4250" s="12" t="inlineStr">
        <is>
          <t>Control</t>
        </is>
      </c>
      <c r="J4250" s="12" t="inlineStr">
        <is>
          <t>ARMOR-X MC-HL 600 V control, Cu #14 AWG (Class I Div 2)</t>
        </is>
      </c>
      <c r="K4250" s="12" t="inlineStr">
        <is>
          <t>CTAX|12/C|14</t>
        </is>
      </c>
      <c r="L4250" s="12" t="inlineStr">
        <is>
          <t>12/C</t>
        </is>
      </c>
      <c r="M4250" s="12" t="inlineStr">
        <is>
          <t>14</t>
        </is>
      </c>
      <c r="N4250" s="12" t="n">
        <v>1</v>
      </c>
      <c r="O4250" s="12" t="n">
        <v>1</v>
      </c>
      <c r="P4250" s="12" t="n"/>
      <c r="Q4250" s="12" t="n"/>
      <c r="R4250" s="12" t="n"/>
      <c r="S4250" s="12" t="inlineStr">
        <is>
          <t>Surface</t>
        </is>
      </c>
      <c r="T4250" s="16" t="n">
        <v>24</v>
      </c>
      <c r="U4250" s="16" t="n">
        <v>28</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I-C-0017</t>
        </is>
      </c>
      <c r="B4251" s="12" t="inlineStr">
        <is>
          <t>I</t>
        </is>
      </c>
      <c r="C4251" s="12" t="inlineStr">
        <is>
          <t>Modular / portable power</t>
        </is>
      </c>
      <c r="D4251" s="12" t="inlineStr">
        <is>
          <t>L7 GB-1.4 control / sync / protection</t>
        </is>
      </c>
      <c r="E4251" s="12" t="inlineStr">
        <is>
          <t>GBC-1</t>
        </is>
      </c>
      <c r="F4251" s="12" t="inlineStr">
        <is>
          <t xml:space="preserve">GBC-1: block GB-1 generator collector box, 480 V outdoor switchboard, </t>
        </is>
      </c>
      <c r="G4251" s="12" t="inlineStr">
        <is>
          <t>GB-1.4</t>
        </is>
      </c>
      <c r="H4251" s="12" t="inlineStr">
        <is>
          <t>GB-1.4: modular gas genset 500 kW, 480 V (block GB-1, unit 4 of 5)</t>
        </is>
      </c>
      <c r="I4251" s="12" t="inlineStr">
        <is>
          <t>Control</t>
        </is>
      </c>
      <c r="J4251" s="12" t="inlineStr">
        <is>
          <t>ARMOR-X MC-HL 600 V control, Cu #14 AWG (Class I Div 2)</t>
        </is>
      </c>
      <c r="K4251" s="12" t="inlineStr">
        <is>
          <t>CTAX|12/C|14</t>
        </is>
      </c>
      <c r="L4251" s="12" t="inlineStr">
        <is>
          <t>12/C</t>
        </is>
      </c>
      <c r="M4251" s="12" t="inlineStr">
        <is>
          <t>14</t>
        </is>
      </c>
      <c r="N4251" s="12" t="n">
        <v>1</v>
      </c>
      <c r="O4251" s="12" t="n">
        <v>1</v>
      </c>
      <c r="P4251" s="12" t="n"/>
      <c r="Q4251" s="12" t="n"/>
      <c r="R4251" s="12" t="n"/>
      <c r="S4251" s="12" t="inlineStr">
        <is>
          <t>Surface</t>
        </is>
      </c>
      <c r="T4251" s="16" t="n">
        <v>14</v>
      </c>
      <c r="U4251" s="16" t="n">
        <v>28</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I-C-0018</t>
        </is>
      </c>
      <c r="B4252" s="12" t="inlineStr">
        <is>
          <t>I</t>
        </is>
      </c>
      <c r="C4252" s="12" t="inlineStr">
        <is>
          <t>Modular / portable power</t>
        </is>
      </c>
      <c r="D4252" s="12" t="inlineStr">
        <is>
          <t>L7 GB-1.5 control / sync / protection</t>
        </is>
      </c>
      <c r="E4252" s="12" t="inlineStr">
        <is>
          <t>GBC-1</t>
        </is>
      </c>
      <c r="F4252" s="12" t="inlineStr">
        <is>
          <t xml:space="preserve">GBC-1: block GB-1 generator collector box, 480 V outdoor switchboard, </t>
        </is>
      </c>
      <c r="G4252" s="12" t="inlineStr">
        <is>
          <t>GB-1.5</t>
        </is>
      </c>
      <c r="H4252" s="12" t="inlineStr">
        <is>
          <t>GB-1.5: modular gas genset 500 kW, 480 V (block GB-1, unit 5 of 5)</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Tray</t>
        </is>
      </c>
      <c r="T4252" s="16" t="n">
        <v>0</v>
      </c>
      <c r="U4252" s="16" t="n">
        <v>30</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I-C-0019</t>
        </is>
      </c>
      <c r="B4253" s="12" t="inlineStr">
        <is>
          <t>I</t>
        </is>
      </c>
      <c r="C4253" s="12" t="inlineStr">
        <is>
          <t>Modular / portable power</t>
        </is>
      </c>
      <c r="D4253" s="12" t="inlineStr">
        <is>
          <t>L7 GB-2.1 control / sync / protection</t>
        </is>
      </c>
      <c r="E4253" s="12" t="inlineStr">
        <is>
          <t>GBC-2</t>
        </is>
      </c>
      <c r="F4253" s="12" t="inlineStr">
        <is>
          <t xml:space="preserve">GBC-2: block GB-2 generator collector box, 480 V outdoor switchboard, </t>
        </is>
      </c>
      <c r="G4253" s="12" t="inlineStr">
        <is>
          <t>GB-2.1</t>
        </is>
      </c>
      <c r="H4253" s="12" t="inlineStr">
        <is>
          <t>GB-2.1: modular gas genset 500 kW, 480 V (block GB-2, unit 1 of 5)</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Surface</t>
        </is>
      </c>
      <c r="T4253" s="16" t="n">
        <v>44</v>
      </c>
      <c r="U4253" s="16" t="n">
        <v>28</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I-C-0020</t>
        </is>
      </c>
      <c r="B4254" s="12" t="inlineStr">
        <is>
          <t>I</t>
        </is>
      </c>
      <c r="C4254" s="12" t="inlineStr">
        <is>
          <t>Modular / portable power</t>
        </is>
      </c>
      <c r="D4254" s="12" t="inlineStr">
        <is>
          <t>L7 GB-2.2 control / sync / protection</t>
        </is>
      </c>
      <c r="E4254" s="12" t="inlineStr">
        <is>
          <t>GBC-2</t>
        </is>
      </c>
      <c r="F4254" s="12" t="inlineStr">
        <is>
          <t xml:space="preserve">GBC-2: block GB-2 generator collector box, 480 V outdoor switchboard, </t>
        </is>
      </c>
      <c r="G4254" s="12" t="inlineStr">
        <is>
          <t>GB-2.2</t>
        </is>
      </c>
      <c r="H4254" s="12" t="inlineStr">
        <is>
          <t>GB-2.2: modular gas genset 500 kW, 480 V (block GB-2, unit 2 of 5)</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Surface</t>
        </is>
      </c>
      <c r="T4254" s="16" t="n">
        <v>34</v>
      </c>
      <c r="U4254" s="16" t="n">
        <v>28</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I-C-0021</t>
        </is>
      </c>
      <c r="B4255" s="12" t="inlineStr">
        <is>
          <t>I</t>
        </is>
      </c>
      <c r="C4255" s="12" t="inlineStr">
        <is>
          <t>Modular / portable power</t>
        </is>
      </c>
      <c r="D4255" s="12" t="inlineStr">
        <is>
          <t>L7 GB-2.3 control / sync / protection</t>
        </is>
      </c>
      <c r="E4255" s="12" t="inlineStr">
        <is>
          <t>GBC-2</t>
        </is>
      </c>
      <c r="F4255" s="12" t="inlineStr">
        <is>
          <t xml:space="preserve">GBC-2: block GB-2 generator collector box, 480 V outdoor switchboard, </t>
        </is>
      </c>
      <c r="G4255" s="12" t="inlineStr">
        <is>
          <t>GB-2.3</t>
        </is>
      </c>
      <c r="H4255" s="12" t="inlineStr">
        <is>
          <t>GB-2.3: modular gas genset 500 kW, 480 V (block GB-2, unit 3 of 5)</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Surface</t>
        </is>
      </c>
      <c r="T4255" s="16" t="n">
        <v>24</v>
      </c>
      <c r="U4255" s="16" t="n">
        <v>28</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I-C-0022</t>
        </is>
      </c>
      <c r="B4256" s="12" t="inlineStr">
        <is>
          <t>I</t>
        </is>
      </c>
      <c r="C4256" s="12" t="inlineStr">
        <is>
          <t>Modular / portable power</t>
        </is>
      </c>
      <c r="D4256" s="12" t="inlineStr">
        <is>
          <t>L7 GB-2.4 control / sync / protection</t>
        </is>
      </c>
      <c r="E4256" s="12" t="inlineStr">
        <is>
          <t>GBC-2</t>
        </is>
      </c>
      <c r="F4256" s="12" t="inlineStr">
        <is>
          <t xml:space="preserve">GBC-2: block GB-2 generator collector box, 480 V outdoor switchboard, </t>
        </is>
      </c>
      <c r="G4256" s="12" t="inlineStr">
        <is>
          <t>GB-2.4</t>
        </is>
      </c>
      <c r="H4256" s="12" t="inlineStr">
        <is>
          <t>GB-2.4: modular gas genset 500 kW, 480 V (block GB-2, unit 4 of 5)</t>
        </is>
      </c>
      <c r="I4256" s="12" t="inlineStr">
        <is>
          <t>Control</t>
        </is>
      </c>
      <c r="J4256" s="12" t="inlineStr">
        <is>
          <t>ARMOR-X MC-HL 600 V control, Cu #14 AWG (Class I Div 2)</t>
        </is>
      </c>
      <c r="K4256" s="12" t="inlineStr">
        <is>
          <t>CTAX|12/C|14</t>
        </is>
      </c>
      <c r="L4256" s="12" t="inlineStr">
        <is>
          <t>12/C</t>
        </is>
      </c>
      <c r="M4256" s="12" t="inlineStr">
        <is>
          <t>14</t>
        </is>
      </c>
      <c r="N4256" s="12" t="n">
        <v>1</v>
      </c>
      <c r="O4256" s="12" t="n">
        <v>1</v>
      </c>
      <c r="P4256" s="12" t="n"/>
      <c r="Q4256" s="12" t="n"/>
      <c r="R4256" s="12" t="n"/>
      <c r="S4256" s="12" t="inlineStr">
        <is>
          <t>Surface</t>
        </is>
      </c>
      <c r="T4256" s="16" t="n">
        <v>14</v>
      </c>
      <c r="U4256" s="16" t="n">
        <v>28</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I-C-0023</t>
        </is>
      </c>
      <c r="B4257" s="12" t="inlineStr">
        <is>
          <t>I</t>
        </is>
      </c>
      <c r="C4257" s="12" t="inlineStr">
        <is>
          <t>Modular / portable power</t>
        </is>
      </c>
      <c r="D4257" s="12" t="inlineStr">
        <is>
          <t>L7 GB-2.5 control / sync / protection</t>
        </is>
      </c>
      <c r="E4257" s="12" t="inlineStr">
        <is>
          <t>GBC-2</t>
        </is>
      </c>
      <c r="F4257" s="12" t="inlineStr">
        <is>
          <t xml:space="preserve">GBC-2: block GB-2 generator collector box, 480 V outdoor switchboard, </t>
        </is>
      </c>
      <c r="G4257" s="12" t="inlineStr">
        <is>
          <t>GB-2.5</t>
        </is>
      </c>
      <c r="H4257" s="12" t="inlineStr">
        <is>
          <t>GB-2.5: modular gas genset 500 kW, 480 V (block GB-2, unit 5 of 5)</t>
        </is>
      </c>
      <c r="I4257" s="12" t="inlineStr">
        <is>
          <t>Control</t>
        </is>
      </c>
      <c r="J4257" s="12" t="inlineStr">
        <is>
          <t>ARMOR-X MC-HL 600 V control, Cu #14 AWG (Class I Div 2)</t>
        </is>
      </c>
      <c r="K4257" s="12" t="inlineStr">
        <is>
          <t>CTAX|12/C|14</t>
        </is>
      </c>
      <c r="L4257" s="12" t="inlineStr">
        <is>
          <t>12/C</t>
        </is>
      </c>
      <c r="M4257" s="12" t="inlineStr">
        <is>
          <t>14</t>
        </is>
      </c>
      <c r="N4257" s="12" t="n">
        <v>1</v>
      </c>
      <c r="O4257" s="12" t="n">
        <v>1</v>
      </c>
      <c r="P4257" s="12" t="n"/>
      <c r="Q4257" s="12" t="n"/>
      <c r="R4257" s="12" t="n"/>
      <c r="S4257" s="12" t="inlineStr">
        <is>
          <t>Tray</t>
        </is>
      </c>
      <c r="T4257" s="16" t="n">
        <v>0</v>
      </c>
      <c r="U4257" s="16" t="n">
        <v>30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I-C-0024</t>
        </is>
      </c>
      <c r="B4258" s="12" t="inlineStr">
        <is>
          <t>I</t>
        </is>
      </c>
      <c r="C4258" s="12" t="inlineStr">
        <is>
          <t>Modular / portable power</t>
        </is>
      </c>
      <c r="D4258" s="12" t="inlineStr">
        <is>
          <t>L7 GB-3.1 control / sync / protection</t>
        </is>
      </c>
      <c r="E4258" s="12" t="inlineStr">
        <is>
          <t>GBC-3</t>
        </is>
      </c>
      <c r="F4258" s="12" t="inlineStr">
        <is>
          <t xml:space="preserve">GBC-3: block GB-3 generator collector box, 480 V outdoor switchboard, </t>
        </is>
      </c>
      <c r="G4258" s="12" t="inlineStr">
        <is>
          <t>GB-3.1</t>
        </is>
      </c>
      <c r="H4258" s="12" t="inlineStr">
        <is>
          <t>GB-3.1: modular gas genset 500 kW, 480 V (block GB-3, unit 1 of 5)</t>
        </is>
      </c>
      <c r="I4258" s="12" t="inlineStr">
        <is>
          <t>Control</t>
        </is>
      </c>
      <c r="J4258" s="12" t="inlineStr">
        <is>
          <t>ARMOR-X MC-HL 600 V control, Cu #14 AWG (Class I Div 2)</t>
        </is>
      </c>
      <c r="K4258" s="12" t="inlineStr">
        <is>
          <t>CTAX|12/C|14</t>
        </is>
      </c>
      <c r="L4258" s="12" t="inlineStr">
        <is>
          <t>12/C</t>
        </is>
      </c>
      <c r="M4258" s="12" t="inlineStr">
        <is>
          <t>14</t>
        </is>
      </c>
      <c r="N4258" s="12" t="n">
        <v>1</v>
      </c>
      <c r="O4258" s="12" t="n">
        <v>1</v>
      </c>
      <c r="P4258" s="12" t="n"/>
      <c r="Q4258" s="12" t="n"/>
      <c r="R4258" s="12" t="n"/>
      <c r="S4258" s="12" t="inlineStr">
        <is>
          <t>Surface</t>
        </is>
      </c>
      <c r="T4258" s="16" t="n">
        <v>44</v>
      </c>
      <c r="U4258" s="16" t="n">
        <v>28</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I-C-0025</t>
        </is>
      </c>
      <c r="B4259" s="12" t="inlineStr">
        <is>
          <t>I</t>
        </is>
      </c>
      <c r="C4259" s="12" t="inlineStr">
        <is>
          <t>Modular / portable power</t>
        </is>
      </c>
      <c r="D4259" s="12" t="inlineStr">
        <is>
          <t>L7 GB-3.2 control / sync / protection</t>
        </is>
      </c>
      <c r="E4259" s="12" t="inlineStr">
        <is>
          <t>GBC-3</t>
        </is>
      </c>
      <c r="F4259" s="12" t="inlineStr">
        <is>
          <t xml:space="preserve">GBC-3: block GB-3 generator collector box, 480 V outdoor switchboard, </t>
        </is>
      </c>
      <c r="G4259" s="12" t="inlineStr">
        <is>
          <t>GB-3.2</t>
        </is>
      </c>
      <c r="H4259" s="12" t="inlineStr">
        <is>
          <t>GB-3.2: modular gas genset 500 kW, 480 V (block GB-3, unit 2 of 5)</t>
        </is>
      </c>
      <c r="I4259" s="12" t="inlineStr">
        <is>
          <t>Control</t>
        </is>
      </c>
      <c r="J4259" s="12" t="inlineStr">
        <is>
          <t>ARMOR-X MC-HL 600 V control, Cu #14 AWG (Class I Div 2)</t>
        </is>
      </c>
      <c r="K4259" s="12" t="inlineStr">
        <is>
          <t>CTAX|12/C|14</t>
        </is>
      </c>
      <c r="L4259" s="12" t="inlineStr">
        <is>
          <t>12/C</t>
        </is>
      </c>
      <c r="M4259" s="12" t="inlineStr">
        <is>
          <t>14</t>
        </is>
      </c>
      <c r="N4259" s="12" t="n">
        <v>1</v>
      </c>
      <c r="O4259" s="12" t="n">
        <v>1</v>
      </c>
      <c r="P4259" s="12" t="n"/>
      <c r="Q4259" s="12" t="n"/>
      <c r="R4259" s="12" t="n"/>
      <c r="S4259" s="12" t="inlineStr">
        <is>
          <t>Surface</t>
        </is>
      </c>
      <c r="T4259" s="16" t="n">
        <v>34</v>
      </c>
      <c r="U4259" s="16" t="n">
        <v>28</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I-C-0026</t>
        </is>
      </c>
      <c r="B4260" s="12" t="inlineStr">
        <is>
          <t>I</t>
        </is>
      </c>
      <c r="C4260" s="12" t="inlineStr">
        <is>
          <t>Modular / portable power</t>
        </is>
      </c>
      <c r="D4260" s="12" t="inlineStr">
        <is>
          <t>L7 GB-3.3 control / sync / protection</t>
        </is>
      </c>
      <c r="E4260" s="12" t="inlineStr">
        <is>
          <t>GBC-3</t>
        </is>
      </c>
      <c r="F4260" s="12" t="inlineStr">
        <is>
          <t xml:space="preserve">GBC-3: block GB-3 generator collector box, 480 V outdoor switchboard, </t>
        </is>
      </c>
      <c r="G4260" s="12" t="inlineStr">
        <is>
          <t>GB-3.3</t>
        </is>
      </c>
      <c r="H4260" s="12" t="inlineStr">
        <is>
          <t>GB-3.3: modular gas genset 500 kW, 480 V (block GB-3, unit 3 of 5)</t>
        </is>
      </c>
      <c r="I4260" s="12" t="inlineStr">
        <is>
          <t>Control</t>
        </is>
      </c>
      <c r="J4260" s="12" t="inlineStr">
        <is>
          <t>ARMOR-X MC-HL 600 V control, Cu #14 AWG (Class I Div 2)</t>
        </is>
      </c>
      <c r="K4260" s="12" t="inlineStr">
        <is>
          <t>CTAX|12/C|14</t>
        </is>
      </c>
      <c r="L4260" s="12" t="inlineStr">
        <is>
          <t>12/C</t>
        </is>
      </c>
      <c r="M4260" s="12" t="inlineStr">
        <is>
          <t>14</t>
        </is>
      </c>
      <c r="N4260" s="12" t="n">
        <v>1</v>
      </c>
      <c r="O4260" s="12" t="n">
        <v>1</v>
      </c>
      <c r="P4260" s="12" t="n"/>
      <c r="Q4260" s="12" t="n"/>
      <c r="R4260" s="12" t="n"/>
      <c r="S4260" s="12" t="inlineStr">
        <is>
          <t>Surface</t>
        </is>
      </c>
      <c r="T4260" s="16" t="n">
        <v>24</v>
      </c>
      <c r="U4260" s="16" t="n">
        <v>28</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I-C-0027</t>
        </is>
      </c>
      <c r="B4261" s="12" t="inlineStr">
        <is>
          <t>I</t>
        </is>
      </c>
      <c r="C4261" s="12" t="inlineStr">
        <is>
          <t>Modular / portable power</t>
        </is>
      </c>
      <c r="D4261" s="12" t="inlineStr">
        <is>
          <t>L7 GB-3.4 control / sync / protection</t>
        </is>
      </c>
      <c r="E4261" s="12" t="inlineStr">
        <is>
          <t>GBC-3</t>
        </is>
      </c>
      <c r="F4261" s="12" t="inlineStr">
        <is>
          <t xml:space="preserve">GBC-3: block GB-3 generator collector box, 480 V outdoor switchboard, </t>
        </is>
      </c>
      <c r="G4261" s="12" t="inlineStr">
        <is>
          <t>GB-3.4</t>
        </is>
      </c>
      <c r="H4261" s="12" t="inlineStr">
        <is>
          <t>GB-3.4: modular gas genset 500 kW, 480 V (block GB-3, unit 4 of 5)</t>
        </is>
      </c>
      <c r="I4261" s="12" t="inlineStr">
        <is>
          <t>Control</t>
        </is>
      </c>
      <c r="J4261" s="12" t="inlineStr">
        <is>
          <t>ARMOR-X MC-HL 600 V control, Cu #14 AWG (Class I Div 2)</t>
        </is>
      </c>
      <c r="K4261" s="12" t="inlineStr">
        <is>
          <t>CTAX|12/C|14</t>
        </is>
      </c>
      <c r="L4261" s="12" t="inlineStr">
        <is>
          <t>12/C</t>
        </is>
      </c>
      <c r="M4261" s="12" t="inlineStr">
        <is>
          <t>14</t>
        </is>
      </c>
      <c r="N4261" s="12" t="n">
        <v>1</v>
      </c>
      <c r="O4261" s="12" t="n">
        <v>1</v>
      </c>
      <c r="P4261" s="12" t="n"/>
      <c r="Q4261" s="12" t="n"/>
      <c r="R4261" s="12" t="n"/>
      <c r="S4261" s="12" t="inlineStr">
        <is>
          <t>Surface</t>
        </is>
      </c>
      <c r="T4261" s="16" t="n">
        <v>14</v>
      </c>
      <c r="U4261" s="16" t="n">
        <v>28</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I-C-0028</t>
        </is>
      </c>
      <c r="B4262" s="12" t="inlineStr">
        <is>
          <t>I</t>
        </is>
      </c>
      <c r="C4262" s="12" t="inlineStr">
        <is>
          <t>Modular / portable power</t>
        </is>
      </c>
      <c r="D4262" s="12" t="inlineStr">
        <is>
          <t>L7 GB-3.5 control / sync / protection</t>
        </is>
      </c>
      <c r="E4262" s="12" t="inlineStr">
        <is>
          <t>GBC-3</t>
        </is>
      </c>
      <c r="F4262" s="12" t="inlineStr">
        <is>
          <t xml:space="preserve">GBC-3: block GB-3 generator collector box, 480 V outdoor switchboard, </t>
        </is>
      </c>
      <c r="G4262" s="12" t="inlineStr">
        <is>
          <t>GB-3.5</t>
        </is>
      </c>
      <c r="H4262" s="12" t="inlineStr">
        <is>
          <t>GB-3.5: modular gas genset 500 kW, 480 V (block GB-3, unit 5 of 5)</t>
        </is>
      </c>
      <c r="I4262" s="12" t="inlineStr">
        <is>
          <t>Control</t>
        </is>
      </c>
      <c r="J4262" s="12" t="inlineStr">
        <is>
          <t>ARMOR-X MC-HL 600 V control, Cu #14 AWG (Class I Div 2)</t>
        </is>
      </c>
      <c r="K4262" s="12" t="inlineStr">
        <is>
          <t>CTAX|12/C|14</t>
        </is>
      </c>
      <c r="L4262" s="12" t="inlineStr">
        <is>
          <t>12/C</t>
        </is>
      </c>
      <c r="M4262" s="12" t="inlineStr">
        <is>
          <t>14</t>
        </is>
      </c>
      <c r="N4262" s="12" t="n">
        <v>1</v>
      </c>
      <c r="O4262" s="12" t="n">
        <v>1</v>
      </c>
      <c r="P4262" s="12" t="n"/>
      <c r="Q4262" s="12" t="n"/>
      <c r="R4262" s="12" t="n"/>
      <c r="S4262" s="12" t="inlineStr">
        <is>
          <t>Tray</t>
        </is>
      </c>
      <c r="T4262" s="16" t="n">
        <v>0</v>
      </c>
      <c r="U4262" s="16" t="n">
        <v>30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I-C-0029</t>
        </is>
      </c>
      <c r="B4263" s="12" t="inlineStr">
        <is>
          <t>I</t>
        </is>
      </c>
      <c r="C4263" s="12" t="inlineStr">
        <is>
          <t>Modular / portable power</t>
        </is>
      </c>
      <c r="D4263" s="12" t="inlineStr">
        <is>
          <t>L7 GB-4.1 control / sync / protection</t>
        </is>
      </c>
      <c r="E4263" s="12" t="inlineStr">
        <is>
          <t>GBC-4</t>
        </is>
      </c>
      <c r="F4263" s="12" t="inlineStr">
        <is>
          <t xml:space="preserve">GBC-4: block GB-4 generator collector box, 480 V outdoor switchboard, </t>
        </is>
      </c>
      <c r="G4263" s="12" t="inlineStr">
        <is>
          <t>GB-4.1</t>
        </is>
      </c>
      <c r="H4263" s="12" t="inlineStr">
        <is>
          <t>GB-4.1: modular gas genset 500 kW, 480 V (block GB-4, unit 1 of 5)</t>
        </is>
      </c>
      <c r="I4263" s="12" t="inlineStr">
        <is>
          <t>Control</t>
        </is>
      </c>
      <c r="J4263" s="12" t="inlineStr">
        <is>
          <t>ARMOR-X MC-HL 600 V control, Cu #14 AWG (Class I Div 2)</t>
        </is>
      </c>
      <c r="K4263" s="12" t="inlineStr">
        <is>
          <t>CTAX|12/C|14</t>
        </is>
      </c>
      <c r="L4263" s="12" t="inlineStr">
        <is>
          <t>12/C</t>
        </is>
      </c>
      <c r="M4263" s="12" t="inlineStr">
        <is>
          <t>14</t>
        </is>
      </c>
      <c r="N4263" s="12" t="n">
        <v>1</v>
      </c>
      <c r="O4263" s="12" t="n">
        <v>1</v>
      </c>
      <c r="P4263" s="12" t="n"/>
      <c r="Q4263" s="12" t="n"/>
      <c r="R4263" s="12" t="n"/>
      <c r="S4263" s="12" t="inlineStr">
        <is>
          <t>Surface</t>
        </is>
      </c>
      <c r="T4263" s="16" t="n">
        <v>34</v>
      </c>
      <c r="U4263" s="16" t="n">
        <v>36</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I-C-0030</t>
        </is>
      </c>
      <c r="B4264" s="12" t="inlineStr">
        <is>
          <t>I</t>
        </is>
      </c>
      <c r="C4264" s="12" t="inlineStr">
        <is>
          <t>Modular / portable power</t>
        </is>
      </c>
      <c r="D4264" s="12" t="inlineStr">
        <is>
          <t>L7 GB-4.2 control / sync / protection</t>
        </is>
      </c>
      <c r="E4264" s="12" t="inlineStr">
        <is>
          <t>GBC-4</t>
        </is>
      </c>
      <c r="F4264" s="12" t="inlineStr">
        <is>
          <t xml:space="preserve">GBC-4: block GB-4 generator collector box, 480 V outdoor switchboard, </t>
        </is>
      </c>
      <c r="G4264" s="12" t="inlineStr">
        <is>
          <t>GB-4.2</t>
        </is>
      </c>
      <c r="H4264" s="12" t="inlineStr">
        <is>
          <t>GB-4.2: modular gas genset 500 kW, 480 V (block GB-4, unit 2 of 5)</t>
        </is>
      </c>
      <c r="I4264" s="12" t="inlineStr">
        <is>
          <t>Control</t>
        </is>
      </c>
      <c r="J4264" s="12" t="inlineStr">
        <is>
          <t>ARMOR-X MC-HL 600 V control, Cu #14 AWG (Class I Div 2)</t>
        </is>
      </c>
      <c r="K4264" s="12" t="inlineStr">
        <is>
          <t>CTAX|12/C|14</t>
        </is>
      </c>
      <c r="L4264" s="12" t="inlineStr">
        <is>
          <t>12/C</t>
        </is>
      </c>
      <c r="M4264" s="12" t="inlineStr">
        <is>
          <t>14</t>
        </is>
      </c>
      <c r="N4264" s="12" t="n">
        <v>1</v>
      </c>
      <c r="O4264" s="12" t="n">
        <v>1</v>
      </c>
      <c r="P4264" s="12" t="n"/>
      <c r="Q4264" s="12" t="n"/>
      <c r="R4264" s="12" t="n"/>
      <c r="S4264" s="12" t="inlineStr">
        <is>
          <t>Surface</t>
        </is>
      </c>
      <c r="T4264" s="16" t="n">
        <v>34</v>
      </c>
      <c r="U4264" s="16" t="n">
        <v>28</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I-C-0031</t>
        </is>
      </c>
      <c r="B4265" s="12" t="inlineStr">
        <is>
          <t>I</t>
        </is>
      </c>
      <c r="C4265" s="12" t="inlineStr">
        <is>
          <t>Modular / portable power</t>
        </is>
      </c>
      <c r="D4265" s="12" t="inlineStr">
        <is>
          <t>L7 GB-4.3 control / sync / protection</t>
        </is>
      </c>
      <c r="E4265" s="12" t="inlineStr">
        <is>
          <t>GBC-4</t>
        </is>
      </c>
      <c r="F4265" s="12" t="inlineStr">
        <is>
          <t xml:space="preserve">GBC-4: block GB-4 generator collector box, 480 V outdoor switchboard, </t>
        </is>
      </c>
      <c r="G4265" s="12" t="inlineStr">
        <is>
          <t>GB-4.3</t>
        </is>
      </c>
      <c r="H4265" s="12" t="inlineStr">
        <is>
          <t>GB-4.3: modular gas genset 500 kW, 480 V (block GB-4, unit 3 of 5)</t>
        </is>
      </c>
      <c r="I4265" s="12" t="inlineStr">
        <is>
          <t>Control</t>
        </is>
      </c>
      <c r="J4265" s="12" t="inlineStr">
        <is>
          <t>ARMOR-X MC-HL 600 V control, Cu #14 AWG (Class I Div 2)</t>
        </is>
      </c>
      <c r="K4265" s="12" t="inlineStr">
        <is>
          <t>CTAX|12/C|14</t>
        </is>
      </c>
      <c r="L4265" s="12" t="inlineStr">
        <is>
          <t>12/C</t>
        </is>
      </c>
      <c r="M4265" s="12" t="inlineStr">
        <is>
          <t>14</t>
        </is>
      </c>
      <c r="N4265" s="12" t="n">
        <v>1</v>
      </c>
      <c r="O4265" s="12" t="n">
        <v>1</v>
      </c>
      <c r="P4265" s="12" t="n"/>
      <c r="Q4265" s="12" t="n"/>
      <c r="R4265" s="12" t="n"/>
      <c r="S4265" s="12" t="inlineStr">
        <is>
          <t>Surface</t>
        </is>
      </c>
      <c r="T4265" s="16" t="n">
        <v>24</v>
      </c>
      <c r="U4265" s="16" t="n">
        <v>28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I-C-0032</t>
        </is>
      </c>
      <c r="B4266" s="12" t="inlineStr">
        <is>
          <t>I</t>
        </is>
      </c>
      <c r="C4266" s="12" t="inlineStr">
        <is>
          <t>Modular / portable power</t>
        </is>
      </c>
      <c r="D4266" s="12" t="inlineStr">
        <is>
          <t>L7 GB-4.4 control / sync / protection</t>
        </is>
      </c>
      <c r="E4266" s="12" t="inlineStr">
        <is>
          <t>GBC-4</t>
        </is>
      </c>
      <c r="F4266" s="12" t="inlineStr">
        <is>
          <t xml:space="preserve">GBC-4: block GB-4 generator collector box, 480 V outdoor switchboard, </t>
        </is>
      </c>
      <c r="G4266" s="12" t="inlineStr">
        <is>
          <t>GB-4.4</t>
        </is>
      </c>
      <c r="H4266" s="12" t="inlineStr">
        <is>
          <t>GB-4.4: modular gas genset 500 kW, 480 V (block GB-4, unit 4 of 5)</t>
        </is>
      </c>
      <c r="I4266" s="12" t="inlineStr">
        <is>
          <t>Control</t>
        </is>
      </c>
      <c r="J4266" s="12" t="inlineStr">
        <is>
          <t>ARMOR-X MC-HL 600 V control, Cu #14 AWG (Class I Div 2)</t>
        </is>
      </c>
      <c r="K4266" s="12" t="inlineStr">
        <is>
          <t>CTAX|12/C|14</t>
        </is>
      </c>
      <c r="L4266" s="12" t="inlineStr">
        <is>
          <t>12/C</t>
        </is>
      </c>
      <c r="M4266" s="12" t="inlineStr">
        <is>
          <t>14</t>
        </is>
      </c>
      <c r="N4266" s="12" t="n">
        <v>1</v>
      </c>
      <c r="O4266" s="12" t="n">
        <v>1</v>
      </c>
      <c r="P4266" s="12" t="n"/>
      <c r="Q4266" s="12" t="n"/>
      <c r="R4266" s="12" t="n"/>
      <c r="S4266" s="12" t="inlineStr">
        <is>
          <t>Surface</t>
        </is>
      </c>
      <c r="T4266" s="16" t="n">
        <v>14</v>
      </c>
      <c r="U4266" s="16" t="n">
        <v>28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I-C-0033</t>
        </is>
      </c>
      <c r="B4267" s="12" t="inlineStr">
        <is>
          <t>I</t>
        </is>
      </c>
      <c r="C4267" s="12" t="inlineStr">
        <is>
          <t>Modular / portable power</t>
        </is>
      </c>
      <c r="D4267" s="12" t="inlineStr">
        <is>
          <t>L7 GB-4.5 control / sync / protection</t>
        </is>
      </c>
      <c r="E4267" s="12" t="inlineStr">
        <is>
          <t>GBC-4</t>
        </is>
      </c>
      <c r="F4267" s="12" t="inlineStr">
        <is>
          <t xml:space="preserve">GBC-4: block GB-4 generator collector box, 480 V outdoor switchboard, </t>
        </is>
      </c>
      <c r="G4267" s="12" t="inlineStr">
        <is>
          <t>GB-4.5</t>
        </is>
      </c>
      <c r="H4267" s="12" t="inlineStr">
        <is>
          <t>GB-4.5: modular gas genset 500 kW, 480 V (block GB-4, unit 5 of 5)</t>
        </is>
      </c>
      <c r="I4267" s="12" t="inlineStr">
        <is>
          <t>Control</t>
        </is>
      </c>
      <c r="J4267" s="12" t="inlineStr">
        <is>
          <t>ARMOR-X MC-HL 600 V control, Cu #14 AWG (Class I Div 2)</t>
        </is>
      </c>
      <c r="K4267" s="12" t="inlineStr">
        <is>
          <t>CTAX|12/C|14</t>
        </is>
      </c>
      <c r="L4267" s="12" t="inlineStr">
        <is>
          <t>12/C</t>
        </is>
      </c>
      <c r="M4267" s="12" t="inlineStr">
        <is>
          <t>14</t>
        </is>
      </c>
      <c r="N4267" s="12" t="n">
        <v>1</v>
      </c>
      <c r="O4267" s="12" t="n">
        <v>1</v>
      </c>
      <c r="P4267" s="12" t="n"/>
      <c r="Q4267" s="12" t="n"/>
      <c r="R4267" s="12" t="n"/>
      <c r="S4267" s="12" t="inlineStr">
        <is>
          <t>Tray</t>
        </is>
      </c>
      <c r="T4267" s="16" t="n">
        <v>0</v>
      </c>
      <c r="U4267" s="16" t="n">
        <v>30</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I-C-0034</t>
        </is>
      </c>
      <c r="B4268" s="12" t="inlineStr">
        <is>
          <t>I</t>
        </is>
      </c>
      <c r="C4268" s="12" t="inlineStr">
        <is>
          <t>Modular / portable power</t>
        </is>
      </c>
      <c r="D4268" s="12" t="inlineStr">
        <is>
          <t>Control</t>
        </is>
      </c>
      <c r="E4268" s="12" t="inlineStr">
        <is>
          <t>PAD-EH</t>
        </is>
      </c>
      <c r="F4268" s="12" t="inlineStr">
        <is>
          <t>PAD-EH 13.8 kV switchgear e-house</t>
        </is>
      </c>
      <c r="G4268" s="12" t="inlineStr">
        <is>
          <t>GSP-1</t>
        </is>
      </c>
      <c r="H4268" s="12" t="inlineStr">
        <is>
          <t>GSP-1: generator breaker / protection</t>
        </is>
      </c>
      <c r="I4268" s="12" t="inlineStr">
        <is>
          <t>Control</t>
        </is>
      </c>
      <c r="J4268" s="12" t="inlineStr">
        <is>
          <t>Control cable 600 V Type TC-ER, Cu #14 AWG, PVC jacket</t>
        </is>
      </c>
      <c r="K4268" s="12" t="inlineStr">
        <is>
          <t>CT|12/C|14</t>
        </is>
      </c>
      <c r="L4268" s="12" t="inlineStr">
        <is>
          <t>12/C</t>
        </is>
      </c>
      <c r="M4268" s="12" t="inlineStr">
        <is>
          <t>14</t>
        </is>
      </c>
      <c r="N4268" s="12" t="n">
        <v>1</v>
      </c>
      <c r="O4268" s="12" t="n">
        <v>1</v>
      </c>
      <c r="P4268" s="12" t="n"/>
      <c r="Q4268" s="12" t="n"/>
      <c r="R4268" s="12" t="n"/>
      <c r="S4268" s="12" t="inlineStr">
        <is>
          <t>Surface</t>
        </is>
      </c>
      <c r="T4268" s="16" t="n">
        <v>269</v>
      </c>
      <c r="U4268" s="16" t="n">
        <v>66</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I-C-0035</t>
        </is>
      </c>
      <c r="B4269" s="12" t="inlineStr">
        <is>
          <t>I</t>
        </is>
      </c>
      <c r="C4269" s="12" t="inlineStr">
        <is>
          <t>Modular / portable power</t>
        </is>
      </c>
      <c r="D4269" s="12" t="inlineStr">
        <is>
          <t>Control</t>
        </is>
      </c>
      <c r="E4269" s="12" t="inlineStr">
        <is>
          <t>PAD-EH</t>
        </is>
      </c>
      <c r="F4269" s="12" t="inlineStr">
        <is>
          <t>PAD-EH 13.8 kV switchgear e-house</t>
        </is>
      </c>
      <c r="G4269" s="12" t="inlineStr">
        <is>
          <t>GSP-1</t>
        </is>
      </c>
      <c r="H4269" s="12" t="inlineStr">
        <is>
          <t>GSP-1: generator breaker / protection</t>
        </is>
      </c>
      <c r="I4269" s="12" t="inlineStr">
        <is>
          <t>Control</t>
        </is>
      </c>
      <c r="J4269" s="12" t="inlineStr">
        <is>
          <t>Control cable 600 V Type TC-ER, Cu #14 AWG, PVC jacket</t>
        </is>
      </c>
      <c r="K4269" s="12" t="inlineStr">
        <is>
          <t>CT|12/C|14</t>
        </is>
      </c>
      <c r="L4269" s="12" t="inlineStr">
        <is>
          <t>12/C</t>
        </is>
      </c>
      <c r="M4269" s="12" t="inlineStr">
        <is>
          <t>14</t>
        </is>
      </c>
      <c r="N4269" s="12" t="n">
        <v>1</v>
      </c>
      <c r="O4269" s="12" t="n">
        <v>1</v>
      </c>
      <c r="P4269" s="12" t="n"/>
      <c r="Q4269" s="12" t="n"/>
      <c r="R4269" s="12" t="n"/>
      <c r="S4269" s="12" t="inlineStr">
        <is>
          <t>Surface</t>
        </is>
      </c>
      <c r="T4269" s="16" t="n">
        <v>269</v>
      </c>
      <c r="U4269" s="16" t="n">
        <v>66</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I-C-0036</t>
        </is>
      </c>
      <c r="B4270" s="12" t="inlineStr">
        <is>
          <t>I</t>
        </is>
      </c>
      <c r="C4270" s="12" t="inlineStr">
        <is>
          <t>Modular / portable power</t>
        </is>
      </c>
      <c r="D4270" s="12" t="inlineStr">
        <is>
          <t>Control</t>
        </is>
      </c>
      <c r="E4270" s="12" t="inlineStr">
        <is>
          <t>PAD-EH</t>
        </is>
      </c>
      <c r="F4270" s="12" t="inlineStr">
        <is>
          <t>PAD-EH 13.8 kV switchgear e-house</t>
        </is>
      </c>
      <c r="G4270" s="12" t="inlineStr">
        <is>
          <t>GSP-1</t>
        </is>
      </c>
      <c r="H4270" s="12" t="inlineStr">
        <is>
          <t>GSP-1: generator breaker / protection</t>
        </is>
      </c>
      <c r="I4270" s="12" t="inlineStr">
        <is>
          <t>Control</t>
        </is>
      </c>
      <c r="J4270" s="12" t="inlineStr">
        <is>
          <t>Control cable 600 V Type TC-ER, Cu #14 AWG, PVC jacket</t>
        </is>
      </c>
      <c r="K4270" s="12" t="inlineStr">
        <is>
          <t>CT|12/C|14</t>
        </is>
      </c>
      <c r="L4270" s="12" t="inlineStr">
        <is>
          <t>12/C</t>
        </is>
      </c>
      <c r="M4270" s="12" t="inlineStr">
        <is>
          <t>14</t>
        </is>
      </c>
      <c r="N4270" s="12" t="n">
        <v>1</v>
      </c>
      <c r="O4270" s="12" t="n">
        <v>1</v>
      </c>
      <c r="P4270" s="12" t="n"/>
      <c r="Q4270" s="12" t="n"/>
      <c r="R4270" s="12" t="n"/>
      <c r="S4270" s="12" t="inlineStr">
        <is>
          <t>Surface</t>
        </is>
      </c>
      <c r="T4270" s="16" t="n">
        <v>269</v>
      </c>
      <c r="U4270" s="16" t="n">
        <v>66</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I-C-0037</t>
        </is>
      </c>
      <c r="B4271" s="12" t="inlineStr">
        <is>
          <t>I</t>
        </is>
      </c>
      <c r="C4271" s="12" t="inlineStr">
        <is>
          <t>Modular / portable power</t>
        </is>
      </c>
      <c r="D4271" s="12" t="inlineStr">
        <is>
          <t>CT / VT</t>
        </is>
      </c>
      <c r="E4271" s="12" t="inlineStr">
        <is>
          <t>PAD-EH</t>
        </is>
      </c>
      <c r="F4271" s="12" t="inlineStr">
        <is>
          <t>PAD-EH 13.8 kV switchgear e-house</t>
        </is>
      </c>
      <c r="G4271" s="12" t="inlineStr">
        <is>
          <t>GSP-1</t>
        </is>
      </c>
      <c r="H4271" s="12" t="inlineStr">
        <is>
          <t>GSP-1: generator breaker / protection</t>
        </is>
      </c>
      <c r="I4271" s="12" t="inlineStr">
        <is>
          <t>Control</t>
        </is>
      </c>
      <c r="J4271" s="12" t="inlineStr">
        <is>
          <t>Control cable 600 V Type TC-ER, Cu #10 AWG (CT / VT circuits)</t>
        </is>
      </c>
      <c r="K4271" s="12" t="inlineStr">
        <is>
          <t>CTCT|4/C|10</t>
        </is>
      </c>
      <c r="L4271" s="12" t="inlineStr">
        <is>
          <t>4/C</t>
        </is>
      </c>
      <c r="M4271" s="12" t="inlineStr">
        <is>
          <t>10</t>
        </is>
      </c>
      <c r="N4271" s="12" t="n">
        <v>1</v>
      </c>
      <c r="O4271" s="12" t="n">
        <v>1</v>
      </c>
      <c r="P4271" s="12" t="n"/>
      <c r="Q4271" s="12" t="n"/>
      <c r="R4271" s="12" t="n"/>
      <c r="S4271" s="12" t="inlineStr">
        <is>
          <t>Surface</t>
        </is>
      </c>
      <c r="T4271" s="16" t="n">
        <v>269</v>
      </c>
      <c r="U4271" s="16" t="n">
        <v>66</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I-C-0038</t>
        </is>
      </c>
      <c r="B4272" s="12" t="inlineStr">
        <is>
          <t>I</t>
        </is>
      </c>
      <c r="C4272" s="12" t="inlineStr">
        <is>
          <t>Modular / portable power</t>
        </is>
      </c>
      <c r="D4272" s="12" t="inlineStr">
        <is>
          <t>CT / VT</t>
        </is>
      </c>
      <c r="E4272" s="12" t="inlineStr">
        <is>
          <t>PAD-EH</t>
        </is>
      </c>
      <c r="F4272" s="12" t="inlineStr">
        <is>
          <t>PAD-EH 13.8 kV switchgear e-house</t>
        </is>
      </c>
      <c r="G4272" s="12" t="inlineStr">
        <is>
          <t>GSP-1</t>
        </is>
      </c>
      <c r="H4272" s="12" t="inlineStr">
        <is>
          <t>GSP-1: generator breaker / protection</t>
        </is>
      </c>
      <c r="I4272" s="12" t="inlineStr">
        <is>
          <t>Control</t>
        </is>
      </c>
      <c r="J4272" s="12" t="inlineStr">
        <is>
          <t>Control cable 600 V Type TC-ER, Cu #10 AWG (CT / VT circuits)</t>
        </is>
      </c>
      <c r="K4272" s="12" t="inlineStr">
        <is>
          <t>CTCT|4/C|10</t>
        </is>
      </c>
      <c r="L4272" s="12" t="inlineStr">
        <is>
          <t>4/C</t>
        </is>
      </c>
      <c r="M4272" s="12" t="inlineStr">
        <is>
          <t>10</t>
        </is>
      </c>
      <c r="N4272" s="12" t="n">
        <v>1</v>
      </c>
      <c r="O4272" s="12" t="n">
        <v>1</v>
      </c>
      <c r="P4272" s="12" t="n"/>
      <c r="Q4272" s="12" t="n"/>
      <c r="R4272" s="12" t="n"/>
      <c r="S4272" s="12" t="inlineStr">
        <is>
          <t>Surface</t>
        </is>
      </c>
      <c r="T4272" s="16" t="n">
        <v>269</v>
      </c>
      <c r="U4272" s="16" t="n">
        <v>66</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I-C-0039</t>
        </is>
      </c>
      <c r="B4273" s="12" t="inlineStr">
        <is>
          <t>I</t>
        </is>
      </c>
      <c r="C4273" s="12" t="inlineStr">
        <is>
          <t>Modular / portable power</t>
        </is>
      </c>
      <c r="D4273" s="12" t="inlineStr">
        <is>
          <t>CT / VT</t>
        </is>
      </c>
      <c r="E4273" s="12" t="inlineStr">
        <is>
          <t>PAD-EH</t>
        </is>
      </c>
      <c r="F4273" s="12" t="inlineStr">
        <is>
          <t>PAD-EH 13.8 kV switchgear e-house</t>
        </is>
      </c>
      <c r="G4273" s="12" t="inlineStr">
        <is>
          <t>GSP-1</t>
        </is>
      </c>
      <c r="H4273" s="12" t="inlineStr">
        <is>
          <t>GSP-1: generator breaker / protection</t>
        </is>
      </c>
      <c r="I4273" s="12" t="inlineStr">
        <is>
          <t>Control</t>
        </is>
      </c>
      <c r="J4273" s="12" t="inlineStr">
        <is>
          <t>Control cable 600 V Type TC-ER, Cu #10 AWG (CT / VT circuits)</t>
        </is>
      </c>
      <c r="K4273" s="12" t="inlineStr">
        <is>
          <t>CTCT|4/C|10</t>
        </is>
      </c>
      <c r="L4273" s="12" t="inlineStr">
        <is>
          <t>4/C</t>
        </is>
      </c>
      <c r="M4273" s="12" t="inlineStr">
        <is>
          <t>10</t>
        </is>
      </c>
      <c r="N4273" s="12" t="n">
        <v>1</v>
      </c>
      <c r="O4273" s="12" t="n">
        <v>1</v>
      </c>
      <c r="P4273" s="12" t="n"/>
      <c r="Q4273" s="12" t="n"/>
      <c r="R4273" s="12" t="n"/>
      <c r="S4273" s="12" t="inlineStr">
        <is>
          <t>Surface</t>
        </is>
      </c>
      <c r="T4273" s="16" t="n">
        <v>269</v>
      </c>
      <c r="U4273" s="16" t="n">
        <v>66</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I-C-0040</t>
        </is>
      </c>
      <c r="B4274" s="12" t="inlineStr">
        <is>
          <t>I</t>
        </is>
      </c>
      <c r="C4274" s="12" t="inlineStr">
        <is>
          <t>Modular / portable power</t>
        </is>
      </c>
      <c r="D4274" s="12" t="inlineStr">
        <is>
          <t>CT / VT</t>
        </is>
      </c>
      <c r="E4274" s="12" t="inlineStr">
        <is>
          <t>PAD-EH</t>
        </is>
      </c>
      <c r="F4274" s="12" t="inlineStr">
        <is>
          <t>PAD-EH 13.8 kV switchgear e-house</t>
        </is>
      </c>
      <c r="G4274" s="12" t="inlineStr">
        <is>
          <t>GSP-1</t>
        </is>
      </c>
      <c r="H4274" s="12" t="inlineStr">
        <is>
          <t>GSP-1: generator breaker / protection</t>
        </is>
      </c>
      <c r="I4274" s="12" t="inlineStr">
        <is>
          <t>Control</t>
        </is>
      </c>
      <c r="J4274" s="12" t="inlineStr">
        <is>
          <t>Control cable 600 V Type TC-ER, Cu #10 AWG (CT / VT circuits)</t>
        </is>
      </c>
      <c r="K4274" s="12" t="inlineStr">
        <is>
          <t>CTCT|4/C|10</t>
        </is>
      </c>
      <c r="L4274" s="12" t="inlineStr">
        <is>
          <t>4/C</t>
        </is>
      </c>
      <c r="M4274" s="12" t="inlineStr">
        <is>
          <t>10</t>
        </is>
      </c>
      <c r="N4274" s="12" t="n">
        <v>1</v>
      </c>
      <c r="O4274" s="12" t="n">
        <v>1</v>
      </c>
      <c r="P4274" s="12" t="n"/>
      <c r="Q4274" s="12" t="n"/>
      <c r="R4274" s="12" t="n"/>
      <c r="S4274" s="12" t="inlineStr">
        <is>
          <t>Surface</t>
        </is>
      </c>
      <c r="T4274" s="16" t="n">
        <v>269</v>
      </c>
      <c r="U4274" s="16" t="n">
        <v>66</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I-C-0041</t>
        </is>
      </c>
      <c r="B4275" s="12" t="inlineStr">
        <is>
          <t>I</t>
        </is>
      </c>
      <c r="C4275" s="12" t="inlineStr">
        <is>
          <t>Modular / portable power</t>
        </is>
      </c>
      <c r="D4275" s="12" t="inlineStr">
        <is>
          <t>Control</t>
        </is>
      </c>
      <c r="E4275" s="12" t="inlineStr">
        <is>
          <t>PAD-EH</t>
        </is>
      </c>
      <c r="F4275" s="12" t="inlineStr">
        <is>
          <t>PAD-EH 13.8 kV switchgear e-house</t>
        </is>
      </c>
      <c r="G4275" s="12" t="inlineStr">
        <is>
          <t>GSP-2</t>
        </is>
      </c>
      <c r="H4275" s="12" t="inlineStr">
        <is>
          <t>GSP-2: generator breaker / protection</t>
        </is>
      </c>
      <c r="I4275" s="12" t="inlineStr">
        <is>
          <t>Control</t>
        </is>
      </c>
      <c r="J4275" s="12" t="inlineStr">
        <is>
          <t>Control cable 600 V Type TC-ER, Cu #14 AWG, PVC jacket</t>
        </is>
      </c>
      <c r="K4275" s="12" t="inlineStr">
        <is>
          <t>CT|12/C|14</t>
        </is>
      </c>
      <c r="L4275" s="12" t="inlineStr">
        <is>
          <t>12/C</t>
        </is>
      </c>
      <c r="M4275" s="12" t="inlineStr">
        <is>
          <t>14</t>
        </is>
      </c>
      <c r="N4275" s="12" t="n">
        <v>1</v>
      </c>
      <c r="O4275" s="12" t="n">
        <v>1</v>
      </c>
      <c r="P4275" s="12" t="n"/>
      <c r="Q4275" s="12" t="n"/>
      <c r="R4275" s="12" t="n"/>
      <c r="S4275" s="12" t="inlineStr">
        <is>
          <t>Surface</t>
        </is>
      </c>
      <c r="T4275" s="16" t="n">
        <v>269</v>
      </c>
      <c r="U4275" s="16" t="n">
        <v>37</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I-C-0042</t>
        </is>
      </c>
      <c r="B4276" s="12" t="inlineStr">
        <is>
          <t>I</t>
        </is>
      </c>
      <c r="C4276" s="12" t="inlineStr">
        <is>
          <t>Modular / portable power</t>
        </is>
      </c>
      <c r="D4276" s="12" t="inlineStr">
        <is>
          <t>Control</t>
        </is>
      </c>
      <c r="E4276" s="12" t="inlineStr">
        <is>
          <t>PAD-EH</t>
        </is>
      </c>
      <c r="F4276" s="12" t="inlineStr">
        <is>
          <t>PAD-EH 13.8 kV switchgear e-house</t>
        </is>
      </c>
      <c r="G4276" s="12" t="inlineStr">
        <is>
          <t>GSP-2</t>
        </is>
      </c>
      <c r="H4276" s="12" t="inlineStr">
        <is>
          <t>GSP-2: generator breaker / protection</t>
        </is>
      </c>
      <c r="I4276" s="12" t="inlineStr">
        <is>
          <t>Control</t>
        </is>
      </c>
      <c r="J4276" s="12" t="inlineStr">
        <is>
          <t>Control cable 600 V Type TC-ER, Cu #14 AWG, PVC jacket</t>
        </is>
      </c>
      <c r="K4276" s="12" t="inlineStr">
        <is>
          <t>CT|12/C|14</t>
        </is>
      </c>
      <c r="L4276" s="12" t="inlineStr">
        <is>
          <t>12/C</t>
        </is>
      </c>
      <c r="M4276" s="12" t="inlineStr">
        <is>
          <t>14</t>
        </is>
      </c>
      <c r="N4276" s="12" t="n">
        <v>1</v>
      </c>
      <c r="O4276" s="12" t="n">
        <v>1</v>
      </c>
      <c r="P4276" s="12" t="n"/>
      <c r="Q4276" s="12" t="n"/>
      <c r="R4276" s="12" t="n"/>
      <c r="S4276" s="12" t="inlineStr">
        <is>
          <t>Surface</t>
        </is>
      </c>
      <c r="T4276" s="16" t="n">
        <v>269</v>
      </c>
      <c r="U4276" s="16" t="n">
        <v>37</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I-C-0043</t>
        </is>
      </c>
      <c r="B4277" s="12" t="inlineStr">
        <is>
          <t>I</t>
        </is>
      </c>
      <c r="C4277" s="12" t="inlineStr">
        <is>
          <t>Modular / portable power</t>
        </is>
      </c>
      <c r="D4277" s="12" t="inlineStr">
        <is>
          <t>Control</t>
        </is>
      </c>
      <c r="E4277" s="12" t="inlineStr">
        <is>
          <t>PAD-EH</t>
        </is>
      </c>
      <c r="F4277" s="12" t="inlineStr">
        <is>
          <t>PAD-EH 13.8 kV switchgear e-house</t>
        </is>
      </c>
      <c r="G4277" s="12" t="inlineStr">
        <is>
          <t>GSP-2</t>
        </is>
      </c>
      <c r="H4277" s="12" t="inlineStr">
        <is>
          <t>GSP-2: generator breaker / protection</t>
        </is>
      </c>
      <c r="I4277" s="12" t="inlineStr">
        <is>
          <t>Control</t>
        </is>
      </c>
      <c r="J4277" s="12" t="inlineStr">
        <is>
          <t>Control cable 600 V Type TC-ER, Cu #14 AWG, PVC jacket</t>
        </is>
      </c>
      <c r="K4277" s="12" t="inlineStr">
        <is>
          <t>CT|12/C|14</t>
        </is>
      </c>
      <c r="L4277" s="12" t="inlineStr">
        <is>
          <t>12/C</t>
        </is>
      </c>
      <c r="M4277" s="12" t="inlineStr">
        <is>
          <t>14</t>
        </is>
      </c>
      <c r="N4277" s="12" t="n">
        <v>1</v>
      </c>
      <c r="O4277" s="12" t="n">
        <v>1</v>
      </c>
      <c r="P4277" s="12" t="n"/>
      <c r="Q4277" s="12" t="n"/>
      <c r="R4277" s="12" t="n"/>
      <c r="S4277" s="12" t="inlineStr">
        <is>
          <t>Surface</t>
        </is>
      </c>
      <c r="T4277" s="16" t="n">
        <v>269</v>
      </c>
      <c r="U4277" s="16" t="n">
        <v>37</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I-C-0044</t>
        </is>
      </c>
      <c r="B4278" s="12" t="inlineStr">
        <is>
          <t>I</t>
        </is>
      </c>
      <c r="C4278" s="12" t="inlineStr">
        <is>
          <t>Modular / portable power</t>
        </is>
      </c>
      <c r="D4278" s="12" t="inlineStr">
        <is>
          <t>CT / VT</t>
        </is>
      </c>
      <c r="E4278" s="12" t="inlineStr">
        <is>
          <t>PAD-EH</t>
        </is>
      </c>
      <c r="F4278" s="12" t="inlineStr">
        <is>
          <t>PAD-EH 13.8 kV switchgear e-house</t>
        </is>
      </c>
      <c r="G4278" s="12" t="inlineStr">
        <is>
          <t>GSP-2</t>
        </is>
      </c>
      <c r="H4278" s="12" t="inlineStr">
        <is>
          <t>GSP-2: generator breaker / protection</t>
        </is>
      </c>
      <c r="I4278" s="12" t="inlineStr">
        <is>
          <t>Control</t>
        </is>
      </c>
      <c r="J4278" s="12" t="inlineStr">
        <is>
          <t>Control cable 600 V Type TC-ER, Cu #10 AWG (CT / VT circuits)</t>
        </is>
      </c>
      <c r="K4278" s="12" t="inlineStr">
        <is>
          <t>CTCT|4/C|10</t>
        </is>
      </c>
      <c r="L4278" s="12" t="inlineStr">
        <is>
          <t>4/C</t>
        </is>
      </c>
      <c r="M4278" s="12" t="inlineStr">
        <is>
          <t>10</t>
        </is>
      </c>
      <c r="N4278" s="12" t="n">
        <v>1</v>
      </c>
      <c r="O4278" s="12" t="n">
        <v>1</v>
      </c>
      <c r="P4278" s="12" t="n"/>
      <c r="Q4278" s="12" t="n"/>
      <c r="R4278" s="12" t="n"/>
      <c r="S4278" s="12" t="inlineStr">
        <is>
          <t>Surface</t>
        </is>
      </c>
      <c r="T4278" s="16" t="n">
        <v>269</v>
      </c>
      <c r="U4278" s="16" t="n">
        <v>37</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I-C-0045</t>
        </is>
      </c>
      <c r="B4279" s="12" t="inlineStr">
        <is>
          <t>I</t>
        </is>
      </c>
      <c r="C4279" s="12" t="inlineStr">
        <is>
          <t>Modular / portable power</t>
        </is>
      </c>
      <c r="D4279" s="12" t="inlineStr">
        <is>
          <t>CT / VT</t>
        </is>
      </c>
      <c r="E4279" s="12" t="inlineStr">
        <is>
          <t>PAD-EH</t>
        </is>
      </c>
      <c r="F4279" s="12" t="inlineStr">
        <is>
          <t>PAD-EH 13.8 kV switchgear e-house</t>
        </is>
      </c>
      <c r="G4279" s="12" t="inlineStr">
        <is>
          <t>GSP-2</t>
        </is>
      </c>
      <c r="H4279" s="12" t="inlineStr">
        <is>
          <t>GSP-2: generator breaker / protection</t>
        </is>
      </c>
      <c r="I4279" s="12" t="inlineStr">
        <is>
          <t>Control</t>
        </is>
      </c>
      <c r="J4279" s="12" t="inlineStr">
        <is>
          <t>Control cable 600 V Type TC-ER, Cu #10 AWG (CT / VT circuits)</t>
        </is>
      </c>
      <c r="K4279" s="12" t="inlineStr">
        <is>
          <t>CTCT|4/C|10</t>
        </is>
      </c>
      <c r="L4279" s="12" t="inlineStr">
        <is>
          <t>4/C</t>
        </is>
      </c>
      <c r="M4279" s="12" t="inlineStr">
        <is>
          <t>10</t>
        </is>
      </c>
      <c r="N4279" s="12" t="n">
        <v>1</v>
      </c>
      <c r="O4279" s="12" t="n">
        <v>1</v>
      </c>
      <c r="P4279" s="12" t="n"/>
      <c r="Q4279" s="12" t="n"/>
      <c r="R4279" s="12" t="n"/>
      <c r="S4279" s="12" t="inlineStr">
        <is>
          <t>Surface</t>
        </is>
      </c>
      <c r="T4279" s="16" t="n">
        <v>269</v>
      </c>
      <c r="U4279" s="16" t="n">
        <v>37</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I-C-0046</t>
        </is>
      </c>
      <c r="B4280" s="12" t="inlineStr">
        <is>
          <t>I</t>
        </is>
      </c>
      <c r="C4280" s="12" t="inlineStr">
        <is>
          <t>Modular / portable power</t>
        </is>
      </c>
      <c r="D4280" s="12" t="inlineStr">
        <is>
          <t>CT / VT</t>
        </is>
      </c>
      <c r="E4280" s="12" t="inlineStr">
        <is>
          <t>PAD-EH</t>
        </is>
      </c>
      <c r="F4280" s="12" t="inlineStr">
        <is>
          <t>PAD-EH 13.8 kV switchgear e-house</t>
        </is>
      </c>
      <c r="G4280" s="12" t="inlineStr">
        <is>
          <t>GSP-2</t>
        </is>
      </c>
      <c r="H4280" s="12" t="inlineStr">
        <is>
          <t>GSP-2: generator breaker / protection</t>
        </is>
      </c>
      <c r="I4280" s="12" t="inlineStr">
        <is>
          <t>Control</t>
        </is>
      </c>
      <c r="J4280" s="12" t="inlineStr">
        <is>
          <t>Control cable 600 V Type TC-ER, Cu #10 AWG (CT / VT circuits)</t>
        </is>
      </c>
      <c r="K4280" s="12" t="inlineStr">
        <is>
          <t>CTCT|4/C|10</t>
        </is>
      </c>
      <c r="L4280" s="12" t="inlineStr">
        <is>
          <t>4/C</t>
        </is>
      </c>
      <c r="M4280" s="12" t="inlineStr">
        <is>
          <t>10</t>
        </is>
      </c>
      <c r="N4280" s="12" t="n">
        <v>1</v>
      </c>
      <c r="O4280" s="12" t="n">
        <v>1</v>
      </c>
      <c r="P4280" s="12" t="n"/>
      <c r="Q4280" s="12" t="n"/>
      <c r="R4280" s="12" t="n"/>
      <c r="S4280" s="12" t="inlineStr">
        <is>
          <t>Surface</t>
        </is>
      </c>
      <c r="T4280" s="16" t="n">
        <v>269</v>
      </c>
      <c r="U4280" s="16" t="n">
        <v>37</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I-C-0047</t>
        </is>
      </c>
      <c r="B4281" s="12" t="inlineStr">
        <is>
          <t>I</t>
        </is>
      </c>
      <c r="C4281" s="12" t="inlineStr">
        <is>
          <t>Modular / portable power</t>
        </is>
      </c>
      <c r="D4281" s="12" t="inlineStr">
        <is>
          <t>CT / VT</t>
        </is>
      </c>
      <c r="E4281" s="12" t="inlineStr">
        <is>
          <t>PAD-EH</t>
        </is>
      </c>
      <c r="F4281" s="12" t="inlineStr">
        <is>
          <t>PAD-EH 13.8 kV switchgear e-house</t>
        </is>
      </c>
      <c r="G4281" s="12" t="inlineStr">
        <is>
          <t>GSP-2</t>
        </is>
      </c>
      <c r="H4281" s="12" t="inlineStr">
        <is>
          <t>GSP-2: generator breaker / protection</t>
        </is>
      </c>
      <c r="I4281" s="12" t="inlineStr">
        <is>
          <t>Control</t>
        </is>
      </c>
      <c r="J4281" s="12" t="inlineStr">
        <is>
          <t>Control cable 600 V Type TC-ER, Cu #10 AWG (CT / VT circuits)</t>
        </is>
      </c>
      <c r="K4281" s="12" t="inlineStr">
        <is>
          <t>CTCT|4/C|10</t>
        </is>
      </c>
      <c r="L4281" s="12" t="inlineStr">
        <is>
          <t>4/C</t>
        </is>
      </c>
      <c r="M4281" s="12" t="inlineStr">
        <is>
          <t>10</t>
        </is>
      </c>
      <c r="N4281" s="12" t="n">
        <v>1</v>
      </c>
      <c r="O4281" s="12" t="n">
        <v>1</v>
      </c>
      <c r="P4281" s="12" t="n"/>
      <c r="Q4281" s="12" t="n"/>
      <c r="R4281" s="12" t="n"/>
      <c r="S4281" s="12" t="inlineStr">
        <is>
          <t>Surface</t>
        </is>
      </c>
      <c r="T4281" s="16" t="n">
        <v>269</v>
      </c>
      <c r="U4281" s="16" t="n">
        <v>37</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I-C-0048</t>
        </is>
      </c>
      <c r="B4282" s="12" t="inlineStr">
        <is>
          <t>I</t>
        </is>
      </c>
      <c r="C4282" s="12" t="inlineStr">
        <is>
          <t>Modular / portable power</t>
        </is>
      </c>
      <c r="D4282" s="12" t="inlineStr">
        <is>
          <t>Control</t>
        </is>
      </c>
      <c r="E4282" s="12" t="inlineStr"/>
      <c r="F4282" s="12" t="inlineStr">
        <is>
          <t>PCM: power control module</t>
        </is>
      </c>
      <c r="G4282" s="12" t="inlineStr"/>
      <c r="H4282" s="12" t="inlineStr">
        <is>
          <t>Gas conditioning skid</t>
        </is>
      </c>
      <c r="I4282" s="12" t="inlineStr">
        <is>
          <t>Control</t>
        </is>
      </c>
      <c r="J4282" s="12" t="inlineStr">
        <is>
          <t>ARMOR-X MC-HL 600 V control, Cu #14 AWG (Class I Div 2)</t>
        </is>
      </c>
      <c r="K4282" s="12" t="inlineStr">
        <is>
          <t>CTAX|7/C|14</t>
        </is>
      </c>
      <c r="L4282" s="12" t="inlineStr">
        <is>
          <t>7/C</t>
        </is>
      </c>
      <c r="M4282" s="12" t="inlineStr">
        <is>
          <t>14</t>
        </is>
      </c>
      <c r="N4282" s="12" t="n">
        <v>1</v>
      </c>
      <c r="O4282" s="12" t="n">
        <v>1</v>
      </c>
      <c r="P4282" s="12" t="n"/>
      <c r="Q4282" s="12" t="n"/>
      <c r="R4282" s="12" t="n"/>
      <c r="S4282" s="12" t="inlineStr">
        <is>
          <t>Tray</t>
        </is>
      </c>
      <c r="T4282" s="16" t="n">
        <v>40</v>
      </c>
      <c r="U4282" s="16" t="n">
        <v>94</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I-C-0049</t>
        </is>
      </c>
      <c r="B4283" s="12" t="inlineStr">
        <is>
          <t>I</t>
        </is>
      </c>
      <c r="C4283" s="12" t="inlineStr">
        <is>
          <t>Modular / portable power</t>
        </is>
      </c>
      <c r="D4283" s="12" t="inlineStr">
        <is>
          <t>Control</t>
        </is>
      </c>
      <c r="E4283" s="12" t="inlineStr">
        <is>
          <t>PAD-EH</t>
        </is>
      </c>
      <c r="F4283" s="12" t="inlineStr">
        <is>
          <t>PAD-EH 13.8 kV switchgear e-house</t>
        </is>
      </c>
      <c r="G4283" s="12" t="inlineStr">
        <is>
          <t>LB</t>
        </is>
      </c>
      <c r="H4283" s="12" t="inlineStr">
        <is>
          <t>LB: commissioning load bank (trailer)</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Surface</t>
        </is>
      </c>
      <c r="T4283" s="16" t="n">
        <v>113</v>
      </c>
      <c r="U4283" s="16" t="n">
        <v>78</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I-C-0050</t>
        </is>
      </c>
      <c r="B4284" s="12" t="inlineStr">
        <is>
          <t>I</t>
        </is>
      </c>
      <c r="C4284" s="12" t="inlineStr">
        <is>
          <t>Modular / portable power</t>
        </is>
      </c>
      <c r="D4284" s="12" t="inlineStr">
        <is>
          <t>Control</t>
        </is>
      </c>
      <c r="E4284" s="12" t="inlineStr"/>
      <c r="F4284" s="12" t="inlineStr">
        <is>
          <t>PCM: power control module</t>
        </is>
      </c>
      <c r="G4284" s="12" t="inlineStr"/>
      <c r="H4284" s="12" t="inlineStr">
        <is>
          <t>Lube oil / starting air / oily water building</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6" t="n">
        <v>40</v>
      </c>
      <c r="U4284" s="16" t="n">
        <v>164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I-C-0051</t>
        </is>
      </c>
      <c r="B4285" s="12" t="inlineStr">
        <is>
          <t>I</t>
        </is>
      </c>
      <c r="C4285" s="12" t="inlineStr">
        <is>
          <t>Modular / portable power</t>
        </is>
      </c>
      <c r="D4285" s="12" t="inlineStr">
        <is>
          <t>Control</t>
        </is>
      </c>
      <c r="E4285" s="12" t="inlineStr"/>
      <c r="F4285" s="12" t="inlineStr">
        <is>
          <t>PCM: power control module</t>
        </is>
      </c>
      <c r="G4285" s="12" t="inlineStr">
        <is>
          <t>MOD-EH</t>
        </is>
      </c>
      <c r="H4285" s="12" t="inlineStr">
        <is>
          <t>MOD-EH: 13.8 kV modular collector e-house</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355</v>
      </c>
      <c r="U4285" s="16" t="n">
        <v>32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I-C-0052</t>
        </is>
      </c>
      <c r="B4286" s="12" t="inlineStr">
        <is>
          <t>I</t>
        </is>
      </c>
      <c r="C4286" s="12" t="inlineStr">
        <is>
          <t>Modular / portable power</t>
        </is>
      </c>
      <c r="D4286" s="12" t="inlineStr">
        <is>
          <t>Control</t>
        </is>
      </c>
      <c r="E4286" s="12" t="inlineStr"/>
      <c r="F4286" s="12" t="inlineStr">
        <is>
          <t>PCM: power control module</t>
        </is>
      </c>
      <c r="G4286" s="12" t="inlineStr"/>
      <c r="H4286" s="12" t="inlineStr">
        <is>
          <t>MOD-LV 480 V board + 480 V : 13.8 kV step-up</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757</v>
      </c>
      <c r="U4286" s="16" t="n">
        <v>32</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I-C-0053</t>
        </is>
      </c>
      <c r="B4287" s="12" t="inlineStr">
        <is>
          <t>I</t>
        </is>
      </c>
      <c r="C4287" s="12" t="inlineStr">
        <is>
          <t>Modular / portable power</t>
        </is>
      </c>
      <c r="D4287" s="12" t="inlineStr">
        <is>
          <t>Control</t>
        </is>
      </c>
      <c r="E4287" s="12" t="inlineStr"/>
      <c r="F4287" s="12" t="inlineStr">
        <is>
          <t>PCM: power control module</t>
        </is>
      </c>
      <c r="G4287" s="12" t="inlineStr"/>
      <c r="H4287" s="12" t="inlineStr">
        <is>
          <t>PCM: power control module</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32</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I-C-0054</t>
        </is>
      </c>
      <c r="B4288" s="12" t="inlineStr">
        <is>
          <t>I</t>
        </is>
      </c>
      <c r="C4288" s="12" t="inlineStr">
        <is>
          <t>Modular / portable power</t>
        </is>
      </c>
      <c r="D4288" s="12" t="inlineStr">
        <is>
          <t>Motor 1 of 1: control / local station</t>
        </is>
      </c>
      <c r="E4288" s="12" t="inlineStr"/>
      <c r="F4288" s="12" t="inlineStr">
        <is>
          <t>PCM: power control module</t>
        </is>
      </c>
      <c r="G4288" s="12" t="inlineStr"/>
      <c r="H4288" s="12" t="inlineStr">
        <is>
          <t>RICE 1 SCR + oxidation catalyst and stack</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470</v>
      </c>
      <c r="U4288" s="16" t="n">
        <v>160</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I-C-0055</t>
        </is>
      </c>
      <c r="B4289" s="12" t="inlineStr">
        <is>
          <t>I</t>
        </is>
      </c>
      <c r="C4289" s="12" t="inlineStr">
        <is>
          <t>Modular / portable power</t>
        </is>
      </c>
      <c r="D4289" s="12" t="inlineStr">
        <is>
          <t>Motor 1 of 5: control / local station</t>
        </is>
      </c>
      <c r="E4289" s="12" t="inlineStr"/>
      <c r="F4289" s="12" t="inlineStr">
        <is>
          <t>PCM: power control module</t>
        </is>
      </c>
      <c r="G4289" s="12" t="inlineStr"/>
      <c r="H4289" s="12" t="inlineStr">
        <is>
          <t>RICE 1 radiators (5)</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745</v>
      </c>
      <c r="U4289" s="16" t="n">
        <v>139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I-C-0056</t>
        </is>
      </c>
      <c r="B4290" s="12" t="inlineStr">
        <is>
          <t>I</t>
        </is>
      </c>
      <c r="C4290" s="12" t="inlineStr">
        <is>
          <t>Modular / portable power</t>
        </is>
      </c>
      <c r="D4290" s="12" t="inlineStr">
        <is>
          <t>Motor 2 of 5: control / local station</t>
        </is>
      </c>
      <c r="E4290" s="12" t="inlineStr"/>
      <c r="F4290" s="12" t="inlineStr">
        <is>
          <t>PCM: power control module</t>
        </is>
      </c>
      <c r="G4290" s="12" t="inlineStr"/>
      <c r="H4290" s="12" t="inlineStr">
        <is>
          <t>RICE 1 radiators (5)</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745</v>
      </c>
      <c r="U4290" s="16" t="n">
        <v>139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I-C-0057</t>
        </is>
      </c>
      <c r="B4291" s="12" t="inlineStr">
        <is>
          <t>I</t>
        </is>
      </c>
      <c r="C4291" s="12" t="inlineStr">
        <is>
          <t>Modular / portable power</t>
        </is>
      </c>
      <c r="D4291" s="12" t="inlineStr">
        <is>
          <t>Motor 3 of 5: control / local station</t>
        </is>
      </c>
      <c r="E4291" s="12" t="inlineStr"/>
      <c r="F4291" s="12" t="inlineStr">
        <is>
          <t>PCM: power control module</t>
        </is>
      </c>
      <c r="G4291" s="12" t="inlineStr"/>
      <c r="H4291" s="12" t="inlineStr">
        <is>
          <t>RICE 1 radiators (5)</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745</v>
      </c>
      <c r="U4291" s="16" t="n">
        <v>139</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I-C-0058</t>
        </is>
      </c>
      <c r="B4292" s="12" t="inlineStr">
        <is>
          <t>I</t>
        </is>
      </c>
      <c r="C4292" s="12" t="inlineStr">
        <is>
          <t>Modular / portable power</t>
        </is>
      </c>
      <c r="D4292" s="12" t="inlineStr">
        <is>
          <t>Motor 4 of 5: control / local station</t>
        </is>
      </c>
      <c r="E4292" s="12" t="inlineStr"/>
      <c r="F4292" s="12" t="inlineStr">
        <is>
          <t>PCM: power control module</t>
        </is>
      </c>
      <c r="G4292" s="12" t="inlineStr"/>
      <c r="H4292" s="12" t="inlineStr">
        <is>
          <t>RICE 1 radiators (5)</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745</v>
      </c>
      <c r="U4292" s="16" t="n">
        <v>139</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I-C-0059</t>
        </is>
      </c>
      <c r="B4293" s="12" t="inlineStr">
        <is>
          <t>I</t>
        </is>
      </c>
      <c r="C4293" s="12" t="inlineStr">
        <is>
          <t>Modular / portable power</t>
        </is>
      </c>
      <c r="D4293" s="12" t="inlineStr">
        <is>
          <t>Motor 5 of 5: control / local station</t>
        </is>
      </c>
      <c r="E4293" s="12" t="inlineStr"/>
      <c r="F4293" s="12" t="inlineStr">
        <is>
          <t>PCM: power control module</t>
        </is>
      </c>
      <c r="G4293" s="12" t="inlineStr"/>
      <c r="H4293" s="12" t="inlineStr">
        <is>
          <t>RICE 1 radiators (5)</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745</v>
      </c>
      <c r="U4293" s="16" t="n">
        <v>139</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I-C-0060</t>
        </is>
      </c>
      <c r="B4294" s="12" t="inlineStr">
        <is>
          <t>I</t>
        </is>
      </c>
      <c r="C4294" s="12" t="inlineStr">
        <is>
          <t>Modular / portable power</t>
        </is>
      </c>
      <c r="D4294" s="12" t="inlineStr">
        <is>
          <t>Motor 1 of 1: control / local station</t>
        </is>
      </c>
      <c r="E4294" s="12" t="inlineStr"/>
      <c r="F4294" s="12" t="inlineStr">
        <is>
          <t>PCM: power control module</t>
        </is>
      </c>
      <c r="G4294" s="12" t="inlineStr"/>
      <c r="H4294" s="12" t="inlineStr">
        <is>
          <t>RICE 2 SCR + oxidation catalyst and stack</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470</v>
      </c>
      <c r="U4294" s="16" t="n">
        <v>132</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I-C-0061</t>
        </is>
      </c>
      <c r="B4295" s="12" t="inlineStr">
        <is>
          <t>I</t>
        </is>
      </c>
      <c r="C4295" s="12" t="inlineStr">
        <is>
          <t>Modular / portable power</t>
        </is>
      </c>
      <c r="D4295" s="12" t="inlineStr">
        <is>
          <t>Motor 1 of 5: control / local station</t>
        </is>
      </c>
      <c r="E4295" s="12" t="inlineStr"/>
      <c r="F4295" s="12" t="inlineStr">
        <is>
          <t>PCM: power control module</t>
        </is>
      </c>
      <c r="G4295" s="12" t="inlineStr"/>
      <c r="H4295" s="12" t="inlineStr">
        <is>
          <t>RICE 2 radiators (5)</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550</v>
      </c>
      <c r="U4295" s="16" t="n">
        <v>192</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I-C-0062</t>
        </is>
      </c>
      <c r="B4296" s="12" t="inlineStr">
        <is>
          <t>I</t>
        </is>
      </c>
      <c r="C4296" s="12" t="inlineStr">
        <is>
          <t>Modular / portable power</t>
        </is>
      </c>
      <c r="D4296" s="12" t="inlineStr">
        <is>
          <t>Motor 2 of 5: control / local station</t>
        </is>
      </c>
      <c r="E4296" s="12" t="inlineStr"/>
      <c r="F4296" s="12" t="inlineStr">
        <is>
          <t>PCM: power control module</t>
        </is>
      </c>
      <c r="G4296" s="12" t="inlineStr"/>
      <c r="H4296" s="12" t="inlineStr">
        <is>
          <t>RICE 2 radiators (5)</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550</v>
      </c>
      <c r="U4296" s="16" t="n">
        <v>192</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I-C-0063</t>
        </is>
      </c>
      <c r="B4297" s="12" t="inlineStr">
        <is>
          <t>I</t>
        </is>
      </c>
      <c r="C4297" s="12" t="inlineStr">
        <is>
          <t>Modular / portable power</t>
        </is>
      </c>
      <c r="D4297" s="12" t="inlineStr">
        <is>
          <t>Motor 3 of 5: control / local station</t>
        </is>
      </c>
      <c r="E4297" s="12" t="inlineStr"/>
      <c r="F4297" s="12" t="inlineStr">
        <is>
          <t>PCM: power control module</t>
        </is>
      </c>
      <c r="G4297" s="12" t="inlineStr"/>
      <c r="H4297" s="12" t="inlineStr">
        <is>
          <t>RICE 2 radiators (5)</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550</v>
      </c>
      <c r="U4297" s="16" t="n">
        <v>192</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I-C-0064</t>
        </is>
      </c>
      <c r="B4298" s="12" t="inlineStr">
        <is>
          <t>I</t>
        </is>
      </c>
      <c r="C4298" s="12" t="inlineStr">
        <is>
          <t>Modular / portable power</t>
        </is>
      </c>
      <c r="D4298" s="12" t="inlineStr">
        <is>
          <t>Motor 4 of 5: control / local station</t>
        </is>
      </c>
      <c r="E4298" s="12" t="inlineStr"/>
      <c r="F4298" s="12" t="inlineStr">
        <is>
          <t>PCM: power control module</t>
        </is>
      </c>
      <c r="G4298" s="12" t="inlineStr"/>
      <c r="H4298" s="12" t="inlineStr">
        <is>
          <t>RICE 2 radiators (5)</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550</v>
      </c>
      <c r="U4298" s="16" t="n">
        <v>192</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I-C-0065</t>
        </is>
      </c>
      <c r="B4299" s="12" t="inlineStr">
        <is>
          <t>I</t>
        </is>
      </c>
      <c r="C4299" s="12" t="inlineStr">
        <is>
          <t>Modular / portable power</t>
        </is>
      </c>
      <c r="D4299" s="12" t="inlineStr">
        <is>
          <t>Motor 5 of 5: control / local station</t>
        </is>
      </c>
      <c r="E4299" s="12" t="inlineStr"/>
      <c r="F4299" s="12" t="inlineStr">
        <is>
          <t>PCM: power control module</t>
        </is>
      </c>
      <c r="G4299" s="12" t="inlineStr"/>
      <c r="H4299" s="12" t="inlineStr">
        <is>
          <t>RICE 2 radiators (5)</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550</v>
      </c>
      <c r="U4299" s="16" t="n">
        <v>192</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I-C-0066</t>
        </is>
      </c>
      <c r="B4300" s="12" t="inlineStr">
        <is>
          <t>I</t>
        </is>
      </c>
      <c r="C4300" s="12" t="inlineStr">
        <is>
          <t>Modular / portable power</t>
        </is>
      </c>
      <c r="D4300" s="12" t="inlineStr">
        <is>
          <t>Motor 1 of 1: control / local station</t>
        </is>
      </c>
      <c r="E4300" s="12" t="inlineStr"/>
      <c r="F4300" s="12" t="inlineStr">
        <is>
          <t>PCM: power control module</t>
        </is>
      </c>
      <c r="G4300" s="12" t="inlineStr"/>
      <c r="H4300" s="12" t="inlineStr">
        <is>
          <t>RICE 3 SCR + oxidation catalyst and stack</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470</v>
      </c>
      <c r="U4300" s="16" t="n">
        <v>104</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I-C-0067</t>
        </is>
      </c>
      <c r="B4301" s="12" t="inlineStr">
        <is>
          <t>I</t>
        </is>
      </c>
      <c r="C4301" s="12" t="inlineStr">
        <is>
          <t>Modular / portable power</t>
        </is>
      </c>
      <c r="D4301" s="12" t="inlineStr">
        <is>
          <t>Motor 1 of 5: control / local station</t>
        </is>
      </c>
      <c r="E4301" s="12" t="inlineStr"/>
      <c r="F4301" s="12" t="inlineStr">
        <is>
          <t>PCM: power control module</t>
        </is>
      </c>
      <c r="G4301" s="12" t="inlineStr"/>
      <c r="H4301" s="12" t="inlineStr">
        <is>
          <t>RICE 3 radiators (5)</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Tray</t>
        </is>
      </c>
      <c r="T4301" s="16" t="n">
        <v>40</v>
      </c>
      <c r="U4301" s="16" t="n">
        <v>240</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I-C-0068</t>
        </is>
      </c>
      <c r="B4302" s="12" t="inlineStr">
        <is>
          <t>I</t>
        </is>
      </c>
      <c r="C4302" s="12" t="inlineStr">
        <is>
          <t>Modular / portable power</t>
        </is>
      </c>
      <c r="D4302" s="12" t="inlineStr">
        <is>
          <t>Motor 2 of 5: control / local station</t>
        </is>
      </c>
      <c r="E4302" s="12" t="inlineStr"/>
      <c r="F4302" s="12" t="inlineStr">
        <is>
          <t>PCM: power control module</t>
        </is>
      </c>
      <c r="G4302" s="12" t="inlineStr"/>
      <c r="H4302" s="12" t="inlineStr">
        <is>
          <t>RICE 3 radiators (5)</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Tray</t>
        </is>
      </c>
      <c r="T4302" s="16" t="n">
        <v>40</v>
      </c>
      <c r="U4302" s="16" t="n">
        <v>240</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I-C-0069</t>
        </is>
      </c>
      <c r="B4303" s="12" t="inlineStr">
        <is>
          <t>I</t>
        </is>
      </c>
      <c r="C4303" s="12" t="inlineStr">
        <is>
          <t>Modular / portable power</t>
        </is>
      </c>
      <c r="D4303" s="12" t="inlineStr">
        <is>
          <t>Motor 3 of 5: control / local station</t>
        </is>
      </c>
      <c r="E4303" s="12" t="inlineStr"/>
      <c r="F4303" s="12" t="inlineStr">
        <is>
          <t>PCM: power control module</t>
        </is>
      </c>
      <c r="G4303" s="12" t="inlineStr"/>
      <c r="H4303" s="12" t="inlineStr">
        <is>
          <t>RICE 3 radiators (5)</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Tray</t>
        </is>
      </c>
      <c r="T4303" s="16" t="n">
        <v>40</v>
      </c>
      <c r="U4303" s="16" t="n">
        <v>240</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I-C-0070</t>
        </is>
      </c>
      <c r="B4304" s="12" t="inlineStr">
        <is>
          <t>I</t>
        </is>
      </c>
      <c r="C4304" s="12" t="inlineStr">
        <is>
          <t>Modular / portable power</t>
        </is>
      </c>
      <c r="D4304" s="12" t="inlineStr">
        <is>
          <t>Motor 4 of 5: control / local station</t>
        </is>
      </c>
      <c r="E4304" s="12" t="inlineStr"/>
      <c r="F4304" s="12" t="inlineStr">
        <is>
          <t>PCM: power control module</t>
        </is>
      </c>
      <c r="G4304" s="12" t="inlineStr"/>
      <c r="H4304" s="12" t="inlineStr">
        <is>
          <t>RICE 3 radiators (5)</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Tray</t>
        </is>
      </c>
      <c r="T4304" s="16" t="n">
        <v>40</v>
      </c>
      <c r="U4304" s="16" t="n">
        <v>240</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I-C-0071</t>
        </is>
      </c>
      <c r="B4305" s="12" t="inlineStr">
        <is>
          <t>I</t>
        </is>
      </c>
      <c r="C4305" s="12" t="inlineStr">
        <is>
          <t>Modular / portable power</t>
        </is>
      </c>
      <c r="D4305" s="12" t="inlineStr">
        <is>
          <t>Motor 5 of 5: control / local station</t>
        </is>
      </c>
      <c r="E4305" s="12" t="inlineStr"/>
      <c r="F4305" s="12" t="inlineStr">
        <is>
          <t>PCM: power control module</t>
        </is>
      </c>
      <c r="G4305" s="12" t="inlineStr"/>
      <c r="H4305" s="12" t="inlineStr">
        <is>
          <t>RICE 3 radiators (5)</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Tray</t>
        </is>
      </c>
      <c r="T4305" s="16" t="n">
        <v>40</v>
      </c>
      <c r="U4305" s="16" t="n">
        <v>240</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I-C-0072</t>
        </is>
      </c>
      <c r="B4306" s="12" t="inlineStr">
        <is>
          <t>I</t>
        </is>
      </c>
      <c r="C4306" s="12" t="inlineStr">
        <is>
          <t>Modular / portable power</t>
        </is>
      </c>
      <c r="D4306" s="12" t="inlineStr">
        <is>
          <t>Motor 1 of 1: control / local station</t>
        </is>
      </c>
      <c r="E4306" s="12" t="inlineStr"/>
      <c r="F4306" s="12" t="inlineStr">
        <is>
          <t>PCM: power control module</t>
        </is>
      </c>
      <c r="G4306" s="12" t="inlineStr"/>
      <c r="H4306" s="12" t="inlineStr">
        <is>
          <t>RICE 4 SCR + oxidation catalyst and stack</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470</v>
      </c>
      <c r="U4306" s="16" t="n">
        <v>76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I-C-0073</t>
        </is>
      </c>
      <c r="B4307" s="12" t="inlineStr">
        <is>
          <t>I</t>
        </is>
      </c>
      <c r="C4307" s="12" t="inlineStr">
        <is>
          <t>Modular / portable power</t>
        </is>
      </c>
      <c r="D4307" s="12" t="inlineStr">
        <is>
          <t>Motor 1 of 5: control / local station</t>
        </is>
      </c>
      <c r="E4307" s="12" t="inlineStr"/>
      <c r="F4307" s="12" t="inlineStr">
        <is>
          <t>PCM: power control module</t>
        </is>
      </c>
      <c r="G4307" s="12" t="inlineStr"/>
      <c r="H4307" s="12" t="inlineStr">
        <is>
          <t>RICE 4 radiators (5)</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Tray</t>
        </is>
      </c>
      <c r="T4307" s="16" t="n">
        <v>0</v>
      </c>
      <c r="U4307" s="16" t="n">
        <v>206</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I-C-0074</t>
        </is>
      </c>
      <c r="B4308" s="12" t="inlineStr">
        <is>
          <t>I</t>
        </is>
      </c>
      <c r="C4308" s="12" t="inlineStr">
        <is>
          <t>Modular / portable power</t>
        </is>
      </c>
      <c r="D4308" s="12" t="inlineStr">
        <is>
          <t>Motor 2 of 5: control / local station</t>
        </is>
      </c>
      <c r="E4308" s="12" t="inlineStr"/>
      <c r="F4308" s="12" t="inlineStr">
        <is>
          <t>PCM: power control module</t>
        </is>
      </c>
      <c r="G4308" s="12" t="inlineStr"/>
      <c r="H4308" s="12" t="inlineStr">
        <is>
          <t>RICE 4 radiators (5)</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Tray</t>
        </is>
      </c>
      <c r="T4308" s="16" t="n">
        <v>0</v>
      </c>
      <c r="U4308" s="16" t="n">
        <v>206</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I-C-0075</t>
        </is>
      </c>
      <c r="B4309" s="12" t="inlineStr">
        <is>
          <t>I</t>
        </is>
      </c>
      <c r="C4309" s="12" t="inlineStr">
        <is>
          <t>Modular / portable power</t>
        </is>
      </c>
      <c r="D4309" s="12" t="inlineStr">
        <is>
          <t>Motor 3 of 5: control / local station</t>
        </is>
      </c>
      <c r="E4309" s="12" t="inlineStr"/>
      <c r="F4309" s="12" t="inlineStr">
        <is>
          <t>PCM: power control module</t>
        </is>
      </c>
      <c r="G4309" s="12" t="inlineStr"/>
      <c r="H4309" s="12" t="inlineStr">
        <is>
          <t>RICE 4 radiators (5)</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Tray</t>
        </is>
      </c>
      <c r="T4309" s="16" t="n">
        <v>0</v>
      </c>
      <c r="U4309" s="16" t="n">
        <v>206</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I-C-0076</t>
        </is>
      </c>
      <c r="B4310" s="12" t="inlineStr">
        <is>
          <t>I</t>
        </is>
      </c>
      <c r="C4310" s="12" t="inlineStr">
        <is>
          <t>Modular / portable power</t>
        </is>
      </c>
      <c r="D4310" s="12" t="inlineStr">
        <is>
          <t>Motor 4 of 5: control / local station</t>
        </is>
      </c>
      <c r="E4310" s="12" t="inlineStr"/>
      <c r="F4310" s="12" t="inlineStr">
        <is>
          <t>PCM: power control module</t>
        </is>
      </c>
      <c r="G4310" s="12" t="inlineStr"/>
      <c r="H4310" s="12" t="inlineStr">
        <is>
          <t>RICE 4 radiators (5)</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Tray</t>
        </is>
      </c>
      <c r="T4310" s="16" t="n">
        <v>0</v>
      </c>
      <c r="U4310" s="16" t="n">
        <v>206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I-C-0077</t>
        </is>
      </c>
      <c r="B4311" s="12" t="inlineStr">
        <is>
          <t>I</t>
        </is>
      </c>
      <c r="C4311" s="12" t="inlineStr">
        <is>
          <t>Modular / portable power</t>
        </is>
      </c>
      <c r="D4311" s="12" t="inlineStr">
        <is>
          <t>Motor 5 of 5: control / local station</t>
        </is>
      </c>
      <c r="E4311" s="12" t="inlineStr"/>
      <c r="F4311" s="12" t="inlineStr">
        <is>
          <t>PCM: power control module</t>
        </is>
      </c>
      <c r="G4311" s="12" t="inlineStr"/>
      <c r="H4311" s="12" t="inlineStr">
        <is>
          <t>RICE 4 radiators (5)</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6" t="n">
        <v>0</v>
      </c>
      <c r="U4311" s="16" t="n">
        <v>206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I-C-0078</t>
        </is>
      </c>
      <c r="B4312" s="12" t="inlineStr">
        <is>
          <t>I</t>
        </is>
      </c>
      <c r="C4312" s="12" t="inlineStr">
        <is>
          <t>Modular / portable power</t>
        </is>
      </c>
      <c r="D4312" s="12" t="inlineStr">
        <is>
          <t>Motor 1 of 1: control / local station</t>
        </is>
      </c>
      <c r="E4312" s="12" t="inlineStr"/>
      <c r="F4312" s="12" t="inlineStr">
        <is>
          <t>PCM: power control module</t>
        </is>
      </c>
      <c r="G4312" s="12" t="inlineStr"/>
      <c r="H4312" s="12" t="inlineStr">
        <is>
          <t>RICE 5 SCR + oxidation catalyst and stack</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322</v>
      </c>
      <c r="U4312" s="16" t="n">
        <v>196</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I-C-0079</t>
        </is>
      </c>
      <c r="B4313" s="12" t="inlineStr">
        <is>
          <t>I</t>
        </is>
      </c>
      <c r="C4313" s="12" t="inlineStr">
        <is>
          <t>Modular / portable power</t>
        </is>
      </c>
      <c r="D4313" s="12" t="inlineStr">
        <is>
          <t>Motor 1 of 5: control / local station</t>
        </is>
      </c>
      <c r="E4313" s="12" t="inlineStr"/>
      <c r="F4313" s="12" t="inlineStr">
        <is>
          <t>PCM: power control module</t>
        </is>
      </c>
      <c r="G4313" s="12" t="inlineStr"/>
      <c r="H4313" s="12" t="inlineStr">
        <is>
          <t>RICE 5 radiators (5)</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Tray</t>
        </is>
      </c>
      <c r="T4313" s="16" t="n">
        <v>0</v>
      </c>
      <c r="U4313" s="16" t="n">
        <v>178</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I-C-0080</t>
        </is>
      </c>
      <c r="B4314" s="12" t="inlineStr">
        <is>
          <t>I</t>
        </is>
      </c>
      <c r="C4314" s="12" t="inlineStr">
        <is>
          <t>Modular / portable power</t>
        </is>
      </c>
      <c r="D4314" s="12" t="inlineStr">
        <is>
          <t>Motor 2 of 5: control / local station</t>
        </is>
      </c>
      <c r="E4314" s="12" t="inlineStr"/>
      <c r="F4314" s="12" t="inlineStr">
        <is>
          <t>PCM: power control module</t>
        </is>
      </c>
      <c r="G4314" s="12" t="inlineStr"/>
      <c r="H4314" s="12" t="inlineStr">
        <is>
          <t>RICE 5 radiators (5)</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Tray</t>
        </is>
      </c>
      <c r="T4314" s="16" t="n">
        <v>0</v>
      </c>
      <c r="U4314" s="16" t="n">
        <v>178</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I-C-0081</t>
        </is>
      </c>
      <c r="B4315" s="12" t="inlineStr">
        <is>
          <t>I</t>
        </is>
      </c>
      <c r="C4315" s="12" t="inlineStr">
        <is>
          <t>Modular / portable power</t>
        </is>
      </c>
      <c r="D4315" s="12" t="inlineStr">
        <is>
          <t>Motor 3 of 5: control / local station</t>
        </is>
      </c>
      <c r="E4315" s="12" t="inlineStr"/>
      <c r="F4315" s="12" t="inlineStr">
        <is>
          <t>PCM: power control module</t>
        </is>
      </c>
      <c r="G4315" s="12" t="inlineStr"/>
      <c r="H4315" s="12" t="inlineStr">
        <is>
          <t>RICE 5 radiators (5)</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Tray</t>
        </is>
      </c>
      <c r="T4315" s="16" t="n">
        <v>0</v>
      </c>
      <c r="U4315" s="16" t="n">
        <v>178</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I-C-0082</t>
        </is>
      </c>
      <c r="B4316" s="12" t="inlineStr">
        <is>
          <t>I</t>
        </is>
      </c>
      <c r="C4316" s="12" t="inlineStr">
        <is>
          <t>Modular / portable power</t>
        </is>
      </c>
      <c r="D4316" s="12" t="inlineStr">
        <is>
          <t>Motor 4 of 5: control / local station</t>
        </is>
      </c>
      <c r="E4316" s="12" t="inlineStr"/>
      <c r="F4316" s="12" t="inlineStr">
        <is>
          <t>PCM: power control module</t>
        </is>
      </c>
      <c r="G4316" s="12" t="inlineStr"/>
      <c r="H4316" s="12" t="inlineStr">
        <is>
          <t>RICE 5 radiators (5)</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Tray</t>
        </is>
      </c>
      <c r="T4316" s="16" t="n">
        <v>0</v>
      </c>
      <c r="U4316" s="16" t="n">
        <v>178</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I-C-0083</t>
        </is>
      </c>
      <c r="B4317" s="12" t="inlineStr">
        <is>
          <t>I</t>
        </is>
      </c>
      <c r="C4317" s="12" t="inlineStr">
        <is>
          <t>Modular / portable power</t>
        </is>
      </c>
      <c r="D4317" s="12" t="inlineStr">
        <is>
          <t>Motor 5 of 5: control / local station</t>
        </is>
      </c>
      <c r="E4317" s="12" t="inlineStr"/>
      <c r="F4317" s="12" t="inlineStr">
        <is>
          <t>PCM: power control module</t>
        </is>
      </c>
      <c r="G4317" s="12" t="inlineStr"/>
      <c r="H4317" s="12" t="inlineStr">
        <is>
          <t>RICE 5 radiators (5)</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Tray</t>
        </is>
      </c>
      <c r="T4317" s="16" t="n">
        <v>0</v>
      </c>
      <c r="U4317" s="16" t="n">
        <v>178</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I-C-0084</t>
        </is>
      </c>
      <c r="B4318" s="12" t="inlineStr">
        <is>
          <t>I</t>
        </is>
      </c>
      <c r="C4318" s="12" t="inlineStr">
        <is>
          <t>Modular / portable power</t>
        </is>
      </c>
      <c r="D4318" s="12" t="inlineStr">
        <is>
          <t>Motor 1 of 1: control / local station</t>
        </is>
      </c>
      <c r="E4318" s="12" t="inlineStr"/>
      <c r="F4318" s="12" t="inlineStr">
        <is>
          <t>PCM: power control module</t>
        </is>
      </c>
      <c r="G4318" s="12" t="inlineStr"/>
      <c r="H4318" s="12" t="inlineStr">
        <is>
          <t>RICE 6 SCR + oxidation catalyst and stack</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322</v>
      </c>
      <c r="U4318" s="16" t="n">
        <v>168</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I-C-0085</t>
        </is>
      </c>
      <c r="B4319" s="12" t="inlineStr">
        <is>
          <t>I</t>
        </is>
      </c>
      <c r="C4319" s="12" t="inlineStr">
        <is>
          <t>Modular / portable power</t>
        </is>
      </c>
      <c r="D4319" s="12" t="inlineStr">
        <is>
          <t>Motor 1 of 5: control / local station</t>
        </is>
      </c>
      <c r="E4319" s="12" t="inlineStr"/>
      <c r="F4319" s="12" t="inlineStr">
        <is>
          <t>PCM: power control module</t>
        </is>
      </c>
      <c r="G4319" s="12" t="inlineStr"/>
      <c r="H4319" s="12" t="inlineStr">
        <is>
          <t>RICE 6 radiators (5)</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Tray</t>
        </is>
      </c>
      <c r="T4319" s="16" t="n">
        <v>0</v>
      </c>
      <c r="U4319" s="16" t="n">
        <v>150</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I-C-0086</t>
        </is>
      </c>
      <c r="B4320" s="12" t="inlineStr">
        <is>
          <t>I</t>
        </is>
      </c>
      <c r="C4320" s="12" t="inlineStr">
        <is>
          <t>Modular / portable power</t>
        </is>
      </c>
      <c r="D4320" s="12" t="inlineStr">
        <is>
          <t>Motor 2 of 5: control / local station</t>
        </is>
      </c>
      <c r="E4320" s="12" t="inlineStr"/>
      <c r="F4320" s="12" t="inlineStr">
        <is>
          <t>PCM: power control module</t>
        </is>
      </c>
      <c r="G4320" s="12" t="inlineStr"/>
      <c r="H4320" s="12" t="inlineStr">
        <is>
          <t>RICE 6 radiators (5)</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Tray</t>
        </is>
      </c>
      <c r="T4320" s="16" t="n">
        <v>0</v>
      </c>
      <c r="U4320" s="16" t="n">
        <v>150</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I-C-0087</t>
        </is>
      </c>
      <c r="B4321" s="12" t="inlineStr">
        <is>
          <t>I</t>
        </is>
      </c>
      <c r="C4321" s="12" t="inlineStr">
        <is>
          <t>Modular / portable power</t>
        </is>
      </c>
      <c r="D4321" s="12" t="inlineStr">
        <is>
          <t>Motor 3 of 5: control / local station</t>
        </is>
      </c>
      <c r="E4321" s="12" t="inlineStr"/>
      <c r="F4321" s="12" t="inlineStr">
        <is>
          <t>PCM: power control module</t>
        </is>
      </c>
      <c r="G4321" s="12" t="inlineStr"/>
      <c r="H4321" s="12" t="inlineStr">
        <is>
          <t>RICE 6 radiators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Tray</t>
        </is>
      </c>
      <c r="T4321" s="16" t="n">
        <v>0</v>
      </c>
      <c r="U4321" s="16" t="n">
        <v>150</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I-C-0088</t>
        </is>
      </c>
      <c r="B4322" s="12" t="inlineStr">
        <is>
          <t>I</t>
        </is>
      </c>
      <c r="C4322" s="12" t="inlineStr">
        <is>
          <t>Modular / portable power</t>
        </is>
      </c>
      <c r="D4322" s="12" t="inlineStr">
        <is>
          <t>Motor 4 of 5: control / local station</t>
        </is>
      </c>
      <c r="E4322" s="12" t="inlineStr"/>
      <c r="F4322" s="12" t="inlineStr">
        <is>
          <t>PCM: power control module</t>
        </is>
      </c>
      <c r="G4322" s="12" t="inlineStr"/>
      <c r="H4322" s="12" t="inlineStr">
        <is>
          <t>RICE 6 radiators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Tray</t>
        </is>
      </c>
      <c r="T4322" s="16" t="n">
        <v>0</v>
      </c>
      <c r="U4322" s="16" t="n">
        <v>150</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I-C-0089</t>
        </is>
      </c>
      <c r="B4323" s="12" t="inlineStr">
        <is>
          <t>I</t>
        </is>
      </c>
      <c r="C4323" s="12" t="inlineStr">
        <is>
          <t>Modular / portable power</t>
        </is>
      </c>
      <c r="D4323" s="12" t="inlineStr">
        <is>
          <t>Motor 5 of 5: control / local station</t>
        </is>
      </c>
      <c r="E4323" s="12" t="inlineStr"/>
      <c r="F4323" s="12" t="inlineStr">
        <is>
          <t>PCM: power control module</t>
        </is>
      </c>
      <c r="G4323" s="12" t="inlineStr"/>
      <c r="H4323" s="12" t="inlineStr">
        <is>
          <t>RICE 6 radiators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Tray</t>
        </is>
      </c>
      <c r="T4323" s="16" t="n">
        <v>0</v>
      </c>
      <c r="U4323" s="16" t="n">
        <v>150</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I-C-0090</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7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322</v>
      </c>
      <c r="U4324" s="16" t="n">
        <v>140</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I-C-0091</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7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Tray</t>
        </is>
      </c>
      <c r="T4325" s="16" t="n">
        <v>0</v>
      </c>
      <c r="U4325" s="16" t="n">
        <v>122</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I-C-0092</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7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Tray</t>
        </is>
      </c>
      <c r="T4326" s="16" t="n">
        <v>0</v>
      </c>
      <c r="U4326" s="16" t="n">
        <v>122</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I-C-0093</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7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Tray</t>
        </is>
      </c>
      <c r="T4327" s="16" t="n">
        <v>0</v>
      </c>
      <c r="U4327" s="16" t="n">
        <v>122</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I-C-0094</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7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Tray</t>
        </is>
      </c>
      <c r="T4328" s="16" t="n">
        <v>0</v>
      </c>
      <c r="U4328" s="16" t="n">
        <v>122</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I-C-0095</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7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Tray</t>
        </is>
      </c>
      <c r="T4329" s="16" t="n">
        <v>0</v>
      </c>
      <c r="U4329" s="16" t="n">
        <v>122</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I-C-0096</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8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322</v>
      </c>
      <c r="U4330" s="16" t="n">
        <v>112</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I-C-0097</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8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Tray</t>
        </is>
      </c>
      <c r="T4331" s="16" t="n">
        <v>0</v>
      </c>
      <c r="U4331" s="16" t="n">
        <v>94</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I-C-0098</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8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Tray</t>
        </is>
      </c>
      <c r="T4332" s="16" t="n">
        <v>0</v>
      </c>
      <c r="U4332" s="16" t="n">
        <v>94</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I-C-0099</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8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0</v>
      </c>
      <c r="U4333" s="16" t="n">
        <v>94</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I-C-0100</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8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6" t="n">
        <v>0</v>
      </c>
      <c r="U4334" s="16" t="n">
        <v>94</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I-C-0101</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8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6" t="n">
        <v>0</v>
      </c>
      <c r="U4335" s="16" t="n">
        <v>94</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I-C-0102</t>
        </is>
      </c>
      <c r="B4336" s="12" t="inlineStr">
        <is>
          <t>I</t>
        </is>
      </c>
      <c r="C4336" s="12" t="inlineStr">
        <is>
          <t>Modular / portable power</t>
        </is>
      </c>
      <c r="D4336" s="12" t="inlineStr">
        <is>
          <t>Control</t>
        </is>
      </c>
      <c r="E4336" s="12" t="inlineStr"/>
      <c r="F4336" s="12" t="inlineStr">
        <is>
          <t>PCM: power control module</t>
        </is>
      </c>
      <c r="G4336" s="12" t="inlineStr"/>
      <c r="H4336" s="12" t="inlineStr">
        <is>
          <t>RICE CEMS</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6" t="n">
        <v>260</v>
      </c>
      <c r="U4336" s="16" t="n">
        <v>131</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I-C-0103</t>
        </is>
      </c>
      <c r="B4337" s="12" t="inlineStr">
        <is>
          <t>I</t>
        </is>
      </c>
      <c r="C4337" s="12" t="inlineStr">
        <is>
          <t>Modular / portable power</t>
        </is>
      </c>
      <c r="D4337" s="12" t="inlineStr">
        <is>
          <t>Control</t>
        </is>
      </c>
      <c r="E4337" s="12" t="inlineStr"/>
      <c r="F4337" s="12" t="inlineStr">
        <is>
          <t>PCM: power control module</t>
        </is>
      </c>
      <c r="G4337" s="12" t="inlineStr">
        <is>
          <t>RICE</t>
        </is>
      </c>
      <c r="H4337" s="12" t="inlineStr">
        <is>
          <t>RICE engine hall (8 engines)</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6" t="n">
        <v>367</v>
      </c>
      <c r="U4337" s="16" t="n">
        <v>95</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I-C-0104</t>
        </is>
      </c>
      <c r="B4338" s="12" t="inlineStr">
        <is>
          <t>I</t>
        </is>
      </c>
      <c r="C4338" s="12" t="inlineStr">
        <is>
          <t>Modular / portable power</t>
        </is>
      </c>
      <c r="D4338" s="12" t="inlineStr">
        <is>
          <t>Control</t>
        </is>
      </c>
      <c r="E4338" s="12" t="inlineStr"/>
      <c r="F4338" s="12" t="inlineStr">
        <is>
          <t>PCM: power control module</t>
        </is>
      </c>
      <c r="G4338" s="12" t="inlineStr">
        <is>
          <t>RICE</t>
        </is>
      </c>
      <c r="H4338" s="12" t="inlineStr">
        <is>
          <t>RICE engine hall (8 engines)</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6" t="n">
        <v>367</v>
      </c>
      <c r="U4338" s="16" t="n">
        <v>95</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I-C-0105</t>
        </is>
      </c>
      <c r="B4339" s="12" t="inlineStr">
        <is>
          <t>I</t>
        </is>
      </c>
      <c r="C4339" s="12" t="inlineStr">
        <is>
          <t>Modular / portable power</t>
        </is>
      </c>
      <c r="D4339" s="12" t="inlineStr">
        <is>
          <t>Control</t>
        </is>
      </c>
      <c r="E4339" s="12" t="inlineStr"/>
      <c r="F4339" s="12" t="inlineStr">
        <is>
          <t>PCM: power control module</t>
        </is>
      </c>
      <c r="G4339" s="12" t="inlineStr">
        <is>
          <t>RICE</t>
        </is>
      </c>
      <c r="H4339" s="12" t="inlineStr">
        <is>
          <t>RICE engine hall (8 engines)</t>
        </is>
      </c>
      <c r="I4339" s="12" t="inlineStr">
        <is>
          <t>Control</t>
        </is>
      </c>
      <c r="J4339" s="12" t="inlineStr">
        <is>
          <t>Control cable 600 V Type TC-ER, Cu #14 AWG, PVC jacket</t>
        </is>
      </c>
      <c r="K4339" s="12" t="inlineStr">
        <is>
          <t>CT|12/C|14</t>
        </is>
      </c>
      <c r="L4339" s="12" t="inlineStr">
        <is>
          <t>12/C</t>
        </is>
      </c>
      <c r="M4339" s="12" t="inlineStr">
        <is>
          <t>14</t>
        </is>
      </c>
      <c r="N4339" s="12" t="n">
        <v>1</v>
      </c>
      <c r="O4339" s="12" t="n">
        <v>1</v>
      </c>
      <c r="P4339" s="12" t="n"/>
      <c r="Q4339" s="12" t="n"/>
      <c r="R4339" s="12" t="n"/>
      <c r="S4339" s="12" t="inlineStr">
        <is>
          <t>Duct bank</t>
        </is>
      </c>
      <c r="T4339" s="16" t="n">
        <v>367</v>
      </c>
      <c r="U4339" s="16" t="n">
        <v>95</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I-C-0106</t>
        </is>
      </c>
      <c r="B4340" s="12" t="inlineStr">
        <is>
          <t>I</t>
        </is>
      </c>
      <c r="C4340" s="12" t="inlineStr">
        <is>
          <t>Modular / portable power</t>
        </is>
      </c>
      <c r="D4340" s="12" t="inlineStr">
        <is>
          <t>Control</t>
        </is>
      </c>
      <c r="E4340" s="12" t="inlineStr"/>
      <c r="F4340" s="12" t="inlineStr">
        <is>
          <t>PCM: power control module</t>
        </is>
      </c>
      <c r="G4340" s="12" t="inlineStr">
        <is>
          <t>RICE</t>
        </is>
      </c>
      <c r="H4340" s="12" t="inlineStr">
        <is>
          <t>RICE engine hall (8 engines)</t>
        </is>
      </c>
      <c r="I4340" s="12" t="inlineStr">
        <is>
          <t>Control</t>
        </is>
      </c>
      <c r="J4340" s="12" t="inlineStr">
        <is>
          <t>Control cable 600 V Type TC-ER, Cu #14 AWG, PVC jacket</t>
        </is>
      </c>
      <c r="K4340" s="12" t="inlineStr">
        <is>
          <t>CT|12/C|14</t>
        </is>
      </c>
      <c r="L4340" s="12" t="inlineStr">
        <is>
          <t>12/C</t>
        </is>
      </c>
      <c r="M4340" s="12" t="inlineStr">
        <is>
          <t>14</t>
        </is>
      </c>
      <c r="N4340" s="12" t="n">
        <v>1</v>
      </c>
      <c r="O4340" s="12" t="n">
        <v>1</v>
      </c>
      <c r="P4340" s="12" t="n"/>
      <c r="Q4340" s="12" t="n"/>
      <c r="R4340" s="12" t="n"/>
      <c r="S4340" s="12" t="inlineStr">
        <is>
          <t>Duct bank</t>
        </is>
      </c>
      <c r="T4340" s="16" t="n">
        <v>367</v>
      </c>
      <c r="U4340" s="16" t="n">
        <v>95</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I-C-0107</t>
        </is>
      </c>
      <c r="B4341" s="12" t="inlineStr">
        <is>
          <t>I</t>
        </is>
      </c>
      <c r="C4341" s="12" t="inlineStr">
        <is>
          <t>Modular / portable power</t>
        </is>
      </c>
      <c r="D4341" s="12" t="inlineStr">
        <is>
          <t>Control</t>
        </is>
      </c>
      <c r="E4341" s="12" t="inlineStr"/>
      <c r="F4341" s="12" t="inlineStr">
        <is>
          <t>PCM: power control module</t>
        </is>
      </c>
      <c r="G4341" s="12" t="inlineStr">
        <is>
          <t>RICE</t>
        </is>
      </c>
      <c r="H4341" s="12" t="inlineStr">
        <is>
          <t>RICE engine hall (8 engines)</t>
        </is>
      </c>
      <c r="I4341" s="12" t="inlineStr">
        <is>
          <t>Control</t>
        </is>
      </c>
      <c r="J4341" s="12" t="inlineStr">
        <is>
          <t>Control cable 600 V Type TC-ER, Cu #14 AWG, PVC jacket</t>
        </is>
      </c>
      <c r="K4341" s="12" t="inlineStr">
        <is>
          <t>CT|12/C|14</t>
        </is>
      </c>
      <c r="L4341" s="12" t="inlineStr">
        <is>
          <t>12/C</t>
        </is>
      </c>
      <c r="M4341" s="12" t="inlineStr">
        <is>
          <t>14</t>
        </is>
      </c>
      <c r="N4341" s="12" t="n">
        <v>1</v>
      </c>
      <c r="O4341" s="12" t="n">
        <v>1</v>
      </c>
      <c r="P4341" s="12" t="n"/>
      <c r="Q4341" s="12" t="n"/>
      <c r="R4341" s="12" t="n"/>
      <c r="S4341" s="12" t="inlineStr">
        <is>
          <t>Duct bank</t>
        </is>
      </c>
      <c r="T4341" s="16" t="n">
        <v>367</v>
      </c>
      <c r="U4341" s="16" t="n">
        <v>95</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I-C-0108</t>
        </is>
      </c>
      <c r="B4342" s="12" t="inlineStr">
        <is>
          <t>I</t>
        </is>
      </c>
      <c r="C4342" s="12" t="inlineStr">
        <is>
          <t>Modular / portable power</t>
        </is>
      </c>
      <c r="D4342" s="12" t="inlineStr">
        <is>
          <t>Control</t>
        </is>
      </c>
      <c r="E4342" s="12" t="inlineStr"/>
      <c r="F4342" s="12" t="inlineStr">
        <is>
          <t>PCM: power control module</t>
        </is>
      </c>
      <c r="G4342" s="12" t="inlineStr">
        <is>
          <t>RICE</t>
        </is>
      </c>
      <c r="H4342" s="12" t="inlineStr">
        <is>
          <t>RICE engine hall (8 engines)</t>
        </is>
      </c>
      <c r="I4342" s="12" t="inlineStr">
        <is>
          <t>Control</t>
        </is>
      </c>
      <c r="J4342" s="12" t="inlineStr">
        <is>
          <t>Control cable 600 V Type TC-ER, Cu #14 AWG, PVC jacket</t>
        </is>
      </c>
      <c r="K4342" s="12" t="inlineStr">
        <is>
          <t>CT|12/C|14</t>
        </is>
      </c>
      <c r="L4342" s="12" t="inlineStr">
        <is>
          <t>12/C</t>
        </is>
      </c>
      <c r="M4342" s="12" t="inlineStr">
        <is>
          <t>14</t>
        </is>
      </c>
      <c r="N4342" s="12" t="n">
        <v>1</v>
      </c>
      <c r="O4342" s="12" t="n">
        <v>1</v>
      </c>
      <c r="P4342" s="12" t="n"/>
      <c r="Q4342" s="12" t="n"/>
      <c r="R4342" s="12" t="n"/>
      <c r="S4342" s="12" t="inlineStr">
        <is>
          <t>Duct bank</t>
        </is>
      </c>
      <c r="T4342" s="16" t="n">
        <v>367</v>
      </c>
      <c r="U4342" s="16" t="n">
        <v>95</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I-C-0109</t>
        </is>
      </c>
      <c r="B4343" s="12" t="inlineStr">
        <is>
          <t>I</t>
        </is>
      </c>
      <c r="C4343" s="12" t="inlineStr">
        <is>
          <t>Modular / portable power</t>
        </is>
      </c>
      <c r="D4343" s="12" t="inlineStr">
        <is>
          <t>Control</t>
        </is>
      </c>
      <c r="E4343" s="12" t="inlineStr"/>
      <c r="F4343" s="12" t="inlineStr">
        <is>
          <t>PCM: power control module</t>
        </is>
      </c>
      <c r="G4343" s="12" t="inlineStr">
        <is>
          <t>RICE</t>
        </is>
      </c>
      <c r="H4343" s="12" t="inlineStr">
        <is>
          <t>RICE engine hall (8 engines)</t>
        </is>
      </c>
      <c r="I4343" s="12" t="inlineStr">
        <is>
          <t>Control</t>
        </is>
      </c>
      <c r="J4343" s="12" t="inlineStr">
        <is>
          <t>Control cable 600 V Type TC-ER, Cu #14 AWG, PVC jacket</t>
        </is>
      </c>
      <c r="K4343" s="12" t="inlineStr">
        <is>
          <t>CT|12/C|14</t>
        </is>
      </c>
      <c r="L4343" s="12" t="inlineStr">
        <is>
          <t>12/C</t>
        </is>
      </c>
      <c r="M4343" s="12" t="inlineStr">
        <is>
          <t>14</t>
        </is>
      </c>
      <c r="N4343" s="12" t="n">
        <v>1</v>
      </c>
      <c r="O4343" s="12" t="n">
        <v>1</v>
      </c>
      <c r="P4343" s="12" t="n"/>
      <c r="Q4343" s="12" t="n"/>
      <c r="R4343" s="12" t="n"/>
      <c r="S4343" s="12" t="inlineStr">
        <is>
          <t>Duct bank</t>
        </is>
      </c>
      <c r="T4343" s="16" t="n">
        <v>367</v>
      </c>
      <c r="U4343" s="16" t="n">
        <v>95</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I-C-0110</t>
        </is>
      </c>
      <c r="B4344" s="12" t="inlineStr">
        <is>
          <t>I</t>
        </is>
      </c>
      <c r="C4344" s="12" t="inlineStr">
        <is>
          <t>Modular / portable power</t>
        </is>
      </c>
      <c r="D4344" s="12" t="inlineStr">
        <is>
          <t>Control</t>
        </is>
      </c>
      <c r="E4344" s="12" t="inlineStr"/>
      <c r="F4344" s="12" t="inlineStr">
        <is>
          <t>PCM: power control module</t>
        </is>
      </c>
      <c r="G4344" s="12" t="inlineStr">
        <is>
          <t>RICE</t>
        </is>
      </c>
      <c r="H4344" s="12" t="inlineStr">
        <is>
          <t>RICE engine hall (8 engines)</t>
        </is>
      </c>
      <c r="I4344" s="12" t="inlineStr">
        <is>
          <t>Control</t>
        </is>
      </c>
      <c r="J4344" s="12" t="inlineStr">
        <is>
          <t>Control cable 600 V Type TC-ER, Cu #14 AWG, PVC jacket</t>
        </is>
      </c>
      <c r="K4344" s="12" t="inlineStr">
        <is>
          <t>CT|12/C|14</t>
        </is>
      </c>
      <c r="L4344" s="12" t="inlineStr">
        <is>
          <t>12/C</t>
        </is>
      </c>
      <c r="M4344" s="12" t="inlineStr">
        <is>
          <t>14</t>
        </is>
      </c>
      <c r="N4344" s="12" t="n">
        <v>1</v>
      </c>
      <c r="O4344" s="12" t="n">
        <v>1</v>
      </c>
      <c r="P4344" s="12" t="n"/>
      <c r="Q4344" s="12" t="n"/>
      <c r="R4344" s="12" t="n"/>
      <c r="S4344" s="12" t="inlineStr">
        <is>
          <t>Duct bank</t>
        </is>
      </c>
      <c r="T4344" s="16" t="n">
        <v>367</v>
      </c>
      <c r="U4344" s="16" t="n">
        <v>95</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I-C-0111</t>
        </is>
      </c>
      <c r="B4345" s="12" t="inlineStr">
        <is>
          <t>I</t>
        </is>
      </c>
      <c r="C4345" s="12" t="inlineStr">
        <is>
          <t>Modular / portable power</t>
        </is>
      </c>
      <c r="D4345" s="12" t="inlineStr">
        <is>
          <t>Motor 1 of 6: control / local station</t>
        </is>
      </c>
      <c r="E4345" s="12" t="inlineStr"/>
      <c r="F4345" s="12" t="inlineStr">
        <is>
          <t>PCM: power control module</t>
        </is>
      </c>
      <c r="G4345" s="12" t="inlineStr">
        <is>
          <t>RICE-1</t>
        </is>
      </c>
      <c r="H4345" s="12" t="inlineStr">
        <is>
          <t>RICE engine-generator 1</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Duct bank</t>
        </is>
      </c>
      <c r="T4345" s="16" t="n">
        <v>550</v>
      </c>
      <c r="U4345" s="16" t="n">
        <v>137</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I-C-0112</t>
        </is>
      </c>
      <c r="B4346" s="12" t="inlineStr">
        <is>
          <t>I</t>
        </is>
      </c>
      <c r="C4346" s="12" t="inlineStr">
        <is>
          <t>Modular / portable power</t>
        </is>
      </c>
      <c r="D4346" s="12" t="inlineStr">
        <is>
          <t>Motor 2 of 6: control / local station</t>
        </is>
      </c>
      <c r="E4346" s="12" t="inlineStr"/>
      <c r="F4346" s="12" t="inlineStr">
        <is>
          <t>PCM: power control module</t>
        </is>
      </c>
      <c r="G4346" s="12" t="inlineStr">
        <is>
          <t>RICE-1</t>
        </is>
      </c>
      <c r="H4346" s="12" t="inlineStr">
        <is>
          <t>RICE engine-generator 1</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6" t="n">
        <v>550</v>
      </c>
      <c r="U4346" s="16" t="n">
        <v>137</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I-C-0113</t>
        </is>
      </c>
      <c r="B4347" s="12" t="inlineStr">
        <is>
          <t>I</t>
        </is>
      </c>
      <c r="C4347" s="12" t="inlineStr">
        <is>
          <t>Modular / portable power</t>
        </is>
      </c>
      <c r="D4347" s="12" t="inlineStr">
        <is>
          <t>Motor 3 of 6: control / local station</t>
        </is>
      </c>
      <c r="E4347" s="12" t="inlineStr"/>
      <c r="F4347" s="12" t="inlineStr">
        <is>
          <t>PCM: power control module</t>
        </is>
      </c>
      <c r="G4347" s="12" t="inlineStr">
        <is>
          <t>RICE-1</t>
        </is>
      </c>
      <c r="H4347" s="12" t="inlineStr">
        <is>
          <t>RICE engine-generator 1</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6" t="n">
        <v>550</v>
      </c>
      <c r="U4347" s="16" t="n">
        <v>137</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I-C-0114</t>
        </is>
      </c>
      <c r="B4348" s="12" t="inlineStr">
        <is>
          <t>I</t>
        </is>
      </c>
      <c r="C4348" s="12" t="inlineStr">
        <is>
          <t>Modular / portable power</t>
        </is>
      </c>
      <c r="D4348" s="12" t="inlineStr">
        <is>
          <t>Motor 4 of 6: control / local station</t>
        </is>
      </c>
      <c r="E4348" s="12" t="inlineStr"/>
      <c r="F4348" s="12" t="inlineStr">
        <is>
          <t>PCM: power control module</t>
        </is>
      </c>
      <c r="G4348" s="12" t="inlineStr">
        <is>
          <t>RICE-1</t>
        </is>
      </c>
      <c r="H4348" s="12" t="inlineStr">
        <is>
          <t>RICE engine-generator 1</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6" t="n">
        <v>550</v>
      </c>
      <c r="U4348" s="16" t="n">
        <v>137</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I-C-0115</t>
        </is>
      </c>
      <c r="B4349" s="12" t="inlineStr">
        <is>
          <t>I</t>
        </is>
      </c>
      <c r="C4349" s="12" t="inlineStr">
        <is>
          <t>Modular / portable power</t>
        </is>
      </c>
      <c r="D4349" s="12" t="inlineStr">
        <is>
          <t>Motor 5 of 6: control / local station</t>
        </is>
      </c>
      <c r="E4349" s="12" t="inlineStr"/>
      <c r="F4349" s="12" t="inlineStr">
        <is>
          <t>PCM: power control module</t>
        </is>
      </c>
      <c r="G4349" s="12" t="inlineStr">
        <is>
          <t>RICE-1</t>
        </is>
      </c>
      <c r="H4349" s="12" t="inlineStr">
        <is>
          <t>RICE engine-generator 1</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Duct bank</t>
        </is>
      </c>
      <c r="T4349" s="16" t="n">
        <v>550</v>
      </c>
      <c r="U4349" s="16" t="n">
        <v>137</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I-C-0116</t>
        </is>
      </c>
      <c r="B4350" s="12" t="inlineStr">
        <is>
          <t>I</t>
        </is>
      </c>
      <c r="C4350" s="12" t="inlineStr">
        <is>
          <t>Modular / portable power</t>
        </is>
      </c>
      <c r="D4350" s="12" t="inlineStr">
        <is>
          <t>Motor 6 of 6: control / local station</t>
        </is>
      </c>
      <c r="E4350" s="12" t="inlineStr"/>
      <c r="F4350" s="12" t="inlineStr">
        <is>
          <t>PCM: power control module</t>
        </is>
      </c>
      <c r="G4350" s="12" t="inlineStr">
        <is>
          <t>RICE-1</t>
        </is>
      </c>
      <c r="H4350" s="12" t="inlineStr">
        <is>
          <t>RICE engine-generator 1</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Duct bank</t>
        </is>
      </c>
      <c r="T4350" s="16" t="n">
        <v>550</v>
      </c>
      <c r="U4350" s="16" t="n">
        <v>137</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I-C-0117</t>
        </is>
      </c>
      <c r="B4351" s="12" t="inlineStr">
        <is>
          <t>I</t>
        </is>
      </c>
      <c r="C4351" s="12" t="inlineStr">
        <is>
          <t>Modular / portable power</t>
        </is>
      </c>
      <c r="D4351" s="12" t="inlineStr">
        <is>
          <t>Motor 1 of 6: control / local station</t>
        </is>
      </c>
      <c r="E4351" s="12" t="inlineStr"/>
      <c r="F4351" s="12" t="inlineStr">
        <is>
          <t>PCM: power control module</t>
        </is>
      </c>
      <c r="G4351" s="12" t="inlineStr">
        <is>
          <t>RICE-2</t>
        </is>
      </c>
      <c r="H4351" s="12" t="inlineStr">
        <is>
          <t>RICE engine-generator 2</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Duct bank</t>
        </is>
      </c>
      <c r="T4351" s="16" t="n">
        <v>550</v>
      </c>
      <c r="U4351" s="16" t="n">
        <v>109</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I-C-0118</t>
        </is>
      </c>
      <c r="B4352" s="12" t="inlineStr">
        <is>
          <t>I</t>
        </is>
      </c>
      <c r="C4352" s="12" t="inlineStr">
        <is>
          <t>Modular / portable power</t>
        </is>
      </c>
      <c r="D4352" s="12" t="inlineStr">
        <is>
          <t>Motor 2 of 6: control / local station</t>
        </is>
      </c>
      <c r="E4352" s="12" t="inlineStr"/>
      <c r="F4352" s="12" t="inlineStr">
        <is>
          <t>PCM: power control module</t>
        </is>
      </c>
      <c r="G4352" s="12" t="inlineStr">
        <is>
          <t>RICE-2</t>
        </is>
      </c>
      <c r="H4352" s="12" t="inlineStr">
        <is>
          <t>RICE engine-generator 2</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Duct bank</t>
        </is>
      </c>
      <c r="T4352" s="16" t="n">
        <v>550</v>
      </c>
      <c r="U4352" s="16" t="n">
        <v>109</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I-C-0119</t>
        </is>
      </c>
      <c r="B4353" s="12" t="inlineStr">
        <is>
          <t>I</t>
        </is>
      </c>
      <c r="C4353" s="12" t="inlineStr">
        <is>
          <t>Modular / portable power</t>
        </is>
      </c>
      <c r="D4353" s="12" t="inlineStr">
        <is>
          <t>Motor 3 of 6: control / local station</t>
        </is>
      </c>
      <c r="E4353" s="12" t="inlineStr"/>
      <c r="F4353" s="12" t="inlineStr">
        <is>
          <t>PCM: power control module</t>
        </is>
      </c>
      <c r="G4353" s="12" t="inlineStr">
        <is>
          <t>RICE-2</t>
        </is>
      </c>
      <c r="H4353" s="12" t="inlineStr">
        <is>
          <t>RICE engine-generator 2</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Duct bank</t>
        </is>
      </c>
      <c r="T4353" s="16" t="n">
        <v>550</v>
      </c>
      <c r="U4353" s="16" t="n">
        <v>109</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I-C-0120</t>
        </is>
      </c>
      <c r="B4354" s="12" t="inlineStr">
        <is>
          <t>I</t>
        </is>
      </c>
      <c r="C4354" s="12" t="inlineStr">
        <is>
          <t>Modular / portable power</t>
        </is>
      </c>
      <c r="D4354" s="12" t="inlineStr">
        <is>
          <t>Motor 4 of 6: control / local station</t>
        </is>
      </c>
      <c r="E4354" s="12" t="inlineStr"/>
      <c r="F4354" s="12" t="inlineStr">
        <is>
          <t>PCM: power control module</t>
        </is>
      </c>
      <c r="G4354" s="12" t="inlineStr">
        <is>
          <t>RICE-2</t>
        </is>
      </c>
      <c r="H4354" s="12" t="inlineStr">
        <is>
          <t>RICE engine-generator 2</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6" t="n">
        <v>550</v>
      </c>
      <c r="U4354" s="16" t="n">
        <v>109</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I-C-0121</t>
        </is>
      </c>
      <c r="B4355" s="12" t="inlineStr">
        <is>
          <t>I</t>
        </is>
      </c>
      <c r="C4355" s="12" t="inlineStr">
        <is>
          <t>Modular / portable power</t>
        </is>
      </c>
      <c r="D4355" s="12" t="inlineStr">
        <is>
          <t>Motor 5 of 6: control / local station</t>
        </is>
      </c>
      <c r="E4355" s="12" t="inlineStr"/>
      <c r="F4355" s="12" t="inlineStr">
        <is>
          <t>PCM: power control module</t>
        </is>
      </c>
      <c r="G4355" s="12" t="inlineStr">
        <is>
          <t>RICE-2</t>
        </is>
      </c>
      <c r="H4355" s="12" t="inlineStr">
        <is>
          <t>RICE engine-generator 2</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Duct bank</t>
        </is>
      </c>
      <c r="T4355" s="16" t="n">
        <v>550</v>
      </c>
      <c r="U4355" s="16" t="n">
        <v>109</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I-C-0122</t>
        </is>
      </c>
      <c r="B4356" s="12" t="inlineStr">
        <is>
          <t>I</t>
        </is>
      </c>
      <c r="C4356" s="12" t="inlineStr">
        <is>
          <t>Modular / portable power</t>
        </is>
      </c>
      <c r="D4356" s="12" t="inlineStr">
        <is>
          <t>Motor 6 of 6: control / local station</t>
        </is>
      </c>
      <c r="E4356" s="12" t="inlineStr"/>
      <c r="F4356" s="12" t="inlineStr">
        <is>
          <t>PCM: power control module</t>
        </is>
      </c>
      <c r="G4356" s="12" t="inlineStr">
        <is>
          <t>RICE-2</t>
        </is>
      </c>
      <c r="H4356" s="12" t="inlineStr">
        <is>
          <t>RICE engine-generator 2</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Duct bank</t>
        </is>
      </c>
      <c r="T4356" s="16" t="n">
        <v>550</v>
      </c>
      <c r="U4356" s="16" t="n">
        <v>109</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I-C-0123</t>
        </is>
      </c>
      <c r="B4357" s="12" t="inlineStr">
        <is>
          <t>I</t>
        </is>
      </c>
      <c r="C4357" s="12" t="inlineStr">
        <is>
          <t>Modular / portable power</t>
        </is>
      </c>
      <c r="D4357" s="12" t="inlineStr">
        <is>
          <t>Motor 1 of 6: control / local station</t>
        </is>
      </c>
      <c r="E4357" s="12" t="inlineStr"/>
      <c r="F4357" s="12" t="inlineStr">
        <is>
          <t>PCM: power control module</t>
        </is>
      </c>
      <c r="G4357" s="12" t="inlineStr">
        <is>
          <t>RICE-3</t>
        </is>
      </c>
      <c r="H4357" s="12" t="inlineStr">
        <is>
          <t>RICE engine-generator 3</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Duct bank</t>
        </is>
      </c>
      <c r="T4357" s="16" t="n">
        <v>550</v>
      </c>
      <c r="U4357" s="16" t="n">
        <v>81</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I-C-0124</t>
        </is>
      </c>
      <c r="B4358" s="12" t="inlineStr">
        <is>
          <t>I</t>
        </is>
      </c>
      <c r="C4358" s="12" t="inlineStr">
        <is>
          <t>Modular / portable power</t>
        </is>
      </c>
      <c r="D4358" s="12" t="inlineStr">
        <is>
          <t>Motor 2 of 6: control / local station</t>
        </is>
      </c>
      <c r="E4358" s="12" t="inlineStr"/>
      <c r="F4358" s="12" t="inlineStr">
        <is>
          <t>PCM: power control module</t>
        </is>
      </c>
      <c r="G4358" s="12" t="inlineStr">
        <is>
          <t>RICE-3</t>
        </is>
      </c>
      <c r="H4358" s="12" t="inlineStr">
        <is>
          <t>RICE engine-generator 3</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6" t="n">
        <v>550</v>
      </c>
      <c r="U4358" s="16" t="n">
        <v>81</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I-C-0125</t>
        </is>
      </c>
      <c r="B4359" s="12" t="inlineStr">
        <is>
          <t>I</t>
        </is>
      </c>
      <c r="C4359" s="12" t="inlineStr">
        <is>
          <t>Modular / portable power</t>
        </is>
      </c>
      <c r="D4359" s="12" t="inlineStr">
        <is>
          <t>Motor 3 of 6: control / local station</t>
        </is>
      </c>
      <c r="E4359" s="12" t="inlineStr"/>
      <c r="F4359" s="12" t="inlineStr">
        <is>
          <t>PCM: power control module</t>
        </is>
      </c>
      <c r="G4359" s="12" t="inlineStr">
        <is>
          <t>RICE-3</t>
        </is>
      </c>
      <c r="H4359" s="12" t="inlineStr">
        <is>
          <t>RICE engine-generator 3</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6" t="n">
        <v>550</v>
      </c>
      <c r="U4359" s="16" t="n">
        <v>81</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I-C-0126</t>
        </is>
      </c>
      <c r="B4360" s="12" t="inlineStr">
        <is>
          <t>I</t>
        </is>
      </c>
      <c r="C4360" s="12" t="inlineStr">
        <is>
          <t>Modular / portable power</t>
        </is>
      </c>
      <c r="D4360" s="12" t="inlineStr">
        <is>
          <t>Motor 4 of 6: control / local station</t>
        </is>
      </c>
      <c r="E4360" s="12" t="inlineStr"/>
      <c r="F4360" s="12" t="inlineStr">
        <is>
          <t>PCM: power control module</t>
        </is>
      </c>
      <c r="G4360" s="12" t="inlineStr">
        <is>
          <t>RICE-3</t>
        </is>
      </c>
      <c r="H4360" s="12" t="inlineStr">
        <is>
          <t>RICE engine-generator 3</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6" t="n">
        <v>550</v>
      </c>
      <c r="U4360" s="16" t="n">
        <v>81</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I-C-0127</t>
        </is>
      </c>
      <c r="B4361" s="12" t="inlineStr">
        <is>
          <t>I</t>
        </is>
      </c>
      <c r="C4361" s="12" t="inlineStr">
        <is>
          <t>Modular / portable power</t>
        </is>
      </c>
      <c r="D4361" s="12" t="inlineStr">
        <is>
          <t>Motor 5 of 6: control / local station</t>
        </is>
      </c>
      <c r="E4361" s="12" t="inlineStr"/>
      <c r="F4361" s="12" t="inlineStr">
        <is>
          <t>PCM: power control module</t>
        </is>
      </c>
      <c r="G4361" s="12" t="inlineStr">
        <is>
          <t>RICE-3</t>
        </is>
      </c>
      <c r="H4361" s="12" t="inlineStr">
        <is>
          <t>RICE engine-generator 3</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Duct bank</t>
        </is>
      </c>
      <c r="T4361" s="16" t="n">
        <v>550</v>
      </c>
      <c r="U4361" s="16" t="n">
        <v>81</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I-C-0128</t>
        </is>
      </c>
      <c r="B4362" s="12" t="inlineStr">
        <is>
          <t>I</t>
        </is>
      </c>
      <c r="C4362" s="12" t="inlineStr">
        <is>
          <t>Modular / portable power</t>
        </is>
      </c>
      <c r="D4362" s="12" t="inlineStr">
        <is>
          <t>Motor 6 of 6: control / local station</t>
        </is>
      </c>
      <c r="E4362" s="12" t="inlineStr"/>
      <c r="F4362" s="12" t="inlineStr">
        <is>
          <t>PCM: power control module</t>
        </is>
      </c>
      <c r="G4362" s="12" t="inlineStr">
        <is>
          <t>RICE-3</t>
        </is>
      </c>
      <c r="H4362" s="12" t="inlineStr">
        <is>
          <t>RICE engine-generator 3</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Duct bank</t>
        </is>
      </c>
      <c r="T4362" s="16" t="n">
        <v>550</v>
      </c>
      <c r="U4362" s="16" t="n">
        <v>81</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I-C-0129</t>
        </is>
      </c>
      <c r="B4363" s="12" t="inlineStr">
        <is>
          <t>I</t>
        </is>
      </c>
      <c r="C4363" s="12" t="inlineStr">
        <is>
          <t>Modular / portable power</t>
        </is>
      </c>
      <c r="D4363" s="12" t="inlineStr">
        <is>
          <t>Motor 1 of 6: control / local station</t>
        </is>
      </c>
      <c r="E4363" s="12" t="inlineStr"/>
      <c r="F4363" s="12" t="inlineStr">
        <is>
          <t>PCM: power control module</t>
        </is>
      </c>
      <c r="G4363" s="12" t="inlineStr">
        <is>
          <t>RICE-4</t>
        </is>
      </c>
      <c r="H4363" s="12" t="inlineStr">
        <is>
          <t>RICE engine-generator 4</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Duct bank</t>
        </is>
      </c>
      <c r="T4363" s="16" t="n">
        <v>550</v>
      </c>
      <c r="U4363" s="16" t="n">
        <v>53</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I-C-0130</t>
        </is>
      </c>
      <c r="B4364" s="12" t="inlineStr">
        <is>
          <t>I</t>
        </is>
      </c>
      <c r="C4364" s="12" t="inlineStr">
        <is>
          <t>Modular / portable power</t>
        </is>
      </c>
      <c r="D4364" s="12" t="inlineStr">
        <is>
          <t>Motor 2 of 6: control / local station</t>
        </is>
      </c>
      <c r="E4364" s="12" t="inlineStr"/>
      <c r="F4364" s="12" t="inlineStr">
        <is>
          <t>PCM: power control module</t>
        </is>
      </c>
      <c r="G4364" s="12" t="inlineStr">
        <is>
          <t>RICE-4</t>
        </is>
      </c>
      <c r="H4364" s="12" t="inlineStr">
        <is>
          <t>RICE engine-generator 4</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Duct bank</t>
        </is>
      </c>
      <c r="T4364" s="16" t="n">
        <v>550</v>
      </c>
      <c r="U4364" s="16" t="n">
        <v>53</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I-C-0131</t>
        </is>
      </c>
      <c r="B4365" s="12" t="inlineStr">
        <is>
          <t>I</t>
        </is>
      </c>
      <c r="C4365" s="12" t="inlineStr">
        <is>
          <t>Modular / portable power</t>
        </is>
      </c>
      <c r="D4365" s="12" t="inlineStr">
        <is>
          <t>Motor 3 of 6: control / local station</t>
        </is>
      </c>
      <c r="E4365" s="12" t="inlineStr"/>
      <c r="F4365" s="12" t="inlineStr">
        <is>
          <t>PCM: power control module</t>
        </is>
      </c>
      <c r="G4365" s="12" t="inlineStr">
        <is>
          <t>RICE-4</t>
        </is>
      </c>
      <c r="H4365" s="12" t="inlineStr">
        <is>
          <t>RICE engine-generator 4</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6" t="n">
        <v>550</v>
      </c>
      <c r="U4365" s="16" t="n">
        <v>53</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I-C-0132</t>
        </is>
      </c>
      <c r="B4366" s="12" t="inlineStr">
        <is>
          <t>I</t>
        </is>
      </c>
      <c r="C4366" s="12" t="inlineStr">
        <is>
          <t>Modular / portable power</t>
        </is>
      </c>
      <c r="D4366" s="12" t="inlineStr">
        <is>
          <t>Motor 4 of 6: control / local station</t>
        </is>
      </c>
      <c r="E4366" s="12" t="inlineStr"/>
      <c r="F4366" s="12" t="inlineStr">
        <is>
          <t>PCM: power control module</t>
        </is>
      </c>
      <c r="G4366" s="12" t="inlineStr">
        <is>
          <t>RICE-4</t>
        </is>
      </c>
      <c r="H4366" s="12" t="inlineStr">
        <is>
          <t>RICE engine-generator 4</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6" t="n">
        <v>550</v>
      </c>
      <c r="U4366" s="16" t="n">
        <v>53</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I-C-0133</t>
        </is>
      </c>
      <c r="B4367" s="12" t="inlineStr">
        <is>
          <t>I</t>
        </is>
      </c>
      <c r="C4367" s="12" t="inlineStr">
        <is>
          <t>Modular / portable power</t>
        </is>
      </c>
      <c r="D4367" s="12" t="inlineStr">
        <is>
          <t>Motor 5 of 6: control / local station</t>
        </is>
      </c>
      <c r="E4367" s="12" t="inlineStr"/>
      <c r="F4367" s="12" t="inlineStr">
        <is>
          <t>PCM: power control module</t>
        </is>
      </c>
      <c r="G4367" s="12" t="inlineStr">
        <is>
          <t>RICE-4</t>
        </is>
      </c>
      <c r="H4367" s="12" t="inlineStr">
        <is>
          <t>RICE engine-generator 4</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Duct bank</t>
        </is>
      </c>
      <c r="T4367" s="16" t="n">
        <v>550</v>
      </c>
      <c r="U4367" s="16" t="n">
        <v>53</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I-C-0134</t>
        </is>
      </c>
      <c r="B4368" s="12" t="inlineStr">
        <is>
          <t>I</t>
        </is>
      </c>
      <c r="C4368" s="12" t="inlineStr">
        <is>
          <t>Modular / portable power</t>
        </is>
      </c>
      <c r="D4368" s="12" t="inlineStr">
        <is>
          <t>Motor 6 of 6: control / local station</t>
        </is>
      </c>
      <c r="E4368" s="12" t="inlineStr"/>
      <c r="F4368" s="12" t="inlineStr">
        <is>
          <t>PCM: power control module</t>
        </is>
      </c>
      <c r="G4368" s="12" t="inlineStr">
        <is>
          <t>RICE-4</t>
        </is>
      </c>
      <c r="H4368" s="12" t="inlineStr">
        <is>
          <t>RICE engine-generator 4</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Duct bank</t>
        </is>
      </c>
      <c r="T4368" s="16" t="n">
        <v>550</v>
      </c>
      <c r="U4368" s="16" t="n">
        <v>53</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I-C-0135</t>
        </is>
      </c>
      <c r="B4369" s="12" t="inlineStr">
        <is>
          <t>I</t>
        </is>
      </c>
      <c r="C4369" s="12" t="inlineStr">
        <is>
          <t>Modular / portable power</t>
        </is>
      </c>
      <c r="D4369" s="12" t="inlineStr">
        <is>
          <t>Motor 1 of 6: control / local station</t>
        </is>
      </c>
      <c r="E4369" s="12" t="inlineStr"/>
      <c r="F4369" s="12" t="inlineStr">
        <is>
          <t>PCM: power control module</t>
        </is>
      </c>
      <c r="G4369" s="12" t="inlineStr">
        <is>
          <t>RICE-5</t>
        </is>
      </c>
      <c r="H4369" s="12" t="inlineStr">
        <is>
          <t>RICE engine-generator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Duct bank</t>
        </is>
      </c>
      <c r="T4369" s="16" t="n">
        <v>367</v>
      </c>
      <c r="U4369" s="16" t="n">
        <v>208</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I-C-0136</t>
        </is>
      </c>
      <c r="B4370" s="12" t="inlineStr">
        <is>
          <t>I</t>
        </is>
      </c>
      <c r="C4370" s="12" t="inlineStr">
        <is>
          <t>Modular / portable power</t>
        </is>
      </c>
      <c r="D4370" s="12" t="inlineStr">
        <is>
          <t>Motor 2 of 6: control / local station</t>
        </is>
      </c>
      <c r="E4370" s="12" t="inlineStr"/>
      <c r="F4370" s="12" t="inlineStr">
        <is>
          <t>PCM: power control module</t>
        </is>
      </c>
      <c r="G4370" s="12" t="inlineStr">
        <is>
          <t>RICE-5</t>
        </is>
      </c>
      <c r="H4370" s="12" t="inlineStr">
        <is>
          <t>RICE engine-generator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6" t="n">
        <v>367</v>
      </c>
      <c r="U4370" s="16" t="n">
        <v>208</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I-C-0137</t>
        </is>
      </c>
      <c r="B4371" s="12" t="inlineStr">
        <is>
          <t>I</t>
        </is>
      </c>
      <c r="C4371" s="12" t="inlineStr">
        <is>
          <t>Modular / portable power</t>
        </is>
      </c>
      <c r="D4371" s="12" t="inlineStr">
        <is>
          <t>Motor 3 of 6: control / local station</t>
        </is>
      </c>
      <c r="E4371" s="12" t="inlineStr"/>
      <c r="F4371" s="12" t="inlineStr">
        <is>
          <t>PCM: power control module</t>
        </is>
      </c>
      <c r="G4371" s="12" t="inlineStr">
        <is>
          <t>RICE-5</t>
        </is>
      </c>
      <c r="H4371" s="12" t="inlineStr">
        <is>
          <t>RICE engine-generator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6" t="n">
        <v>367</v>
      </c>
      <c r="U4371" s="16" t="n">
        <v>208</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I-C-0138</t>
        </is>
      </c>
      <c r="B4372" s="12" t="inlineStr">
        <is>
          <t>I</t>
        </is>
      </c>
      <c r="C4372" s="12" t="inlineStr">
        <is>
          <t>Modular / portable power</t>
        </is>
      </c>
      <c r="D4372" s="12" t="inlineStr">
        <is>
          <t>Motor 4 of 6: control / local station</t>
        </is>
      </c>
      <c r="E4372" s="12" t="inlineStr"/>
      <c r="F4372" s="12" t="inlineStr">
        <is>
          <t>PCM: power control module</t>
        </is>
      </c>
      <c r="G4372" s="12" t="inlineStr">
        <is>
          <t>RICE-5</t>
        </is>
      </c>
      <c r="H4372" s="12" t="inlineStr">
        <is>
          <t>RICE engine-generator 5</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6" t="n">
        <v>367</v>
      </c>
      <c r="U4372" s="16" t="n">
        <v>208</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I-C-0139</t>
        </is>
      </c>
      <c r="B4373" s="12" t="inlineStr">
        <is>
          <t>I</t>
        </is>
      </c>
      <c r="C4373" s="12" t="inlineStr">
        <is>
          <t>Modular / portable power</t>
        </is>
      </c>
      <c r="D4373" s="12" t="inlineStr">
        <is>
          <t>Motor 5 of 6: control / local station</t>
        </is>
      </c>
      <c r="E4373" s="12" t="inlineStr"/>
      <c r="F4373" s="12" t="inlineStr">
        <is>
          <t>PCM: power control module</t>
        </is>
      </c>
      <c r="G4373" s="12" t="inlineStr">
        <is>
          <t>RICE-5</t>
        </is>
      </c>
      <c r="H4373" s="12" t="inlineStr">
        <is>
          <t>RICE engine-generator 5</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6" t="n">
        <v>367</v>
      </c>
      <c r="U4373" s="16" t="n">
        <v>208</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I-C-0140</t>
        </is>
      </c>
      <c r="B4374" s="12" t="inlineStr">
        <is>
          <t>I</t>
        </is>
      </c>
      <c r="C4374" s="12" t="inlineStr">
        <is>
          <t>Modular / portable power</t>
        </is>
      </c>
      <c r="D4374" s="12" t="inlineStr">
        <is>
          <t>Motor 6 of 6: control / local station</t>
        </is>
      </c>
      <c r="E4374" s="12" t="inlineStr"/>
      <c r="F4374" s="12" t="inlineStr">
        <is>
          <t>PCM: power control module</t>
        </is>
      </c>
      <c r="G4374" s="12" t="inlineStr">
        <is>
          <t>RICE-5</t>
        </is>
      </c>
      <c r="H4374" s="12" t="inlineStr">
        <is>
          <t>RICE engine-generator 5</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6" t="n">
        <v>367</v>
      </c>
      <c r="U4374" s="16" t="n">
        <v>208</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I-C-0141</t>
        </is>
      </c>
      <c r="B4375" s="12" t="inlineStr">
        <is>
          <t>I</t>
        </is>
      </c>
      <c r="C4375" s="12" t="inlineStr">
        <is>
          <t>Modular / portable power</t>
        </is>
      </c>
      <c r="D4375" s="12" t="inlineStr">
        <is>
          <t>Motor 1 of 6: control / local station</t>
        </is>
      </c>
      <c r="E4375" s="12" t="inlineStr"/>
      <c r="F4375" s="12" t="inlineStr">
        <is>
          <t>PCM: power control module</t>
        </is>
      </c>
      <c r="G4375" s="12" t="inlineStr">
        <is>
          <t>RICE-6</t>
        </is>
      </c>
      <c r="H4375" s="12" t="inlineStr">
        <is>
          <t>RICE engine-generator 6</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Duct bank</t>
        </is>
      </c>
      <c r="T4375" s="16" t="n">
        <v>367</v>
      </c>
      <c r="U4375" s="16" t="n">
        <v>180</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I-C-0142</t>
        </is>
      </c>
      <c r="B4376" s="12" t="inlineStr">
        <is>
          <t>I</t>
        </is>
      </c>
      <c r="C4376" s="12" t="inlineStr">
        <is>
          <t>Modular / portable power</t>
        </is>
      </c>
      <c r="D4376" s="12" t="inlineStr">
        <is>
          <t>Motor 2 of 6: control / local station</t>
        </is>
      </c>
      <c r="E4376" s="12" t="inlineStr"/>
      <c r="F4376" s="12" t="inlineStr">
        <is>
          <t>PCM: power control module</t>
        </is>
      </c>
      <c r="G4376" s="12" t="inlineStr">
        <is>
          <t>RICE-6</t>
        </is>
      </c>
      <c r="H4376" s="12" t="inlineStr">
        <is>
          <t>RICE engine-generator 6</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Duct bank</t>
        </is>
      </c>
      <c r="T4376" s="16" t="n">
        <v>367</v>
      </c>
      <c r="U4376" s="16" t="n">
        <v>180</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I-C-0143</t>
        </is>
      </c>
      <c r="B4377" s="12" t="inlineStr">
        <is>
          <t>I</t>
        </is>
      </c>
      <c r="C4377" s="12" t="inlineStr">
        <is>
          <t>Modular / portable power</t>
        </is>
      </c>
      <c r="D4377" s="12" t="inlineStr">
        <is>
          <t>Motor 3 of 6: control / local station</t>
        </is>
      </c>
      <c r="E4377" s="12" t="inlineStr"/>
      <c r="F4377" s="12" t="inlineStr">
        <is>
          <t>PCM: power control module</t>
        </is>
      </c>
      <c r="G4377" s="12" t="inlineStr">
        <is>
          <t>RICE-6</t>
        </is>
      </c>
      <c r="H4377" s="12" t="inlineStr">
        <is>
          <t>RICE engine-generator 6</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6" t="n">
        <v>367</v>
      </c>
      <c r="U4377" s="16" t="n">
        <v>180</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I-C-0144</t>
        </is>
      </c>
      <c r="B4378" s="12" t="inlineStr">
        <is>
          <t>I</t>
        </is>
      </c>
      <c r="C4378" s="12" t="inlineStr">
        <is>
          <t>Modular / portable power</t>
        </is>
      </c>
      <c r="D4378" s="12" t="inlineStr">
        <is>
          <t>Motor 4 of 6: control / local station</t>
        </is>
      </c>
      <c r="E4378" s="12" t="inlineStr"/>
      <c r="F4378" s="12" t="inlineStr">
        <is>
          <t>PCM: power control module</t>
        </is>
      </c>
      <c r="G4378" s="12" t="inlineStr">
        <is>
          <t>RICE-6</t>
        </is>
      </c>
      <c r="H4378" s="12" t="inlineStr">
        <is>
          <t>RICE engine-generator 6</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6" t="n">
        <v>367</v>
      </c>
      <c r="U4378" s="16" t="n">
        <v>180</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I-C-0145</t>
        </is>
      </c>
      <c r="B4379" s="12" t="inlineStr">
        <is>
          <t>I</t>
        </is>
      </c>
      <c r="C4379" s="12" t="inlineStr">
        <is>
          <t>Modular / portable power</t>
        </is>
      </c>
      <c r="D4379" s="12" t="inlineStr">
        <is>
          <t>Motor 5 of 6: control / local station</t>
        </is>
      </c>
      <c r="E4379" s="12" t="inlineStr"/>
      <c r="F4379" s="12" t="inlineStr">
        <is>
          <t>PCM: power control module</t>
        </is>
      </c>
      <c r="G4379" s="12" t="inlineStr">
        <is>
          <t>RICE-6</t>
        </is>
      </c>
      <c r="H4379" s="12" t="inlineStr">
        <is>
          <t>RICE engine-generator 6</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6" t="n">
        <v>367</v>
      </c>
      <c r="U4379" s="16" t="n">
        <v>180</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I-C-0146</t>
        </is>
      </c>
      <c r="B4380" s="12" t="inlineStr">
        <is>
          <t>I</t>
        </is>
      </c>
      <c r="C4380" s="12" t="inlineStr">
        <is>
          <t>Modular / portable power</t>
        </is>
      </c>
      <c r="D4380" s="12" t="inlineStr">
        <is>
          <t>Motor 6 of 6: control / local station</t>
        </is>
      </c>
      <c r="E4380" s="12" t="inlineStr"/>
      <c r="F4380" s="12" t="inlineStr">
        <is>
          <t>PCM: power control module</t>
        </is>
      </c>
      <c r="G4380" s="12" t="inlineStr">
        <is>
          <t>RICE-6</t>
        </is>
      </c>
      <c r="H4380" s="12" t="inlineStr">
        <is>
          <t>RICE engine-generator 6</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367</v>
      </c>
      <c r="U4380" s="16" t="n">
        <v>180</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I-C-0147</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RICE-7</t>
        </is>
      </c>
      <c r="H4381" s="12" t="inlineStr">
        <is>
          <t>RICE engine-generator 7</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Tray</t>
        </is>
      </c>
      <c r="T4381" s="16" t="n">
        <v>0</v>
      </c>
      <c r="U4381" s="16" t="n">
        <v>189</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I-C-0148</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RICE-7</t>
        </is>
      </c>
      <c r="H4382" s="12" t="inlineStr">
        <is>
          <t>RICE engine-generator 7</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Tray</t>
        </is>
      </c>
      <c r="T4382" s="16" t="n">
        <v>0</v>
      </c>
      <c r="U4382" s="16" t="n">
        <v>189</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I-C-0149</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RICE-7</t>
        </is>
      </c>
      <c r="H4383" s="12" t="inlineStr">
        <is>
          <t>RICE engine-generator 7</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189</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I-C-0150</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RICE-7</t>
        </is>
      </c>
      <c r="H4384" s="12" t="inlineStr">
        <is>
          <t>RICE engine-generator 7</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189</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I-C-0151</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RICE-7</t>
        </is>
      </c>
      <c r="H4385" s="12" t="inlineStr">
        <is>
          <t>RICE engine-generator 7</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Tray</t>
        </is>
      </c>
      <c r="T4385" s="16" t="n">
        <v>0</v>
      </c>
      <c r="U4385" s="16" t="n">
        <v>189</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I-C-0152</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RICE-7</t>
        </is>
      </c>
      <c r="H4386" s="12" t="inlineStr">
        <is>
          <t>RICE engine-generator 7</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Tray</t>
        </is>
      </c>
      <c r="T4386" s="16" t="n">
        <v>0</v>
      </c>
      <c r="U4386" s="16" t="n">
        <v>189</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I-C-0153</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RICE-8</t>
        </is>
      </c>
      <c r="H4387" s="12" t="inlineStr">
        <is>
          <t>RICE engine-generator 8</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Tray</t>
        </is>
      </c>
      <c r="T4387" s="16" t="n">
        <v>0</v>
      </c>
      <c r="U4387" s="16" t="n">
        <v>161</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I-C-0154</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RICE-8</t>
        </is>
      </c>
      <c r="H4388" s="12" t="inlineStr">
        <is>
          <t>RICE engine-generator 8</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Tray</t>
        </is>
      </c>
      <c r="T4388" s="16" t="n">
        <v>0</v>
      </c>
      <c r="U4388" s="16" t="n">
        <v>161</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I-C-0155</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RICE-8</t>
        </is>
      </c>
      <c r="H4389" s="12" t="inlineStr">
        <is>
          <t>RICE engine-generator 8</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Tray</t>
        </is>
      </c>
      <c r="T4389" s="16" t="n">
        <v>0</v>
      </c>
      <c r="U4389" s="16" t="n">
        <v>161</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I-C-0156</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RICE-8</t>
        </is>
      </c>
      <c r="H4390" s="12" t="inlineStr">
        <is>
          <t>RICE engine-generator 8</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Tray</t>
        </is>
      </c>
      <c r="T4390" s="16" t="n">
        <v>0</v>
      </c>
      <c r="U4390" s="16" t="n">
        <v>161</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I-C-0157</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RICE-8</t>
        </is>
      </c>
      <c r="H4391" s="12" t="inlineStr">
        <is>
          <t>RICE engine-generator 8</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6" t="n">
        <v>0</v>
      </c>
      <c r="U4391" s="16" t="n">
        <v>161</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I-C-0158</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RICE-8</t>
        </is>
      </c>
      <c r="H4392" s="12" t="inlineStr">
        <is>
          <t>RICE engine-generator 8</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6" t="n">
        <v>0</v>
      </c>
      <c r="U4392" s="16" t="n">
        <v>161</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I-C-0159</t>
        </is>
      </c>
      <c r="B4393" s="12" t="inlineStr">
        <is>
          <t>I</t>
        </is>
      </c>
      <c r="C4393" s="12" t="inlineStr">
        <is>
          <t>Modular / portable power</t>
        </is>
      </c>
      <c r="D4393" s="12" t="inlineStr">
        <is>
          <t>Control</t>
        </is>
      </c>
      <c r="E4393" s="12" t="inlineStr"/>
      <c r="F4393" s="12" t="inlineStr">
        <is>
          <t>PCM: power control module</t>
        </is>
      </c>
      <c r="G4393" s="12" t="inlineStr"/>
      <c r="H4393" s="12" t="inlineStr">
        <is>
          <t>Reagent storage</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6" t="n">
        <v>40</v>
      </c>
      <c r="U4393" s="16" t="n">
        <v>32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I-C-0160</t>
        </is>
      </c>
      <c r="B4394" s="12" t="inlineStr">
        <is>
          <t>I</t>
        </is>
      </c>
      <c r="C4394" s="12" t="inlineStr">
        <is>
          <t>Modular / portable power</t>
        </is>
      </c>
      <c r="D4394" s="12" t="inlineStr">
        <is>
          <t>Motor 1 of 2: control / local station</t>
        </is>
      </c>
      <c r="E4394" s="12" t="inlineStr"/>
      <c r="F4394" s="12" t="inlineStr">
        <is>
          <t>SC-1 PCM + 15 kV GCB</t>
        </is>
      </c>
      <c r="G4394" s="12" t="inlineStr"/>
      <c r="H4394" s="12" t="inlineStr">
        <is>
          <t>SC-1 CEMS shelter</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Tray</t>
        </is>
      </c>
      <c r="T4394" s="16" t="n">
        <v>0</v>
      </c>
      <c r="U4394" s="16" t="n">
        <v>229</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I-C-0161</t>
        </is>
      </c>
      <c r="B4395" s="12" t="inlineStr">
        <is>
          <t>I</t>
        </is>
      </c>
      <c r="C4395" s="12" t="inlineStr">
        <is>
          <t>Modular / portable power</t>
        </is>
      </c>
      <c r="D4395" s="12" t="inlineStr">
        <is>
          <t>Motor 2 of 2: control / local station</t>
        </is>
      </c>
      <c r="E4395" s="12" t="inlineStr"/>
      <c r="F4395" s="12" t="inlineStr">
        <is>
          <t>SC-1 PCM + 15 kV GCB</t>
        </is>
      </c>
      <c r="G4395" s="12" t="inlineStr"/>
      <c r="H4395" s="12" t="inlineStr">
        <is>
          <t>SC-1 CEMS shelter</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Tray</t>
        </is>
      </c>
      <c r="T4395" s="16" t="n">
        <v>0</v>
      </c>
      <c r="U4395" s="16" t="n">
        <v>229</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I-C-0162</t>
        </is>
      </c>
      <c r="B4396" s="12" t="inlineStr">
        <is>
          <t>I</t>
        </is>
      </c>
      <c r="C4396" s="12" t="inlineStr">
        <is>
          <t>Modular / portable power</t>
        </is>
      </c>
      <c r="D4396" s="12" t="inlineStr">
        <is>
          <t>SC-1 generator CT / VT secondaries to the PCM protection</t>
        </is>
      </c>
      <c r="E4396" s="12" t="inlineStr">
        <is>
          <t>SC-1</t>
        </is>
      </c>
      <c r="F4396" s="12" t="inlineStr">
        <is>
          <t>SC-1: aeroderivative simple-cycle unit (LM6000 class)</t>
        </is>
      </c>
      <c r="G4396" s="12" t="inlineStr"/>
      <c r="H4396" s="12" t="inlineStr">
        <is>
          <t>SC-1 PCM + 15 kV GCB</t>
        </is>
      </c>
      <c r="I4396" s="12" t="inlineStr">
        <is>
          <t>Control</t>
        </is>
      </c>
      <c r="J4396" s="12" t="inlineStr">
        <is>
          <t>Control cable 600 V Type TC-ER, Cu #10 AWG (CT / VT circuits)</t>
        </is>
      </c>
      <c r="K4396" s="12" t="inlineStr">
        <is>
          <t>CTCT|12/C|10</t>
        </is>
      </c>
      <c r="L4396" s="12" t="inlineStr">
        <is>
          <t>12/C</t>
        </is>
      </c>
      <c r="M4396" s="12" t="inlineStr">
        <is>
          <t>10</t>
        </is>
      </c>
      <c r="N4396" s="12" t="n">
        <v>2</v>
      </c>
      <c r="O4396" s="12" t="n">
        <v>1</v>
      </c>
      <c r="P4396" s="12" t="n"/>
      <c r="Q4396" s="12" t="n"/>
      <c r="R4396" s="12" t="n"/>
      <c r="S4396" s="12" t="inlineStr">
        <is>
          <t>Tray</t>
        </is>
      </c>
      <c r="T4396" s="16" t="n">
        <v>12</v>
      </c>
      <c r="U4396" s="16" t="n">
        <v>52</v>
      </c>
      <c r="V4396" s="16">
        <f>ROUNDUP((T4396+U4396+2*'Read Me'!$B$13)*(1+'Read Me'!$B$12),-1)</f>
        <v/>
      </c>
      <c r="W4396" s="16">
        <f>V4396*N4396*O4396</f>
        <v/>
      </c>
      <c r="X4396" s="12">
        <f>IF(LEFT(I4396,2)="MV",2*N4396*IF(L4396="1/C",O4396,1),0)</f>
        <v/>
      </c>
      <c r="Y4396" s="12">
        <f>IF(OR(LEFT(K4396,4)="LVAX",LEFT(K4396,6)="MV15AX",LEFT(K4396,4)="CTAX",LEFT(K4396,2)="W|"),2*N4396*O4396,0)</f>
        <v/>
      </c>
      <c r="Z4396" s="12" t="inlineStr">
        <is>
          <t>line-side and neutral CTs, VTs in the terminal box</t>
        </is>
      </c>
      <c r="AA4396" s="12">
        <f>N4396*O4396</f>
        <v/>
      </c>
    </row>
    <row r="4397">
      <c r="A4397" s="12" t="inlineStr">
        <is>
          <t>I-C-0163</t>
        </is>
      </c>
      <c r="B4397" s="12" t="inlineStr">
        <is>
          <t>I</t>
        </is>
      </c>
      <c r="C4397" s="12" t="inlineStr">
        <is>
          <t>Modular / portable power</t>
        </is>
      </c>
      <c r="D4397" s="12" t="inlineStr">
        <is>
          <t>Motor 1 of 2: control / local station</t>
        </is>
      </c>
      <c r="E4397" s="12" t="inlineStr"/>
      <c r="F4397" s="12" t="inlineStr">
        <is>
          <t>SC-1 PCM + 15 kV GCB</t>
        </is>
      </c>
      <c r="G4397" s="12" t="inlineStr"/>
      <c r="H4397" s="12" t="inlineStr">
        <is>
          <t>SC-1 ammonia flow-control unit</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Tray</t>
        </is>
      </c>
      <c r="T4397" s="16" t="n">
        <v>0</v>
      </c>
      <c r="U4397" s="16" t="n">
        <v>152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I-C-0164</t>
        </is>
      </c>
      <c r="B4398" s="12" t="inlineStr">
        <is>
          <t>I</t>
        </is>
      </c>
      <c r="C4398" s="12" t="inlineStr">
        <is>
          <t>Modular / portable power</t>
        </is>
      </c>
      <c r="D4398" s="12" t="inlineStr">
        <is>
          <t>Motor 2 of 2: control / local station</t>
        </is>
      </c>
      <c r="E4398" s="12" t="inlineStr"/>
      <c r="F4398" s="12" t="inlineStr">
        <is>
          <t>SC-1 PCM + 15 kV GCB</t>
        </is>
      </c>
      <c r="G4398" s="12" t="inlineStr"/>
      <c r="H4398" s="12" t="inlineStr">
        <is>
          <t>SC-1 ammonia flow-control unit</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Tray</t>
        </is>
      </c>
      <c r="T4398" s="16" t="n">
        <v>0</v>
      </c>
      <c r="U4398" s="16" t="n">
        <v>152</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I-C-0165</t>
        </is>
      </c>
      <c r="B4399" s="12" t="inlineStr">
        <is>
          <t>I</t>
        </is>
      </c>
      <c r="C4399" s="12" t="inlineStr">
        <is>
          <t>Modular / portable power</t>
        </is>
      </c>
      <c r="D4399" s="12" t="inlineStr">
        <is>
          <t>Solenoid to JB JB-SC-1 ammonia flow--SOL01: 4 x 2/C (field cables)</t>
        </is>
      </c>
      <c r="E4399" s="12" t="inlineStr"/>
      <c r="F4399" s="12" t="inlineStr">
        <is>
          <t>SC-1 ammonia flow-control unit</t>
        </is>
      </c>
      <c r="G4399" s="12" t="inlineStr">
        <is>
          <t>JB-SC-1 ammonia flow--SOL01</t>
        </is>
      </c>
      <c r="H4399" s="12" t="inlineStr">
        <is>
          <t>SC-1 ammonia flow-control unit</t>
        </is>
      </c>
      <c r="I4399" s="12" t="inlineStr">
        <is>
          <t>Control</t>
        </is>
      </c>
      <c r="J4399" s="12" t="inlineStr">
        <is>
          <t>Control cable 600 V Type TC-ER, Cu #14 AWG, PVC jacket</t>
        </is>
      </c>
      <c r="K4399" s="12" t="inlineStr">
        <is>
          <t>CT|2/C|14</t>
        </is>
      </c>
      <c r="L4399" s="12" t="inlineStr">
        <is>
          <t>2/C</t>
        </is>
      </c>
      <c r="M4399" s="12" t="inlineStr">
        <is>
          <t>14</t>
        </is>
      </c>
      <c r="N4399" s="12" t="n">
        <v>4</v>
      </c>
      <c r="O4399" s="12" t="n">
        <v>1</v>
      </c>
      <c r="P4399" s="12" t="n"/>
      <c r="Q4399" s="12" t="n"/>
      <c r="R4399" s="12" t="n"/>
      <c r="S4399" s="12" t="inlineStr">
        <is>
          <t>Tray / conduit</t>
        </is>
      </c>
      <c r="T4399" s="16" t="n">
        <v>40</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I-C-0166</t>
        </is>
      </c>
      <c r="B4400" s="12" t="inlineStr">
        <is>
          <t>I</t>
        </is>
      </c>
      <c r="C4400" s="12" t="inlineStr">
        <is>
          <t>Modular / portable power</t>
        </is>
      </c>
      <c r="D4400" s="12" t="inlineStr">
        <is>
          <t>Home run JB-SC-1 ammonia flow--SOL01 to the control / marshalling room</t>
        </is>
      </c>
      <c r="E4400" s="12" t="inlineStr"/>
      <c r="F4400" s="12" t="inlineStr">
        <is>
          <t>SC-1 PCM + 15 kV GCB</t>
        </is>
      </c>
      <c r="G4400" s="12" t="inlineStr">
        <is>
          <t>JB-SC-1 ammonia flow--SOL01</t>
        </is>
      </c>
      <c r="H4400" s="12" t="inlineStr">
        <is>
          <t>SC-1 ammonia flow-control unit</t>
        </is>
      </c>
      <c r="I4400" s="12" t="inlineStr">
        <is>
          <t>Control</t>
        </is>
      </c>
      <c r="J4400" s="12" t="inlineStr">
        <is>
          <t>Control cable 600 V Type TC-ER, Cu #14 AWG, PVC jacket</t>
        </is>
      </c>
      <c r="K4400" s="12" t="inlineStr">
        <is>
          <t>CT|25/C|14</t>
        </is>
      </c>
      <c r="L4400" s="12" t="inlineStr">
        <is>
          <t>25/C</t>
        </is>
      </c>
      <c r="M4400" s="12" t="inlineStr">
        <is>
          <t>14</t>
        </is>
      </c>
      <c r="N4400" s="12" t="n">
        <v>1</v>
      </c>
      <c r="O4400" s="12" t="n">
        <v>1</v>
      </c>
      <c r="P4400" s="12" t="n"/>
      <c r="Q4400" s="12" t="n"/>
      <c r="R4400" s="12" t="n"/>
      <c r="S4400" s="12" t="inlineStr">
        <is>
          <t>Tray</t>
        </is>
      </c>
      <c r="T4400" s="16" t="n">
        <v>0</v>
      </c>
      <c r="U4400" s="16" t="n">
        <v>152</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I-C-0167</t>
        </is>
      </c>
      <c r="B4401" s="12" t="inlineStr">
        <is>
          <t>I</t>
        </is>
      </c>
      <c r="C4401" s="12" t="inlineStr">
        <is>
          <t>Modular / portable power</t>
        </is>
      </c>
      <c r="D4401" s="12" t="inlineStr">
        <is>
          <t>Motor 1 of 1: control / local station</t>
        </is>
      </c>
      <c r="E4401" s="12" t="inlineStr"/>
      <c r="F4401" s="12" t="inlineStr">
        <is>
          <t>SC-1 PCM + 15 kV GCB</t>
        </is>
      </c>
      <c r="G4401" s="12" t="inlineStr"/>
      <c r="H4401" s="12" t="inlineStr">
        <is>
          <t>SC-1 auxiliary skids: fuel-gas module, water-wash skid</t>
        </is>
      </c>
      <c r="I4401" s="12" t="inlineStr">
        <is>
          <t>Control</t>
        </is>
      </c>
      <c r="J4401" s="12" t="inlineStr">
        <is>
          <t>ARMOR-X MC-HL 600 V control, Cu #14 AWG (Class I Div 2)</t>
        </is>
      </c>
      <c r="K4401" s="12" t="inlineStr">
        <is>
          <t>CTAX|7/C|14</t>
        </is>
      </c>
      <c r="L4401" s="12" t="inlineStr">
        <is>
          <t>7/C</t>
        </is>
      </c>
      <c r="M4401" s="12" t="inlineStr">
        <is>
          <t>14</t>
        </is>
      </c>
      <c r="N4401" s="12" t="n">
        <v>1</v>
      </c>
      <c r="O4401" s="12" t="n">
        <v>1</v>
      </c>
      <c r="P4401" s="12" t="n"/>
      <c r="Q4401" s="12" t="n"/>
      <c r="R4401" s="12" t="n"/>
      <c r="S4401" s="12" t="inlineStr">
        <is>
          <t>Tray</t>
        </is>
      </c>
      <c r="T4401" s="16" t="n">
        <v>0</v>
      </c>
      <c r="U4401" s="16" t="n">
        <v>77</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I-C-0168</t>
        </is>
      </c>
      <c r="B4402" s="12" t="inlineStr">
        <is>
          <t>I</t>
        </is>
      </c>
      <c r="C4402" s="12" t="inlineStr">
        <is>
          <t>Modular / portable power</t>
        </is>
      </c>
      <c r="D4402" s="12" t="inlineStr">
        <is>
          <t>Solenoid to JB JB-SC-1 auxiliary ski-SOL01: 4 x 2/C (field cables)</t>
        </is>
      </c>
      <c r="E4402" s="12" t="inlineStr"/>
      <c r="F4402" s="12" t="inlineStr">
        <is>
          <t>SC-1 auxiliary skids: fuel-gas module, water-wash skid</t>
        </is>
      </c>
      <c r="G4402" s="12" t="inlineStr">
        <is>
          <t>JB-SC-1 auxiliary ski-SOL01</t>
        </is>
      </c>
      <c r="H4402" s="12" t="inlineStr">
        <is>
          <t>SC-1 auxiliary skids: fuel-gas module, water-wash skid</t>
        </is>
      </c>
      <c r="I4402" s="12" t="inlineStr">
        <is>
          <t>Control</t>
        </is>
      </c>
      <c r="J4402" s="12" t="inlineStr">
        <is>
          <t>ARMOR-X MC-HL 600 V control, Cu #14 AWG (Class I Div 2)</t>
        </is>
      </c>
      <c r="K4402" s="12" t="inlineStr">
        <is>
          <t>CTAX|2/C|14</t>
        </is>
      </c>
      <c r="L4402" s="12" t="inlineStr">
        <is>
          <t>2/C</t>
        </is>
      </c>
      <c r="M4402" s="12" t="inlineStr">
        <is>
          <t>14</t>
        </is>
      </c>
      <c r="N4402" s="12" t="n">
        <v>4</v>
      </c>
      <c r="O4402" s="12" t="n">
        <v>1</v>
      </c>
      <c r="P4402" s="12" t="n"/>
      <c r="Q4402" s="12" t="n"/>
      <c r="R4402" s="12" t="n"/>
      <c r="S4402" s="12" t="inlineStr">
        <is>
          <t>Tray / conduit</t>
        </is>
      </c>
      <c r="T4402" s="16" t="n">
        <v>63</v>
      </c>
      <c r="U4402" s="16" t="n">
        <v>10</v>
      </c>
      <c r="V4402" s="16">
        <f>ROUNDUP((T4402+U4402+2*'Read Me'!$B$13)*(1+'Read Me'!$B$12),-1)</f>
        <v/>
      </c>
      <c r="W4402" s="16">
        <f>V4402*N4402*O4402</f>
        <v/>
      </c>
      <c r="X4402" s="12">
        <f>IF(LEFT(I4402,2)="MV",2*N4402*IF(L4402="1/C",O4402,1),0)</f>
        <v/>
      </c>
      <c r="Y4402" s="12">
        <f>IF(OR(LEFT(K4402,4)="LVAX",LEFT(K4402,6)="MV15AX",LEFT(K4402,4)="CTAX",LEFT(K4402,2)="W|"),2*N4402*O4402,0)</f>
        <v/>
      </c>
      <c r="Z4402" s="12" t="inlineStr">
        <is>
          <t>device-to-JB field wiring, one cable per device</t>
        </is>
      </c>
      <c r="AA4402" s="12">
        <f>N4402*O4402</f>
        <v/>
      </c>
    </row>
    <row r="4403">
      <c r="A4403" s="12" t="inlineStr">
        <is>
          <t>I-C-0169</t>
        </is>
      </c>
      <c r="B4403" s="12" t="inlineStr">
        <is>
          <t>I</t>
        </is>
      </c>
      <c r="C4403" s="12" t="inlineStr">
        <is>
          <t>Modular / portable power</t>
        </is>
      </c>
      <c r="D4403" s="12" t="inlineStr">
        <is>
          <t>Home run JB-SC-1 auxiliary ski-SOL01 to the control / marshalling room</t>
        </is>
      </c>
      <c r="E4403" s="12" t="inlineStr"/>
      <c r="F4403" s="12" t="inlineStr">
        <is>
          <t>SC-1 PCM + 15 kV GCB</t>
        </is>
      </c>
      <c r="G4403" s="12" t="inlineStr">
        <is>
          <t>JB-SC-1 auxiliary ski-SOL01</t>
        </is>
      </c>
      <c r="H4403" s="12" t="inlineStr">
        <is>
          <t>SC-1 auxiliary skids: fuel-gas module, water-wash skid</t>
        </is>
      </c>
      <c r="I4403" s="12" t="inlineStr">
        <is>
          <t>Control</t>
        </is>
      </c>
      <c r="J4403" s="12" t="inlineStr">
        <is>
          <t>ARMOR-X MC-HL 600 V control, Cu #14 AWG (Class I Div 2)</t>
        </is>
      </c>
      <c r="K4403" s="12" t="inlineStr">
        <is>
          <t>CTAX|25/C|14</t>
        </is>
      </c>
      <c r="L4403" s="12" t="inlineStr">
        <is>
          <t>25/C</t>
        </is>
      </c>
      <c r="M4403" s="12" t="inlineStr">
        <is>
          <t>14</t>
        </is>
      </c>
      <c r="N4403" s="12" t="n">
        <v>1</v>
      </c>
      <c r="O4403" s="12" t="n">
        <v>1</v>
      </c>
      <c r="P4403" s="12" t="n"/>
      <c r="Q4403" s="12" t="n"/>
      <c r="R4403" s="12" t="n"/>
      <c r="S4403" s="12" t="inlineStr">
        <is>
          <t>Tray</t>
        </is>
      </c>
      <c r="T4403" s="16" t="n">
        <v>0</v>
      </c>
      <c r="U4403" s="16" t="n">
        <v>77</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I-C-0170</t>
        </is>
      </c>
      <c r="B4404" s="12" t="inlineStr">
        <is>
          <t>I</t>
        </is>
      </c>
      <c r="C4404" s="12" t="inlineStr">
        <is>
          <t>Modular / portable power</t>
        </is>
      </c>
      <c r="D4404" s="12" t="inlineStr">
        <is>
          <t>Motor 1 of 4: control / local station</t>
        </is>
      </c>
      <c r="E4404" s="12" t="inlineStr"/>
      <c r="F4404" s="12" t="inlineStr">
        <is>
          <t>SC-1 PCM + 15 kV GCB</t>
        </is>
      </c>
      <c r="G4404" s="12" t="inlineStr"/>
      <c r="H4404" s="12" t="inlineStr">
        <is>
          <t>SC-1 lube-oil fin-fan cooler</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Tray</t>
        </is>
      </c>
      <c r="T4404" s="16" t="n">
        <v>0</v>
      </c>
      <c r="U4404" s="16" t="n">
        <v>82</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I-C-0171</t>
        </is>
      </c>
      <c r="B4405" s="12" t="inlineStr">
        <is>
          <t>I</t>
        </is>
      </c>
      <c r="C4405" s="12" t="inlineStr">
        <is>
          <t>Modular / portable power</t>
        </is>
      </c>
      <c r="D4405" s="12" t="inlineStr">
        <is>
          <t>Motor 2 of 4: control / local station</t>
        </is>
      </c>
      <c r="E4405" s="12" t="inlineStr"/>
      <c r="F4405" s="12" t="inlineStr">
        <is>
          <t>SC-1 PCM + 15 kV GCB</t>
        </is>
      </c>
      <c r="G4405" s="12" t="inlineStr"/>
      <c r="H4405" s="12" t="inlineStr">
        <is>
          <t>SC-1 lube-oil fin-fan cooler</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Tray</t>
        </is>
      </c>
      <c r="T4405" s="16" t="n">
        <v>0</v>
      </c>
      <c r="U4405" s="16" t="n">
        <v>82</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I-C-0172</t>
        </is>
      </c>
      <c r="B4406" s="12" t="inlineStr">
        <is>
          <t>I</t>
        </is>
      </c>
      <c r="C4406" s="12" t="inlineStr">
        <is>
          <t>Modular / portable power</t>
        </is>
      </c>
      <c r="D4406" s="12" t="inlineStr">
        <is>
          <t>Motor 3 of 4: control / local station</t>
        </is>
      </c>
      <c r="E4406" s="12" t="inlineStr"/>
      <c r="F4406" s="12" t="inlineStr">
        <is>
          <t>SC-1 PCM + 15 kV GCB</t>
        </is>
      </c>
      <c r="G4406" s="12" t="inlineStr"/>
      <c r="H4406" s="12" t="inlineStr">
        <is>
          <t>SC-1 lube-oil fin-fan cooler</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Tray</t>
        </is>
      </c>
      <c r="T4406" s="16" t="n">
        <v>0</v>
      </c>
      <c r="U4406" s="16" t="n">
        <v>82</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I-C-0173</t>
        </is>
      </c>
      <c r="B4407" s="12" t="inlineStr">
        <is>
          <t>I</t>
        </is>
      </c>
      <c r="C4407" s="12" t="inlineStr">
        <is>
          <t>Modular / portable power</t>
        </is>
      </c>
      <c r="D4407" s="12" t="inlineStr">
        <is>
          <t>Motor 4 of 4: control / local station</t>
        </is>
      </c>
      <c r="E4407" s="12" t="inlineStr"/>
      <c r="F4407" s="12" t="inlineStr">
        <is>
          <t>SC-1 PCM + 15 kV GCB</t>
        </is>
      </c>
      <c r="G4407" s="12" t="inlineStr"/>
      <c r="H4407" s="12" t="inlineStr">
        <is>
          <t>SC-1 lube-oil fin-fan cooler</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Tray</t>
        </is>
      </c>
      <c r="T4407" s="16" t="n">
        <v>0</v>
      </c>
      <c r="U4407" s="16" t="n">
        <v>82</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I-C-0174</t>
        </is>
      </c>
      <c r="B4408" s="12" t="inlineStr">
        <is>
          <t>I</t>
        </is>
      </c>
      <c r="C4408" s="12" t="inlineStr">
        <is>
          <t>Modular / portable power</t>
        </is>
      </c>
      <c r="D4408" s="12" t="inlineStr">
        <is>
          <t>Motor 1 of 2: control / local station</t>
        </is>
      </c>
      <c r="E4408" s="12" t="inlineStr"/>
      <c r="F4408" s="12" t="inlineStr">
        <is>
          <t>SC-1 PCM + 15 kV GCB</t>
        </is>
      </c>
      <c r="G4408" s="12" t="inlineStr"/>
      <c r="H4408" s="12" t="inlineStr">
        <is>
          <t>SC-1 tempering-air fans (2 x 100 %)</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Tray</t>
        </is>
      </c>
      <c r="T4408" s="16" t="n">
        <v>0</v>
      </c>
      <c r="U4408" s="16" t="n">
        <v>156</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I-C-0175</t>
        </is>
      </c>
      <c r="B4409" s="12" t="inlineStr">
        <is>
          <t>I</t>
        </is>
      </c>
      <c r="C4409" s="12" t="inlineStr">
        <is>
          <t>Modular / portable power</t>
        </is>
      </c>
      <c r="D4409" s="12" t="inlineStr">
        <is>
          <t>Motor 2 of 2: control / local station</t>
        </is>
      </c>
      <c r="E4409" s="12" t="inlineStr"/>
      <c r="F4409" s="12" t="inlineStr">
        <is>
          <t>SC-1 PCM + 15 kV GCB</t>
        </is>
      </c>
      <c r="G4409" s="12" t="inlineStr"/>
      <c r="H4409" s="12" t="inlineStr">
        <is>
          <t>SC-1 tempering-air fans (2 x 100 %)</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Tray</t>
        </is>
      </c>
      <c r="T4409" s="16" t="n">
        <v>0</v>
      </c>
      <c r="U4409" s="16" t="n">
        <v>156</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I-C-0176</t>
        </is>
      </c>
      <c r="B4410" s="12" t="inlineStr">
        <is>
          <t>I</t>
        </is>
      </c>
      <c r="C4410" s="12" t="inlineStr">
        <is>
          <t>Modular / portable power</t>
        </is>
      </c>
      <c r="D4410" s="12" t="inlineStr">
        <is>
          <t>Motor 1 of 10: control / local station</t>
        </is>
      </c>
      <c r="E4410" s="12" t="inlineStr"/>
      <c r="F4410" s="12" t="inlineStr">
        <is>
          <t>SC-1 PCM + 15 kV GCB</t>
        </is>
      </c>
      <c r="G4410" s="12" t="inlineStr">
        <is>
          <t>SC-1</t>
        </is>
      </c>
      <c r="H4410" s="12" t="inlineStr">
        <is>
          <t>SC-1: aeroderivative simple-cycle unit (LM6000 class)</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Tray</t>
        </is>
      </c>
      <c r="T4410" s="16" t="n">
        <v>0</v>
      </c>
      <c r="U4410" s="16" t="n">
        <v>64</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I-C-0177</t>
        </is>
      </c>
      <c r="B4411" s="12" t="inlineStr">
        <is>
          <t>I</t>
        </is>
      </c>
      <c r="C4411" s="12" t="inlineStr">
        <is>
          <t>Modular / portable power</t>
        </is>
      </c>
      <c r="D4411" s="12" t="inlineStr">
        <is>
          <t>Motor 2 of 10: control / local station</t>
        </is>
      </c>
      <c r="E4411" s="12" t="inlineStr"/>
      <c r="F4411" s="12" t="inlineStr">
        <is>
          <t>SC-1 PCM + 15 kV GCB</t>
        </is>
      </c>
      <c r="G4411" s="12" t="inlineStr">
        <is>
          <t>SC-1</t>
        </is>
      </c>
      <c r="H4411" s="12" t="inlineStr">
        <is>
          <t>SC-1: aeroderivative simple-cycle unit (LM6000 class)</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Tray</t>
        </is>
      </c>
      <c r="T4411" s="16" t="n">
        <v>0</v>
      </c>
      <c r="U4411" s="16" t="n">
        <v>64</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I-C-0178</t>
        </is>
      </c>
      <c r="B4412" s="12" t="inlineStr">
        <is>
          <t>I</t>
        </is>
      </c>
      <c r="C4412" s="12" t="inlineStr">
        <is>
          <t>Modular / portable power</t>
        </is>
      </c>
      <c r="D4412" s="12" t="inlineStr">
        <is>
          <t>Motor 3 of 10: control / local station</t>
        </is>
      </c>
      <c r="E4412" s="12" t="inlineStr"/>
      <c r="F4412" s="12" t="inlineStr">
        <is>
          <t>SC-1 PCM + 15 kV GCB</t>
        </is>
      </c>
      <c r="G4412" s="12" t="inlineStr">
        <is>
          <t>SC-1</t>
        </is>
      </c>
      <c r="H4412" s="12" t="inlineStr">
        <is>
          <t>SC-1: aeroderivative simple-cycle unit (LM6000 class)</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Tray</t>
        </is>
      </c>
      <c r="T4412" s="16" t="n">
        <v>0</v>
      </c>
      <c r="U4412" s="16" t="n">
        <v>64</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I-C-0179</t>
        </is>
      </c>
      <c r="B4413" s="12" t="inlineStr">
        <is>
          <t>I</t>
        </is>
      </c>
      <c r="C4413" s="12" t="inlineStr">
        <is>
          <t>Modular / portable power</t>
        </is>
      </c>
      <c r="D4413" s="12" t="inlineStr">
        <is>
          <t>Motor 4 of 10: control / local station</t>
        </is>
      </c>
      <c r="E4413" s="12" t="inlineStr"/>
      <c r="F4413" s="12" t="inlineStr">
        <is>
          <t>SC-1 PCM + 15 kV GCB</t>
        </is>
      </c>
      <c r="G4413" s="12" t="inlineStr">
        <is>
          <t>SC-1</t>
        </is>
      </c>
      <c r="H4413" s="12" t="inlineStr">
        <is>
          <t>SC-1: aeroderivative simple-cycle unit (LM6000 class)</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Tray</t>
        </is>
      </c>
      <c r="T4413" s="16" t="n">
        <v>0</v>
      </c>
      <c r="U4413" s="16" t="n">
        <v>64</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I-C-0180</t>
        </is>
      </c>
      <c r="B4414" s="12" t="inlineStr">
        <is>
          <t>I</t>
        </is>
      </c>
      <c r="C4414" s="12" t="inlineStr">
        <is>
          <t>Modular / portable power</t>
        </is>
      </c>
      <c r="D4414" s="12" t="inlineStr">
        <is>
          <t>Motor 5 of 10: control / local station</t>
        </is>
      </c>
      <c r="E4414" s="12" t="inlineStr"/>
      <c r="F4414" s="12" t="inlineStr">
        <is>
          <t>SC-1 PCM + 15 kV GCB</t>
        </is>
      </c>
      <c r="G4414" s="12" t="inlineStr">
        <is>
          <t>SC-1</t>
        </is>
      </c>
      <c r="H4414" s="12" t="inlineStr">
        <is>
          <t>SC-1: aeroderivative simple-cycle unit (LM6000 class)</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Tray</t>
        </is>
      </c>
      <c r="T4414" s="16" t="n">
        <v>0</v>
      </c>
      <c r="U4414" s="16" t="n">
        <v>64</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I-C-0181</t>
        </is>
      </c>
      <c r="B4415" s="12" t="inlineStr">
        <is>
          <t>I</t>
        </is>
      </c>
      <c r="C4415" s="12" t="inlineStr">
        <is>
          <t>Modular / portable power</t>
        </is>
      </c>
      <c r="D4415" s="12" t="inlineStr">
        <is>
          <t>Motor 6 of 10: control / local station</t>
        </is>
      </c>
      <c r="E4415" s="12" t="inlineStr"/>
      <c r="F4415" s="12" t="inlineStr">
        <is>
          <t>SC-1 PCM + 15 kV GCB</t>
        </is>
      </c>
      <c r="G4415" s="12" t="inlineStr">
        <is>
          <t>SC-1</t>
        </is>
      </c>
      <c r="H4415" s="12" t="inlineStr">
        <is>
          <t>SC-1: aeroderivative simple-cycle unit (LM6000 class)</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Tray</t>
        </is>
      </c>
      <c r="T4415" s="16" t="n">
        <v>0</v>
      </c>
      <c r="U4415" s="16" t="n">
        <v>64</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I-C-0182</t>
        </is>
      </c>
      <c r="B4416" s="12" t="inlineStr">
        <is>
          <t>I</t>
        </is>
      </c>
      <c r="C4416" s="12" t="inlineStr">
        <is>
          <t>Modular / portable power</t>
        </is>
      </c>
      <c r="D4416" s="12" t="inlineStr">
        <is>
          <t>Motor 7 of 10: control / local station</t>
        </is>
      </c>
      <c r="E4416" s="12" t="inlineStr"/>
      <c r="F4416" s="12" t="inlineStr">
        <is>
          <t>SC-1 PCM + 15 kV GCB</t>
        </is>
      </c>
      <c r="G4416" s="12" t="inlineStr">
        <is>
          <t>SC-1</t>
        </is>
      </c>
      <c r="H4416" s="12" t="inlineStr">
        <is>
          <t>SC-1: aeroderivative simple-cycle unit (LM6000 class)</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Tray</t>
        </is>
      </c>
      <c r="T4416" s="16" t="n">
        <v>0</v>
      </c>
      <c r="U4416" s="16" t="n">
        <v>64</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I-C-0183</t>
        </is>
      </c>
      <c r="B4417" s="12" t="inlineStr">
        <is>
          <t>I</t>
        </is>
      </c>
      <c r="C4417" s="12" t="inlineStr">
        <is>
          <t>Modular / portable power</t>
        </is>
      </c>
      <c r="D4417" s="12" t="inlineStr">
        <is>
          <t>Motor 8 of 10: control / local station</t>
        </is>
      </c>
      <c r="E4417" s="12" t="inlineStr"/>
      <c r="F4417" s="12" t="inlineStr">
        <is>
          <t>SC-1 PCM + 15 kV GCB</t>
        </is>
      </c>
      <c r="G4417" s="12" t="inlineStr">
        <is>
          <t>SC-1</t>
        </is>
      </c>
      <c r="H4417" s="12" t="inlineStr">
        <is>
          <t>SC-1: aeroderivative simple-cycle unit (LM6000 class)</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Tray</t>
        </is>
      </c>
      <c r="T4417" s="16" t="n">
        <v>0</v>
      </c>
      <c r="U4417" s="16" t="n">
        <v>64</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I-C-0184</t>
        </is>
      </c>
      <c r="B4418" s="12" t="inlineStr">
        <is>
          <t>I</t>
        </is>
      </c>
      <c r="C4418" s="12" t="inlineStr">
        <is>
          <t>Modular / portable power</t>
        </is>
      </c>
      <c r="D4418" s="12" t="inlineStr">
        <is>
          <t>Motor 9 of 10: control / local station</t>
        </is>
      </c>
      <c r="E4418" s="12" t="inlineStr"/>
      <c r="F4418" s="12" t="inlineStr">
        <is>
          <t>SC-1 PCM + 15 kV GCB</t>
        </is>
      </c>
      <c r="G4418" s="12" t="inlineStr">
        <is>
          <t>SC-1</t>
        </is>
      </c>
      <c r="H4418" s="12" t="inlineStr">
        <is>
          <t>SC-1: aeroderivative simple-cycle unit (LM6000 class)</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Tray</t>
        </is>
      </c>
      <c r="T4418" s="16" t="n">
        <v>0</v>
      </c>
      <c r="U4418" s="16" t="n">
        <v>64</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I-C-0185</t>
        </is>
      </c>
      <c r="B4419" s="12" t="inlineStr">
        <is>
          <t>I</t>
        </is>
      </c>
      <c r="C4419" s="12" t="inlineStr">
        <is>
          <t>Modular / portable power</t>
        </is>
      </c>
      <c r="D4419" s="12" t="inlineStr">
        <is>
          <t>Motor 10 of 10: control / local station</t>
        </is>
      </c>
      <c r="E4419" s="12" t="inlineStr"/>
      <c r="F4419" s="12" t="inlineStr">
        <is>
          <t>SC-1 PCM + 15 kV GCB</t>
        </is>
      </c>
      <c r="G4419" s="12" t="inlineStr">
        <is>
          <t>SC-1</t>
        </is>
      </c>
      <c r="H4419" s="12" t="inlineStr">
        <is>
          <t>SC-1: aeroderivative simple-cycle unit (LM6000 class)</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Tray</t>
        </is>
      </c>
      <c r="T4419" s="16" t="n">
        <v>0</v>
      </c>
      <c r="U4419" s="16" t="n">
        <v>64</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I-C-0186</t>
        </is>
      </c>
      <c r="B4420" s="12" t="inlineStr">
        <is>
          <t>I</t>
        </is>
      </c>
      <c r="C4420" s="12" t="inlineStr">
        <is>
          <t>Modular / portable power</t>
        </is>
      </c>
      <c r="D4420" s="12" t="inlineStr">
        <is>
          <t>Motor 1 of 2: control / local station</t>
        </is>
      </c>
      <c r="E4420" s="12" t="inlineStr"/>
      <c r="F4420" s="12" t="inlineStr">
        <is>
          <t>SC-2 PCM + 15 kV GCB</t>
        </is>
      </c>
      <c r="G4420" s="12" t="inlineStr"/>
      <c r="H4420" s="12" t="inlineStr">
        <is>
          <t>SC-2 CEMS shelter</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25</v>
      </c>
      <c r="U4420" s="16" t="n">
        <v>197</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I-C-0187</t>
        </is>
      </c>
      <c r="B4421" s="12" t="inlineStr">
        <is>
          <t>I</t>
        </is>
      </c>
      <c r="C4421" s="12" t="inlineStr">
        <is>
          <t>Modular / portable power</t>
        </is>
      </c>
      <c r="D4421" s="12" t="inlineStr">
        <is>
          <t>Motor 2 of 2: control / local station</t>
        </is>
      </c>
      <c r="E4421" s="12" t="inlineStr"/>
      <c r="F4421" s="12" t="inlineStr">
        <is>
          <t>SC-2 PCM + 15 kV GCB</t>
        </is>
      </c>
      <c r="G4421" s="12" t="inlineStr"/>
      <c r="H4421" s="12" t="inlineStr">
        <is>
          <t>SC-2 CEMS shelter</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25</v>
      </c>
      <c r="U4421" s="16" t="n">
        <v>197</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I-C-0188</t>
        </is>
      </c>
      <c r="B4422" s="12" t="inlineStr">
        <is>
          <t>I</t>
        </is>
      </c>
      <c r="C4422" s="12" t="inlineStr">
        <is>
          <t>Modular / portable power</t>
        </is>
      </c>
      <c r="D4422" s="12" t="inlineStr">
        <is>
          <t>SC-2 generator CT / VT secondaries to the PCM protection</t>
        </is>
      </c>
      <c r="E4422" s="12" t="inlineStr">
        <is>
          <t>SC-2</t>
        </is>
      </c>
      <c r="F4422" s="12" t="inlineStr">
        <is>
          <t>SC-2: aeroderivative simple-cycle unit (LM6000 class)</t>
        </is>
      </c>
      <c r="G4422" s="12" t="inlineStr"/>
      <c r="H4422" s="12" t="inlineStr">
        <is>
          <t>SC-2 PCM + 15 kV GCB</t>
        </is>
      </c>
      <c r="I4422" s="12" t="inlineStr">
        <is>
          <t>Control</t>
        </is>
      </c>
      <c r="J4422" s="12" t="inlineStr">
        <is>
          <t>Control cable 600 V Type TC-ER, Cu #10 AWG (CT / VT circuits)</t>
        </is>
      </c>
      <c r="K4422" s="12" t="inlineStr">
        <is>
          <t>CTCT|12/C|10</t>
        </is>
      </c>
      <c r="L4422" s="12" t="inlineStr">
        <is>
          <t>12/C</t>
        </is>
      </c>
      <c r="M4422" s="12" t="inlineStr">
        <is>
          <t>10</t>
        </is>
      </c>
      <c r="N4422" s="12" t="n">
        <v>2</v>
      </c>
      <c r="O4422" s="12" t="n">
        <v>1</v>
      </c>
      <c r="P4422" s="12" t="n"/>
      <c r="Q4422" s="12" t="n"/>
      <c r="R4422" s="12" t="n"/>
      <c r="S4422" s="12" t="inlineStr">
        <is>
          <t>Tray</t>
        </is>
      </c>
      <c r="T4422" s="16" t="n">
        <v>0</v>
      </c>
      <c r="U4422" s="16" t="n">
        <v>57</v>
      </c>
      <c r="V4422" s="16">
        <f>ROUNDUP((T4422+U4422+2*'Read Me'!$B$13)*(1+'Read Me'!$B$12),-1)</f>
        <v/>
      </c>
      <c r="W4422" s="16">
        <f>V4422*N4422*O4422</f>
        <v/>
      </c>
      <c r="X4422" s="12">
        <f>IF(LEFT(I4422,2)="MV",2*N4422*IF(L4422="1/C",O4422,1),0)</f>
        <v/>
      </c>
      <c r="Y4422" s="12">
        <f>IF(OR(LEFT(K4422,4)="LVAX",LEFT(K4422,6)="MV15AX",LEFT(K4422,4)="CTAX",LEFT(K4422,2)="W|"),2*N4422*O4422,0)</f>
        <v/>
      </c>
      <c r="Z4422" s="12" t="inlineStr">
        <is>
          <t>line-side and neutral CTs, VTs in the terminal box</t>
        </is>
      </c>
      <c r="AA4422" s="12">
        <f>N4422*O4422</f>
        <v/>
      </c>
    </row>
    <row r="4423">
      <c r="A4423" s="12" t="inlineStr">
        <is>
          <t>I-C-0189</t>
        </is>
      </c>
      <c r="B4423" s="12" t="inlineStr">
        <is>
          <t>I</t>
        </is>
      </c>
      <c r="C4423" s="12" t="inlineStr">
        <is>
          <t>Modular / portable power</t>
        </is>
      </c>
      <c r="D4423" s="12" t="inlineStr">
        <is>
          <t>Motor 1 of 2: control / local station</t>
        </is>
      </c>
      <c r="E4423" s="12" t="inlineStr"/>
      <c r="F4423" s="12" t="inlineStr">
        <is>
          <t>SC-2 PCM + 15 kV GCB</t>
        </is>
      </c>
      <c r="G4423" s="12" t="inlineStr"/>
      <c r="H4423" s="12" t="inlineStr">
        <is>
          <t>SC-2 ammonia flow-control unit</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Tray</t>
        </is>
      </c>
      <c r="T4423" s="16" t="n">
        <v>0</v>
      </c>
      <c r="U4423" s="16" t="n">
        <v>152</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I-C-0190</t>
        </is>
      </c>
      <c r="B4424" s="12" t="inlineStr">
        <is>
          <t>I</t>
        </is>
      </c>
      <c r="C4424" s="12" t="inlineStr">
        <is>
          <t>Modular / portable power</t>
        </is>
      </c>
      <c r="D4424" s="12" t="inlineStr">
        <is>
          <t>Motor 2 of 2: control / local station</t>
        </is>
      </c>
      <c r="E4424" s="12" t="inlineStr"/>
      <c r="F4424" s="12" t="inlineStr">
        <is>
          <t>SC-2 PCM + 15 kV GCB</t>
        </is>
      </c>
      <c r="G4424" s="12" t="inlineStr"/>
      <c r="H4424" s="12" t="inlineStr">
        <is>
          <t>SC-2 ammonia flow-control unit</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Tray</t>
        </is>
      </c>
      <c r="T4424" s="16" t="n">
        <v>0</v>
      </c>
      <c r="U4424" s="16" t="n">
        <v>152</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I-C-0191</t>
        </is>
      </c>
      <c r="B4425" s="12" t="inlineStr">
        <is>
          <t>I</t>
        </is>
      </c>
      <c r="C4425" s="12" t="inlineStr">
        <is>
          <t>Modular / portable power</t>
        </is>
      </c>
      <c r="D4425" s="12" t="inlineStr">
        <is>
          <t>Solenoid to JB JB-SC-2 ammonia flow--SOL01: 4 x 2/C (field cables)</t>
        </is>
      </c>
      <c r="E4425" s="12" t="inlineStr"/>
      <c r="F4425" s="12" t="inlineStr">
        <is>
          <t>SC-2 ammonia flow-control unit</t>
        </is>
      </c>
      <c r="G4425" s="12" t="inlineStr">
        <is>
          <t>JB-SC-2 ammonia flow--SOL01</t>
        </is>
      </c>
      <c r="H4425" s="12" t="inlineStr">
        <is>
          <t>SC-2 ammonia flow-control unit</t>
        </is>
      </c>
      <c r="I4425" s="12" t="inlineStr">
        <is>
          <t>Control</t>
        </is>
      </c>
      <c r="J4425" s="12" t="inlineStr">
        <is>
          <t>Control cable 600 V Type TC-ER, Cu #14 AWG, PVC jacket</t>
        </is>
      </c>
      <c r="K4425" s="12" t="inlineStr">
        <is>
          <t>CT|2/C|14</t>
        </is>
      </c>
      <c r="L4425" s="12" t="inlineStr">
        <is>
          <t>2/C</t>
        </is>
      </c>
      <c r="M4425" s="12" t="inlineStr">
        <is>
          <t>14</t>
        </is>
      </c>
      <c r="N4425" s="12" t="n">
        <v>4</v>
      </c>
      <c r="O4425" s="12" t="n">
        <v>1</v>
      </c>
      <c r="P4425" s="12" t="n"/>
      <c r="Q4425" s="12" t="n"/>
      <c r="R4425" s="12" t="n"/>
      <c r="S4425" s="12" t="inlineStr">
        <is>
          <t>Tray / conduit</t>
        </is>
      </c>
      <c r="T4425" s="16" t="n">
        <v>40</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I-C-0192</t>
        </is>
      </c>
      <c r="B4426" s="12" t="inlineStr">
        <is>
          <t>I</t>
        </is>
      </c>
      <c r="C4426" s="12" t="inlineStr">
        <is>
          <t>Modular / portable power</t>
        </is>
      </c>
      <c r="D4426" s="12" t="inlineStr">
        <is>
          <t>Home run JB-SC-2 ammonia flow--SOL01 to the control / marshalling room</t>
        </is>
      </c>
      <c r="E4426" s="12" t="inlineStr"/>
      <c r="F4426" s="12" t="inlineStr">
        <is>
          <t>SC-2 PCM + 15 kV GCB</t>
        </is>
      </c>
      <c r="G4426" s="12" t="inlineStr">
        <is>
          <t>JB-SC-2 ammonia flow--SOL01</t>
        </is>
      </c>
      <c r="H4426" s="12" t="inlineStr">
        <is>
          <t>SC-2 ammonia flow-control unit</t>
        </is>
      </c>
      <c r="I4426" s="12" t="inlineStr">
        <is>
          <t>Control</t>
        </is>
      </c>
      <c r="J4426" s="12" t="inlineStr">
        <is>
          <t>Control cable 600 V Type TC-ER, Cu #14 AWG, PVC jacket</t>
        </is>
      </c>
      <c r="K4426" s="12" t="inlineStr">
        <is>
          <t>CT|25/C|14</t>
        </is>
      </c>
      <c r="L4426" s="12" t="inlineStr">
        <is>
          <t>25/C</t>
        </is>
      </c>
      <c r="M4426" s="12" t="inlineStr">
        <is>
          <t>14</t>
        </is>
      </c>
      <c r="N4426" s="12" t="n">
        <v>1</v>
      </c>
      <c r="O4426" s="12" t="n">
        <v>1</v>
      </c>
      <c r="P4426" s="12" t="n"/>
      <c r="Q4426" s="12" t="n"/>
      <c r="R4426" s="12" t="n"/>
      <c r="S4426" s="12" t="inlineStr">
        <is>
          <t>Tray</t>
        </is>
      </c>
      <c r="T4426" s="16" t="n">
        <v>0</v>
      </c>
      <c r="U4426" s="16" t="n">
        <v>152</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I-C-0193</t>
        </is>
      </c>
      <c r="B4427" s="12" t="inlineStr">
        <is>
          <t>I</t>
        </is>
      </c>
      <c r="C4427" s="12" t="inlineStr">
        <is>
          <t>Modular / portable power</t>
        </is>
      </c>
      <c r="D4427" s="12" t="inlineStr">
        <is>
          <t>Motor 1 of 1: control / local station</t>
        </is>
      </c>
      <c r="E4427" s="12" t="inlineStr"/>
      <c r="F4427" s="12" t="inlineStr">
        <is>
          <t>SC-2 PCM + 15 kV GCB</t>
        </is>
      </c>
      <c r="G4427" s="12" t="inlineStr"/>
      <c r="H4427" s="12" t="inlineStr">
        <is>
          <t>SC-2 auxiliary skids: fuel-gas module, water-wash skid</t>
        </is>
      </c>
      <c r="I4427" s="12" t="inlineStr">
        <is>
          <t>Control</t>
        </is>
      </c>
      <c r="J4427" s="12" t="inlineStr">
        <is>
          <t>ARMOR-X MC-HL 600 V control, Cu #14 AWG (Class I Div 2)</t>
        </is>
      </c>
      <c r="K4427" s="12" t="inlineStr">
        <is>
          <t>CTAX|7/C|14</t>
        </is>
      </c>
      <c r="L4427" s="12" t="inlineStr">
        <is>
          <t>7/C</t>
        </is>
      </c>
      <c r="M4427" s="12" t="inlineStr">
        <is>
          <t>14</t>
        </is>
      </c>
      <c r="N4427" s="12" t="n">
        <v>1</v>
      </c>
      <c r="O4427" s="12" t="n">
        <v>1</v>
      </c>
      <c r="P4427" s="12" t="n"/>
      <c r="Q4427" s="12" t="n"/>
      <c r="R4427" s="12" t="n"/>
      <c r="S4427" s="12" t="inlineStr">
        <is>
          <t>Tray</t>
        </is>
      </c>
      <c r="T4427" s="16" t="n">
        <v>0</v>
      </c>
      <c r="U4427" s="16" t="n">
        <v>77</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I-C-0194</t>
        </is>
      </c>
      <c r="B4428" s="12" t="inlineStr">
        <is>
          <t>I</t>
        </is>
      </c>
      <c r="C4428" s="12" t="inlineStr">
        <is>
          <t>Modular / portable power</t>
        </is>
      </c>
      <c r="D4428" s="12" t="inlineStr">
        <is>
          <t>Solenoid to JB JB-SC-2 auxiliary ski-SOL01: 4 x 2/C (field cables)</t>
        </is>
      </c>
      <c r="E4428" s="12" t="inlineStr"/>
      <c r="F4428" s="12" t="inlineStr">
        <is>
          <t>SC-2 auxiliary skids: fuel-gas module, water-wash skid</t>
        </is>
      </c>
      <c r="G4428" s="12" t="inlineStr">
        <is>
          <t>JB-SC-2 auxiliary ski-SOL01</t>
        </is>
      </c>
      <c r="H4428" s="12" t="inlineStr">
        <is>
          <t>SC-2 auxiliary skids: fuel-gas module, water-wash skid</t>
        </is>
      </c>
      <c r="I4428" s="12" t="inlineStr">
        <is>
          <t>Control</t>
        </is>
      </c>
      <c r="J4428" s="12" t="inlineStr">
        <is>
          <t>ARMOR-X MC-HL 600 V control, Cu #14 AWG (Class I Div 2)</t>
        </is>
      </c>
      <c r="K4428" s="12" t="inlineStr">
        <is>
          <t>CTAX|2/C|14</t>
        </is>
      </c>
      <c r="L4428" s="12" t="inlineStr">
        <is>
          <t>2/C</t>
        </is>
      </c>
      <c r="M4428" s="12" t="inlineStr">
        <is>
          <t>14</t>
        </is>
      </c>
      <c r="N4428" s="12" t="n">
        <v>4</v>
      </c>
      <c r="O4428" s="12" t="n">
        <v>1</v>
      </c>
      <c r="P4428" s="12" t="n"/>
      <c r="Q4428" s="12" t="n"/>
      <c r="R4428" s="12" t="n"/>
      <c r="S4428" s="12" t="inlineStr">
        <is>
          <t>Tray / conduit</t>
        </is>
      </c>
      <c r="T4428" s="16" t="n">
        <v>63</v>
      </c>
      <c r="U4428" s="16" t="n">
        <v>10</v>
      </c>
      <c r="V4428" s="16">
        <f>ROUNDUP((T4428+U4428+2*'Read Me'!$B$13)*(1+'Read Me'!$B$12),-1)</f>
        <v/>
      </c>
      <c r="W4428" s="16">
        <f>V4428*N4428*O4428</f>
        <v/>
      </c>
      <c r="X4428" s="12">
        <f>IF(LEFT(I4428,2)="MV",2*N4428*IF(L4428="1/C",O4428,1),0)</f>
        <v/>
      </c>
      <c r="Y4428" s="12">
        <f>IF(OR(LEFT(K4428,4)="LVAX",LEFT(K4428,6)="MV15AX",LEFT(K4428,4)="CTAX",LEFT(K4428,2)="W|"),2*N4428*O4428,0)</f>
        <v/>
      </c>
      <c r="Z4428" s="12" t="inlineStr">
        <is>
          <t>device-to-JB field wiring, one cable per device</t>
        </is>
      </c>
      <c r="AA4428" s="12">
        <f>N4428*O4428</f>
        <v/>
      </c>
    </row>
    <row r="4429">
      <c r="A4429" s="12" t="inlineStr">
        <is>
          <t>I-C-0195</t>
        </is>
      </c>
      <c r="B4429" s="12" t="inlineStr">
        <is>
          <t>I</t>
        </is>
      </c>
      <c r="C4429" s="12" t="inlineStr">
        <is>
          <t>Modular / portable power</t>
        </is>
      </c>
      <c r="D4429" s="12" t="inlineStr">
        <is>
          <t>Home run JB-SC-2 auxiliary ski-SOL01 to the control / marshalling room</t>
        </is>
      </c>
      <c r="E4429" s="12" t="inlineStr"/>
      <c r="F4429" s="12" t="inlineStr">
        <is>
          <t>SC-2 PCM + 15 kV GCB</t>
        </is>
      </c>
      <c r="G4429" s="12" t="inlineStr">
        <is>
          <t>JB-SC-2 auxiliary ski-SOL01</t>
        </is>
      </c>
      <c r="H4429" s="12" t="inlineStr">
        <is>
          <t>SC-2 auxiliary skids: fuel-gas module, water-wash skid</t>
        </is>
      </c>
      <c r="I4429" s="12" t="inlineStr">
        <is>
          <t>Control</t>
        </is>
      </c>
      <c r="J4429" s="12" t="inlineStr">
        <is>
          <t>ARMOR-X MC-HL 600 V control, Cu #14 AWG (Class I Div 2)</t>
        </is>
      </c>
      <c r="K4429" s="12" t="inlineStr">
        <is>
          <t>CTAX|25/C|14</t>
        </is>
      </c>
      <c r="L4429" s="12" t="inlineStr">
        <is>
          <t>25/C</t>
        </is>
      </c>
      <c r="M4429" s="12" t="inlineStr">
        <is>
          <t>14</t>
        </is>
      </c>
      <c r="N4429" s="12" t="n">
        <v>1</v>
      </c>
      <c r="O4429" s="12" t="n">
        <v>1</v>
      </c>
      <c r="P4429" s="12" t="n"/>
      <c r="Q4429" s="12" t="n"/>
      <c r="R4429" s="12" t="n"/>
      <c r="S4429" s="12" t="inlineStr">
        <is>
          <t>Tray</t>
        </is>
      </c>
      <c r="T4429" s="16" t="n">
        <v>0</v>
      </c>
      <c r="U4429" s="16" t="n">
        <v>77</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I-C-0196</t>
        </is>
      </c>
      <c r="B4430" s="12" t="inlineStr">
        <is>
          <t>I</t>
        </is>
      </c>
      <c r="C4430" s="12" t="inlineStr">
        <is>
          <t>Modular / portable power</t>
        </is>
      </c>
      <c r="D4430" s="12" t="inlineStr">
        <is>
          <t>Motor 1 of 4: control / local station</t>
        </is>
      </c>
      <c r="E4430" s="12" t="inlineStr"/>
      <c r="F4430" s="12" t="inlineStr">
        <is>
          <t>SC-2 PCM + 15 kV GCB</t>
        </is>
      </c>
      <c r="G4430" s="12" t="inlineStr"/>
      <c r="H4430" s="12" t="inlineStr">
        <is>
          <t>SC-2 lube-oil fin-fan cooler</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Tray</t>
        </is>
      </c>
      <c r="T4430" s="16" t="n">
        <v>0</v>
      </c>
      <c r="U4430" s="16" t="n">
        <v>82</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I-C-0197</t>
        </is>
      </c>
      <c r="B4431" s="12" t="inlineStr">
        <is>
          <t>I</t>
        </is>
      </c>
      <c r="C4431" s="12" t="inlineStr">
        <is>
          <t>Modular / portable power</t>
        </is>
      </c>
      <c r="D4431" s="12" t="inlineStr">
        <is>
          <t>Motor 2 of 4: control / local station</t>
        </is>
      </c>
      <c r="E4431" s="12" t="inlineStr"/>
      <c r="F4431" s="12" t="inlineStr">
        <is>
          <t>SC-2 PCM + 15 kV GCB</t>
        </is>
      </c>
      <c r="G4431" s="12" t="inlineStr"/>
      <c r="H4431" s="12" t="inlineStr">
        <is>
          <t>SC-2 lube-oil fin-fan cooler</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Tray</t>
        </is>
      </c>
      <c r="T4431" s="16" t="n">
        <v>0</v>
      </c>
      <c r="U4431" s="16" t="n">
        <v>82</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I-C-0198</t>
        </is>
      </c>
      <c r="B4432" s="12" t="inlineStr">
        <is>
          <t>I</t>
        </is>
      </c>
      <c r="C4432" s="12" t="inlineStr">
        <is>
          <t>Modular / portable power</t>
        </is>
      </c>
      <c r="D4432" s="12" t="inlineStr">
        <is>
          <t>Motor 3 of 4: control / local station</t>
        </is>
      </c>
      <c r="E4432" s="12" t="inlineStr"/>
      <c r="F4432" s="12" t="inlineStr">
        <is>
          <t>SC-2 PCM + 15 kV GCB</t>
        </is>
      </c>
      <c r="G4432" s="12" t="inlineStr"/>
      <c r="H4432" s="12" t="inlineStr">
        <is>
          <t>SC-2 lube-oil fin-fan cooler</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Tray</t>
        </is>
      </c>
      <c r="T4432" s="16" t="n">
        <v>0</v>
      </c>
      <c r="U4432" s="16" t="n">
        <v>82</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I-C-0199</t>
        </is>
      </c>
      <c r="B4433" s="12" t="inlineStr">
        <is>
          <t>I</t>
        </is>
      </c>
      <c r="C4433" s="12" t="inlineStr">
        <is>
          <t>Modular / portable power</t>
        </is>
      </c>
      <c r="D4433" s="12" t="inlineStr">
        <is>
          <t>Motor 4 of 4: control / local station</t>
        </is>
      </c>
      <c r="E4433" s="12" t="inlineStr"/>
      <c r="F4433" s="12" t="inlineStr">
        <is>
          <t>SC-2 PCM + 15 kV GCB</t>
        </is>
      </c>
      <c r="G4433" s="12" t="inlineStr"/>
      <c r="H4433" s="12" t="inlineStr">
        <is>
          <t>SC-2 lube-oil fin-fan cooler</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Tray</t>
        </is>
      </c>
      <c r="T4433" s="16" t="n">
        <v>0</v>
      </c>
      <c r="U4433" s="16" t="n">
        <v>82</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I-C-0200</t>
        </is>
      </c>
      <c r="B4434" s="12" t="inlineStr">
        <is>
          <t>I</t>
        </is>
      </c>
      <c r="C4434" s="12" t="inlineStr">
        <is>
          <t>Modular / portable power</t>
        </is>
      </c>
      <c r="D4434" s="12" t="inlineStr">
        <is>
          <t>Motor 1 of 2: control / local station</t>
        </is>
      </c>
      <c r="E4434" s="12" t="inlineStr"/>
      <c r="F4434" s="12" t="inlineStr">
        <is>
          <t>SC-2 PCM + 15 kV GCB</t>
        </is>
      </c>
      <c r="G4434" s="12" t="inlineStr"/>
      <c r="H4434" s="12" t="inlineStr">
        <is>
          <t>SC-2 tempering-air fans (2 x 100 %)</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6" t="n">
        <v>25</v>
      </c>
      <c r="U4434" s="16" t="n">
        <v>124</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I-C-0201</t>
        </is>
      </c>
      <c r="B4435" s="12" t="inlineStr">
        <is>
          <t>I</t>
        </is>
      </c>
      <c r="C4435" s="12" t="inlineStr">
        <is>
          <t>Modular / portable power</t>
        </is>
      </c>
      <c r="D4435" s="12" t="inlineStr">
        <is>
          <t>Motor 2 of 2: control / local station</t>
        </is>
      </c>
      <c r="E4435" s="12" t="inlineStr"/>
      <c r="F4435" s="12" t="inlineStr">
        <is>
          <t>SC-2 PCM + 15 kV GCB</t>
        </is>
      </c>
      <c r="G4435" s="12" t="inlineStr"/>
      <c r="H4435" s="12" t="inlineStr">
        <is>
          <t>SC-2 tempering-air fans (2 x 100 %)</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6" t="n">
        <v>25</v>
      </c>
      <c r="U4435" s="16" t="n">
        <v>124</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I-C-0202</t>
        </is>
      </c>
      <c r="B4436" s="12" t="inlineStr">
        <is>
          <t>I</t>
        </is>
      </c>
      <c r="C4436" s="12" t="inlineStr">
        <is>
          <t>Modular / portable power</t>
        </is>
      </c>
      <c r="D4436" s="12" t="inlineStr">
        <is>
          <t>Motor 1 of 10: control / local station</t>
        </is>
      </c>
      <c r="E4436" s="12" t="inlineStr"/>
      <c r="F4436" s="12" t="inlineStr">
        <is>
          <t>SC-2 PCM + 15 kV GCB</t>
        </is>
      </c>
      <c r="G4436" s="12" t="inlineStr">
        <is>
          <t>SC-2</t>
        </is>
      </c>
      <c r="H4436" s="12" t="inlineStr">
        <is>
          <t>SC-2: aeroderivative simple-cycle unit (LM6000 class)</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Duct bank</t>
        </is>
      </c>
      <c r="T4436" s="16" t="n">
        <v>25</v>
      </c>
      <c r="U4436" s="16" t="n">
        <v>32</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I-C-0203</t>
        </is>
      </c>
      <c r="B4437" s="12" t="inlineStr">
        <is>
          <t>I</t>
        </is>
      </c>
      <c r="C4437" s="12" t="inlineStr">
        <is>
          <t>Modular / portable power</t>
        </is>
      </c>
      <c r="D4437" s="12" t="inlineStr">
        <is>
          <t>Motor 2 of 10: control / local station</t>
        </is>
      </c>
      <c r="E4437" s="12" t="inlineStr"/>
      <c r="F4437" s="12" t="inlineStr">
        <is>
          <t>SC-2 PCM + 15 kV GCB</t>
        </is>
      </c>
      <c r="G4437" s="12" t="inlineStr">
        <is>
          <t>SC-2</t>
        </is>
      </c>
      <c r="H4437" s="12" t="inlineStr">
        <is>
          <t>SC-2: aeroderivative simple-cycle unit (LM6000 class)</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6" t="n">
        <v>25</v>
      </c>
      <c r="U4437" s="16" t="n">
        <v>32</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I-C-0204</t>
        </is>
      </c>
      <c r="B4438" s="12" t="inlineStr">
        <is>
          <t>I</t>
        </is>
      </c>
      <c r="C4438" s="12" t="inlineStr">
        <is>
          <t>Modular / portable power</t>
        </is>
      </c>
      <c r="D4438" s="12" t="inlineStr">
        <is>
          <t>Motor 3 of 10: control / local station</t>
        </is>
      </c>
      <c r="E4438" s="12" t="inlineStr"/>
      <c r="F4438" s="12" t="inlineStr">
        <is>
          <t>SC-2 PCM + 15 kV GCB</t>
        </is>
      </c>
      <c r="G4438" s="12" t="inlineStr">
        <is>
          <t>SC-2</t>
        </is>
      </c>
      <c r="H4438" s="12" t="inlineStr">
        <is>
          <t>SC-2: aeroderivative simple-cycle unit (LM6000 class)</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6" t="n">
        <v>25</v>
      </c>
      <c r="U4438" s="16" t="n">
        <v>32</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I-C-0205</t>
        </is>
      </c>
      <c r="B4439" s="12" t="inlineStr">
        <is>
          <t>I</t>
        </is>
      </c>
      <c r="C4439" s="12" t="inlineStr">
        <is>
          <t>Modular / portable power</t>
        </is>
      </c>
      <c r="D4439" s="12" t="inlineStr">
        <is>
          <t>Motor 4 of 10: control / local station</t>
        </is>
      </c>
      <c r="E4439" s="12" t="inlineStr"/>
      <c r="F4439" s="12" t="inlineStr">
        <is>
          <t>SC-2 PCM + 15 kV GCB</t>
        </is>
      </c>
      <c r="G4439" s="12" t="inlineStr">
        <is>
          <t>SC-2</t>
        </is>
      </c>
      <c r="H4439" s="12" t="inlineStr">
        <is>
          <t>SC-2: aeroderivative simple-cycle unit (LM6000 class)</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6" t="n">
        <v>25</v>
      </c>
      <c r="U4439" s="16" t="n">
        <v>32</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I-C-0206</t>
        </is>
      </c>
      <c r="B4440" s="12" t="inlineStr">
        <is>
          <t>I</t>
        </is>
      </c>
      <c r="C4440" s="12" t="inlineStr">
        <is>
          <t>Modular / portable power</t>
        </is>
      </c>
      <c r="D4440" s="12" t="inlineStr">
        <is>
          <t>Motor 5 of 10: control / local station</t>
        </is>
      </c>
      <c r="E4440" s="12" t="inlineStr"/>
      <c r="F4440" s="12" t="inlineStr">
        <is>
          <t>SC-2 PCM + 15 kV GCB</t>
        </is>
      </c>
      <c r="G4440" s="12" t="inlineStr">
        <is>
          <t>SC-2</t>
        </is>
      </c>
      <c r="H4440" s="12" t="inlineStr">
        <is>
          <t>SC-2: aeroderivative simple-cycle unit (LM6000 class)</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6" t="n">
        <v>25</v>
      </c>
      <c r="U4440" s="16" t="n">
        <v>32</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I-C-0207</t>
        </is>
      </c>
      <c r="B4441" s="12" t="inlineStr">
        <is>
          <t>I</t>
        </is>
      </c>
      <c r="C4441" s="12" t="inlineStr">
        <is>
          <t>Modular / portable power</t>
        </is>
      </c>
      <c r="D4441" s="12" t="inlineStr">
        <is>
          <t>Motor 6 of 10: control / local station</t>
        </is>
      </c>
      <c r="E4441" s="12" t="inlineStr"/>
      <c r="F4441" s="12" t="inlineStr">
        <is>
          <t>SC-2 PCM + 15 kV GCB</t>
        </is>
      </c>
      <c r="G4441" s="12" t="inlineStr">
        <is>
          <t>SC-2</t>
        </is>
      </c>
      <c r="H4441" s="12" t="inlineStr">
        <is>
          <t>SC-2: aeroderivative simple-cycle unit (LM6000 class)</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Duct bank</t>
        </is>
      </c>
      <c r="T4441" s="16" t="n">
        <v>25</v>
      </c>
      <c r="U4441" s="16" t="n">
        <v>32</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I-C-0208</t>
        </is>
      </c>
      <c r="B4442" s="12" t="inlineStr">
        <is>
          <t>I</t>
        </is>
      </c>
      <c r="C4442" s="12" t="inlineStr">
        <is>
          <t>Modular / portable power</t>
        </is>
      </c>
      <c r="D4442" s="12" t="inlineStr">
        <is>
          <t>Motor 7 of 10: control / local station</t>
        </is>
      </c>
      <c r="E4442" s="12" t="inlineStr"/>
      <c r="F4442" s="12" t="inlineStr">
        <is>
          <t>SC-2 PCM + 15 kV GCB</t>
        </is>
      </c>
      <c r="G4442" s="12" t="inlineStr">
        <is>
          <t>SC-2</t>
        </is>
      </c>
      <c r="H4442" s="12" t="inlineStr">
        <is>
          <t>SC-2: aeroderivative simple-cycle unit (LM6000 class)</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Duct bank</t>
        </is>
      </c>
      <c r="T4442" s="16" t="n">
        <v>25</v>
      </c>
      <c r="U4442" s="16" t="n">
        <v>32</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I-C-0209</t>
        </is>
      </c>
      <c r="B4443" s="12" t="inlineStr">
        <is>
          <t>I</t>
        </is>
      </c>
      <c r="C4443" s="12" t="inlineStr">
        <is>
          <t>Modular / portable power</t>
        </is>
      </c>
      <c r="D4443" s="12" t="inlineStr">
        <is>
          <t>Motor 8 of 10: control / local station</t>
        </is>
      </c>
      <c r="E4443" s="12" t="inlineStr"/>
      <c r="F4443" s="12" t="inlineStr">
        <is>
          <t>SC-2 PCM + 15 kV GCB</t>
        </is>
      </c>
      <c r="G4443" s="12" t="inlineStr">
        <is>
          <t>SC-2</t>
        </is>
      </c>
      <c r="H4443" s="12" t="inlineStr">
        <is>
          <t>SC-2: aeroderivative simple-cycle unit (LM6000 class)</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Duct bank</t>
        </is>
      </c>
      <c r="T4443" s="16" t="n">
        <v>25</v>
      </c>
      <c r="U4443" s="16" t="n">
        <v>32</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I-C-0210</t>
        </is>
      </c>
      <c r="B4444" s="12" t="inlineStr">
        <is>
          <t>I</t>
        </is>
      </c>
      <c r="C4444" s="12" t="inlineStr">
        <is>
          <t>Modular / portable power</t>
        </is>
      </c>
      <c r="D4444" s="12" t="inlineStr">
        <is>
          <t>Motor 9 of 10: control / local station</t>
        </is>
      </c>
      <c r="E4444" s="12" t="inlineStr"/>
      <c r="F4444" s="12" t="inlineStr">
        <is>
          <t>SC-2 PCM + 15 kV GCB</t>
        </is>
      </c>
      <c r="G4444" s="12" t="inlineStr">
        <is>
          <t>SC-2</t>
        </is>
      </c>
      <c r="H4444" s="12" t="inlineStr">
        <is>
          <t>SC-2: aeroderivative simple-cycle unit (LM6000 class)</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Duct bank</t>
        </is>
      </c>
      <c r="T4444" s="16" t="n">
        <v>25</v>
      </c>
      <c r="U4444" s="16" t="n">
        <v>32</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I-C-0211</t>
        </is>
      </c>
      <c r="B4445" s="12" t="inlineStr">
        <is>
          <t>I</t>
        </is>
      </c>
      <c r="C4445" s="12" t="inlineStr">
        <is>
          <t>Modular / portable power</t>
        </is>
      </c>
      <c r="D4445" s="12" t="inlineStr">
        <is>
          <t>Motor 10 of 10: control / local station</t>
        </is>
      </c>
      <c r="E4445" s="12" t="inlineStr"/>
      <c r="F4445" s="12" t="inlineStr">
        <is>
          <t>SC-2 PCM + 15 kV GCB</t>
        </is>
      </c>
      <c r="G4445" s="12" t="inlineStr">
        <is>
          <t>SC-2</t>
        </is>
      </c>
      <c r="H4445" s="12" t="inlineStr">
        <is>
          <t>SC-2: aeroderivative simple-cycle unit (LM6000 class)</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Duct bank</t>
        </is>
      </c>
      <c r="T4445" s="16" t="n">
        <v>25</v>
      </c>
      <c r="U4445" s="16" t="n">
        <v>32</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I-C-0212</t>
        </is>
      </c>
      <c r="B4446" s="12" t="inlineStr">
        <is>
          <t>I</t>
        </is>
      </c>
      <c r="C4446" s="12" t="inlineStr">
        <is>
          <t>Modular / portable power</t>
        </is>
      </c>
      <c r="D4446" s="12" t="inlineStr">
        <is>
          <t>Motor 1 of 6: control / local station</t>
        </is>
      </c>
      <c r="E4446" s="12" t="inlineStr"/>
      <c r="F4446" s="12" t="inlineStr">
        <is>
          <t>MOD-LV 480 V board + 480 V : 13.8 kV step-up</t>
        </is>
      </c>
      <c r="G4446" s="12" t="inlineStr"/>
      <c r="H4446" s="12" t="inlineStr">
        <is>
          <t>T-MOD 230 kV take-off gantry with arresters</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Duct bank</t>
        </is>
      </c>
      <c r="T4446" s="16" t="n">
        <v>357</v>
      </c>
      <c r="U4446" s="16" t="n">
        <v>128</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I-C-0213</t>
        </is>
      </c>
      <c r="B4447" s="12" t="inlineStr">
        <is>
          <t>I</t>
        </is>
      </c>
      <c r="C4447" s="12" t="inlineStr">
        <is>
          <t>Modular / portable power</t>
        </is>
      </c>
      <c r="D4447" s="12" t="inlineStr">
        <is>
          <t>Motor 2 of 6: control / local station</t>
        </is>
      </c>
      <c r="E4447" s="12" t="inlineStr"/>
      <c r="F4447" s="12" t="inlineStr">
        <is>
          <t>MOD-LV 480 V board + 480 V : 13.8 kV step-up</t>
        </is>
      </c>
      <c r="G4447" s="12" t="inlineStr"/>
      <c r="H4447" s="12" t="inlineStr">
        <is>
          <t>T-MOD 230 kV take-off gantry with arresters</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Duct bank</t>
        </is>
      </c>
      <c r="T4447" s="16" t="n">
        <v>357</v>
      </c>
      <c r="U4447" s="16" t="n">
        <v>128</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I-C-0214</t>
        </is>
      </c>
      <c r="B4448" s="12" t="inlineStr">
        <is>
          <t>I</t>
        </is>
      </c>
      <c r="C4448" s="12" t="inlineStr">
        <is>
          <t>Modular / portable power</t>
        </is>
      </c>
      <c r="D4448" s="12" t="inlineStr">
        <is>
          <t>Motor 3 of 6: control / local station</t>
        </is>
      </c>
      <c r="E4448" s="12" t="inlineStr"/>
      <c r="F4448" s="12" t="inlineStr">
        <is>
          <t>MOD-LV 480 V board + 480 V : 13.8 kV step-up</t>
        </is>
      </c>
      <c r="G4448" s="12" t="inlineStr"/>
      <c r="H4448" s="12" t="inlineStr">
        <is>
          <t>T-MOD 230 kV take-off gantry with arresters</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6" t="n">
        <v>357</v>
      </c>
      <c r="U4448" s="16" t="n">
        <v>128</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I-C-0215</t>
        </is>
      </c>
      <c r="B4449" s="12" t="inlineStr">
        <is>
          <t>I</t>
        </is>
      </c>
      <c r="C4449" s="12" t="inlineStr">
        <is>
          <t>Modular / portable power</t>
        </is>
      </c>
      <c r="D4449" s="12" t="inlineStr">
        <is>
          <t>Motor 4 of 6: control / local station</t>
        </is>
      </c>
      <c r="E4449" s="12" t="inlineStr"/>
      <c r="F4449" s="12" t="inlineStr">
        <is>
          <t>MOD-LV 480 V board + 480 V : 13.8 kV step-up</t>
        </is>
      </c>
      <c r="G4449" s="12" t="inlineStr"/>
      <c r="H4449" s="12" t="inlineStr">
        <is>
          <t>T-MOD 230 kV take-off gantry with arresters</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6" t="n">
        <v>357</v>
      </c>
      <c r="U4449" s="16" t="n">
        <v>128</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I-C-0216</t>
        </is>
      </c>
      <c r="B4450" s="12" t="inlineStr">
        <is>
          <t>I</t>
        </is>
      </c>
      <c r="C4450" s="12" t="inlineStr">
        <is>
          <t>Modular / portable power</t>
        </is>
      </c>
      <c r="D4450" s="12" t="inlineStr">
        <is>
          <t>Motor 5 of 6: control / local station</t>
        </is>
      </c>
      <c r="E4450" s="12" t="inlineStr"/>
      <c r="F4450" s="12" t="inlineStr">
        <is>
          <t>MOD-LV 480 V board + 480 V : 13.8 kV step-up</t>
        </is>
      </c>
      <c r="G4450" s="12" t="inlineStr"/>
      <c r="H4450" s="12" t="inlineStr">
        <is>
          <t>T-MOD 230 kV take-off gantry with arresters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Duct bank</t>
        </is>
      </c>
      <c r="T4450" s="16" t="n">
        <v>357</v>
      </c>
      <c r="U4450" s="16" t="n">
        <v>128</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I-C-0217</t>
        </is>
      </c>
      <c r="B4451" s="12" t="inlineStr">
        <is>
          <t>I</t>
        </is>
      </c>
      <c r="C4451" s="12" t="inlineStr">
        <is>
          <t>Modular / portable power</t>
        </is>
      </c>
      <c r="D4451" s="12" t="inlineStr">
        <is>
          <t>Motor 6 of 6: control / local station</t>
        </is>
      </c>
      <c r="E4451" s="12" t="inlineStr"/>
      <c r="F4451" s="12" t="inlineStr">
        <is>
          <t>MOD-LV 480 V board + 480 V : 13.8 kV step-up</t>
        </is>
      </c>
      <c r="G4451" s="12" t="inlineStr"/>
      <c r="H4451" s="12" t="inlineStr">
        <is>
          <t>T-MOD 230 kV take-off gantry with arresters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Duct bank</t>
        </is>
      </c>
      <c r="T4451" s="16" t="n">
        <v>357</v>
      </c>
      <c r="U4451" s="16" t="n">
        <v>128</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I-C-0218</t>
        </is>
      </c>
      <c r="B4452" s="12" t="inlineStr">
        <is>
          <t>I</t>
        </is>
      </c>
      <c r="C4452" s="12" t="inlineStr">
        <is>
          <t>Modular / portable power</t>
        </is>
      </c>
      <c r="D4452" s="12" t="inlineStr">
        <is>
          <t>Motor 1 of 6: control / local station</t>
        </is>
      </c>
      <c r="E4452" s="12" t="inlineStr"/>
      <c r="F4452" s="12" t="inlineStr">
        <is>
          <t>MOD-LV 480 V board + 480 V : 13.8 kV step-up</t>
        </is>
      </c>
      <c r="G4452" s="12" t="inlineStr"/>
      <c r="H4452" s="12" t="inlineStr">
        <is>
          <t>T-MOD-1 / T-MOD-2 firewall</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Duct bank</t>
        </is>
      </c>
      <c r="T4452" s="16" t="n">
        <v>349</v>
      </c>
      <c r="U4452" s="16" t="n">
        <v>130</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I-C-0219</t>
        </is>
      </c>
      <c r="B4453" s="12" t="inlineStr">
        <is>
          <t>I</t>
        </is>
      </c>
      <c r="C4453" s="12" t="inlineStr">
        <is>
          <t>Modular / portable power</t>
        </is>
      </c>
      <c r="D4453" s="12" t="inlineStr">
        <is>
          <t>Motor 2 of 6: control / local station</t>
        </is>
      </c>
      <c r="E4453" s="12" t="inlineStr"/>
      <c r="F4453" s="12" t="inlineStr">
        <is>
          <t>MOD-LV 480 V board + 480 V : 13.8 kV step-up</t>
        </is>
      </c>
      <c r="G4453" s="12" t="inlineStr"/>
      <c r="H4453" s="12" t="inlineStr">
        <is>
          <t>T-MOD-1 / T-MOD-2 firewall</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Duct bank</t>
        </is>
      </c>
      <c r="T4453" s="16" t="n">
        <v>349</v>
      </c>
      <c r="U4453" s="16" t="n">
        <v>130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I-C-0220</t>
        </is>
      </c>
      <c r="B4454" s="12" t="inlineStr">
        <is>
          <t>I</t>
        </is>
      </c>
      <c r="C4454" s="12" t="inlineStr">
        <is>
          <t>Modular / portable power</t>
        </is>
      </c>
      <c r="D4454" s="12" t="inlineStr">
        <is>
          <t>Motor 3 of 6: control / local station</t>
        </is>
      </c>
      <c r="E4454" s="12" t="inlineStr"/>
      <c r="F4454" s="12" t="inlineStr">
        <is>
          <t>MOD-LV 480 V board + 480 V : 13.8 kV step-up</t>
        </is>
      </c>
      <c r="G4454" s="12" t="inlineStr"/>
      <c r="H4454" s="12" t="inlineStr">
        <is>
          <t>T-MOD-1 / T-MOD-2 firewall</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Duct bank</t>
        </is>
      </c>
      <c r="T4454" s="16" t="n">
        <v>349</v>
      </c>
      <c r="U4454" s="16" t="n">
        <v>130</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I-C-0221</t>
        </is>
      </c>
      <c r="B4455" s="12" t="inlineStr">
        <is>
          <t>I</t>
        </is>
      </c>
      <c r="C4455" s="12" t="inlineStr">
        <is>
          <t>Modular / portable power</t>
        </is>
      </c>
      <c r="D4455" s="12" t="inlineStr">
        <is>
          <t>Motor 4 of 6: control / local station</t>
        </is>
      </c>
      <c r="E4455" s="12" t="inlineStr"/>
      <c r="F4455" s="12" t="inlineStr">
        <is>
          <t>MOD-LV 480 V board + 480 V : 13.8 kV step-up</t>
        </is>
      </c>
      <c r="G4455" s="12" t="inlineStr"/>
      <c r="H4455" s="12" t="inlineStr">
        <is>
          <t>T-MOD-1 / T-MOD-2 firewall</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Duct bank</t>
        </is>
      </c>
      <c r="T4455" s="16" t="n">
        <v>349</v>
      </c>
      <c r="U4455" s="16" t="n">
        <v>130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I-C-0222</t>
        </is>
      </c>
      <c r="B4456" s="12" t="inlineStr">
        <is>
          <t>I</t>
        </is>
      </c>
      <c r="C4456" s="12" t="inlineStr">
        <is>
          <t>Modular / portable power</t>
        </is>
      </c>
      <c r="D4456" s="12" t="inlineStr">
        <is>
          <t>Motor 5 of 6: control / local station</t>
        </is>
      </c>
      <c r="E4456" s="12" t="inlineStr"/>
      <c r="F4456" s="12" t="inlineStr">
        <is>
          <t>MOD-LV 480 V board + 480 V : 13.8 kV step-up</t>
        </is>
      </c>
      <c r="G4456" s="12" t="inlineStr"/>
      <c r="H4456" s="12" t="inlineStr">
        <is>
          <t>T-MOD-1 / T-MOD-2 firewall</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Duct bank</t>
        </is>
      </c>
      <c r="T4456" s="16" t="n">
        <v>349</v>
      </c>
      <c r="U4456" s="16" t="n">
        <v>130</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I-C-0223</t>
        </is>
      </c>
      <c r="B4457" s="12" t="inlineStr">
        <is>
          <t>I</t>
        </is>
      </c>
      <c r="C4457" s="12" t="inlineStr">
        <is>
          <t>Modular / portable power</t>
        </is>
      </c>
      <c r="D4457" s="12" t="inlineStr">
        <is>
          <t>Motor 6 of 6: control / local station</t>
        </is>
      </c>
      <c r="E4457" s="12" t="inlineStr"/>
      <c r="F4457" s="12" t="inlineStr">
        <is>
          <t>MOD-LV 480 V board + 480 V : 13.8 kV step-up</t>
        </is>
      </c>
      <c r="G4457" s="12" t="inlineStr"/>
      <c r="H4457" s="12" t="inlineStr">
        <is>
          <t>T-MOD-1 / T-MOD-2 firewall</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Duct bank</t>
        </is>
      </c>
      <c r="T4457" s="16" t="n">
        <v>349</v>
      </c>
      <c r="U4457" s="16" t="n">
        <v>130</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I-C-0224</t>
        </is>
      </c>
      <c r="B4458" s="12" t="inlineStr">
        <is>
          <t>I</t>
        </is>
      </c>
      <c r="C4458" s="12" t="inlineStr">
        <is>
          <t>Modular / portable power</t>
        </is>
      </c>
      <c r="D4458" s="12" t="inlineStr">
        <is>
          <t>Motor 1 of 6: control / local station</t>
        </is>
      </c>
      <c r="E4458" s="12" t="inlineStr"/>
      <c r="F4458" s="12" t="inlineStr">
        <is>
          <t>MOD-LV 480 V board + 480 V : 13.8 kV step-up</t>
        </is>
      </c>
      <c r="G4458" s="12" t="inlineStr">
        <is>
          <t>T-MOD-1</t>
        </is>
      </c>
      <c r="H4458" s="12" t="inlineStr">
        <is>
          <t>T-MOD-1: 13.8/230 kV</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Duct bank</t>
        </is>
      </c>
      <c r="T4458" s="16" t="n">
        <v>349</v>
      </c>
      <c r="U4458" s="16" t="n">
        <v>82</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I-C-0225</t>
        </is>
      </c>
      <c r="B4459" s="12" t="inlineStr">
        <is>
          <t>I</t>
        </is>
      </c>
      <c r="C4459" s="12" t="inlineStr">
        <is>
          <t>Modular / portable power</t>
        </is>
      </c>
      <c r="D4459" s="12" t="inlineStr">
        <is>
          <t>Motor 2 of 6: control / local station</t>
        </is>
      </c>
      <c r="E4459" s="12" t="inlineStr"/>
      <c r="F4459" s="12" t="inlineStr">
        <is>
          <t>MOD-LV 480 V board + 480 V : 13.8 kV step-up</t>
        </is>
      </c>
      <c r="G4459" s="12" t="inlineStr">
        <is>
          <t>T-MOD-1</t>
        </is>
      </c>
      <c r="H4459" s="12" t="inlineStr">
        <is>
          <t>T-MOD-1: 13.8/230 kV</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Duct bank</t>
        </is>
      </c>
      <c r="T4459" s="16" t="n">
        <v>349</v>
      </c>
      <c r="U4459" s="16" t="n">
        <v>82</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I-C-0226</t>
        </is>
      </c>
      <c r="B4460" s="12" t="inlineStr">
        <is>
          <t>I</t>
        </is>
      </c>
      <c r="C4460" s="12" t="inlineStr">
        <is>
          <t>Modular / portable power</t>
        </is>
      </c>
      <c r="D4460" s="12" t="inlineStr">
        <is>
          <t>Motor 3 of 6: control / local station</t>
        </is>
      </c>
      <c r="E4460" s="12" t="inlineStr"/>
      <c r="F4460" s="12" t="inlineStr">
        <is>
          <t>MOD-LV 480 V board + 480 V : 13.8 kV step-up</t>
        </is>
      </c>
      <c r="G4460" s="12" t="inlineStr">
        <is>
          <t>T-MOD-1</t>
        </is>
      </c>
      <c r="H4460" s="12" t="inlineStr">
        <is>
          <t>T-MOD-1: 13.8/230 kV</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6" t="n">
        <v>349</v>
      </c>
      <c r="U4460" s="16" t="n">
        <v>82</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I-C-0227</t>
        </is>
      </c>
      <c r="B4461" s="12" t="inlineStr">
        <is>
          <t>I</t>
        </is>
      </c>
      <c r="C4461" s="12" t="inlineStr">
        <is>
          <t>Modular / portable power</t>
        </is>
      </c>
      <c r="D4461" s="12" t="inlineStr">
        <is>
          <t>Motor 4 of 6: control / local station</t>
        </is>
      </c>
      <c r="E4461" s="12" t="inlineStr"/>
      <c r="F4461" s="12" t="inlineStr">
        <is>
          <t>MOD-LV 480 V board + 480 V : 13.8 kV step-up</t>
        </is>
      </c>
      <c r="G4461" s="12" t="inlineStr">
        <is>
          <t>T-MOD-1</t>
        </is>
      </c>
      <c r="H4461" s="12" t="inlineStr">
        <is>
          <t>T-MOD-1: 13.8/230 kV</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6" t="n">
        <v>349</v>
      </c>
      <c r="U4461" s="16" t="n">
        <v>82</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I-C-0228</t>
        </is>
      </c>
      <c r="B4462" s="12" t="inlineStr">
        <is>
          <t>I</t>
        </is>
      </c>
      <c r="C4462" s="12" t="inlineStr">
        <is>
          <t>Modular / portable power</t>
        </is>
      </c>
      <c r="D4462" s="12" t="inlineStr">
        <is>
          <t>Motor 5 of 6: control / local station</t>
        </is>
      </c>
      <c r="E4462" s="12" t="inlineStr"/>
      <c r="F4462" s="12" t="inlineStr">
        <is>
          <t>MOD-LV 480 V board + 480 V : 13.8 kV step-up</t>
        </is>
      </c>
      <c r="G4462" s="12" t="inlineStr">
        <is>
          <t>T-MOD-1</t>
        </is>
      </c>
      <c r="H4462" s="12" t="inlineStr">
        <is>
          <t>T-MOD-1: 13.8/230 kV</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Duct bank</t>
        </is>
      </c>
      <c r="T4462" s="16" t="n">
        <v>349</v>
      </c>
      <c r="U4462" s="16" t="n">
        <v>82</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I-C-0229</t>
        </is>
      </c>
      <c r="B4463" s="12" t="inlineStr">
        <is>
          <t>I</t>
        </is>
      </c>
      <c r="C4463" s="12" t="inlineStr">
        <is>
          <t>Modular / portable power</t>
        </is>
      </c>
      <c r="D4463" s="12" t="inlineStr">
        <is>
          <t>Motor 6 of 6: control / local station</t>
        </is>
      </c>
      <c r="E4463" s="12" t="inlineStr"/>
      <c r="F4463" s="12" t="inlineStr">
        <is>
          <t>MOD-LV 480 V board + 480 V : 13.8 kV step-up</t>
        </is>
      </c>
      <c r="G4463" s="12" t="inlineStr">
        <is>
          <t>T-MOD-1</t>
        </is>
      </c>
      <c r="H4463" s="12" t="inlineStr">
        <is>
          <t>T-MOD-1: 13.8/230 kV</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6" t="n">
        <v>349</v>
      </c>
      <c r="U4463" s="16" t="n">
        <v>82</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I-C-0230</t>
        </is>
      </c>
      <c r="B4464" s="12" t="inlineStr">
        <is>
          <t>I</t>
        </is>
      </c>
      <c r="C4464" s="12" t="inlineStr">
        <is>
          <t>Modular / portable power</t>
        </is>
      </c>
      <c r="D4464" s="12" t="inlineStr">
        <is>
          <t>Motor 1 of 6: control / local station</t>
        </is>
      </c>
      <c r="E4464" s="12" t="inlineStr"/>
      <c r="F4464" s="12" t="inlineStr">
        <is>
          <t>MOD-LV 480 V board + 480 V : 13.8 kV step-up</t>
        </is>
      </c>
      <c r="G4464" s="12" t="inlineStr">
        <is>
          <t>T-MOD-2</t>
        </is>
      </c>
      <c r="H4464" s="12" t="inlineStr">
        <is>
          <t>T-MOD-2: 13.8/230 kV</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6" t="n">
        <v>60</v>
      </c>
      <c r="U4464" s="16" t="n">
        <v>144</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I-C-0231</t>
        </is>
      </c>
      <c r="B4465" s="12" t="inlineStr">
        <is>
          <t>I</t>
        </is>
      </c>
      <c r="C4465" s="12" t="inlineStr">
        <is>
          <t>Modular / portable power</t>
        </is>
      </c>
      <c r="D4465" s="12" t="inlineStr">
        <is>
          <t>Motor 2 of 6: control / local station</t>
        </is>
      </c>
      <c r="E4465" s="12" t="inlineStr"/>
      <c r="F4465" s="12" t="inlineStr">
        <is>
          <t>MOD-LV 480 V board + 480 V : 13.8 kV step-up</t>
        </is>
      </c>
      <c r="G4465" s="12" t="inlineStr">
        <is>
          <t>T-MOD-2</t>
        </is>
      </c>
      <c r="H4465" s="12" t="inlineStr">
        <is>
          <t>T-MOD-2: 13.8/230 kV</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6" t="n">
        <v>60</v>
      </c>
      <c r="U4465" s="16" t="n">
        <v>144</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I-C-0232</t>
        </is>
      </c>
      <c r="B4466" s="12" t="inlineStr">
        <is>
          <t>I</t>
        </is>
      </c>
      <c r="C4466" s="12" t="inlineStr">
        <is>
          <t>Modular / portable power</t>
        </is>
      </c>
      <c r="D4466" s="12" t="inlineStr">
        <is>
          <t>Motor 3 of 6: control / local station</t>
        </is>
      </c>
      <c r="E4466" s="12" t="inlineStr"/>
      <c r="F4466" s="12" t="inlineStr">
        <is>
          <t>MOD-LV 480 V board + 480 V : 13.8 kV step-up</t>
        </is>
      </c>
      <c r="G4466" s="12" t="inlineStr">
        <is>
          <t>T-MOD-2</t>
        </is>
      </c>
      <c r="H4466" s="12" t="inlineStr">
        <is>
          <t>T-MOD-2: 13.8/230 kV</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6" t="n">
        <v>60</v>
      </c>
      <c r="U4466" s="16" t="n">
        <v>144</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I-C-0233</t>
        </is>
      </c>
      <c r="B4467" s="12" t="inlineStr">
        <is>
          <t>I</t>
        </is>
      </c>
      <c r="C4467" s="12" t="inlineStr">
        <is>
          <t>Modular / portable power</t>
        </is>
      </c>
      <c r="D4467" s="12" t="inlineStr">
        <is>
          <t>Motor 4 of 6: control / local station</t>
        </is>
      </c>
      <c r="E4467" s="12" t="inlineStr"/>
      <c r="F4467" s="12" t="inlineStr">
        <is>
          <t>MOD-LV 480 V board + 480 V : 13.8 kV step-up</t>
        </is>
      </c>
      <c r="G4467" s="12" t="inlineStr">
        <is>
          <t>T-MOD-2</t>
        </is>
      </c>
      <c r="H4467" s="12" t="inlineStr">
        <is>
          <t>T-MOD-2: 13.8/230 kV</t>
        </is>
      </c>
      <c r="I4467" s="12" t="inlineStr">
        <is>
          <t>Control</t>
        </is>
      </c>
      <c r="J4467" s="12" t="inlineStr">
        <is>
          <t>Control cable 600 V Type TC-ER, Cu #14 AWG, PVC jacket</t>
        </is>
      </c>
      <c r="K4467" s="12" t="inlineStr">
        <is>
          <t>CT|7/C|14</t>
        </is>
      </c>
      <c r="L4467" s="12" t="inlineStr">
        <is>
          <t>7/C</t>
        </is>
      </c>
      <c r="M4467" s="12" t="inlineStr">
        <is>
          <t>14</t>
        </is>
      </c>
      <c r="N4467" s="12" t="n">
        <v>1</v>
      </c>
      <c r="O4467" s="12" t="n">
        <v>1</v>
      </c>
      <c r="P4467" s="12" t="n"/>
      <c r="Q4467" s="12" t="n"/>
      <c r="R4467" s="12" t="n"/>
      <c r="S4467" s="12" t="inlineStr">
        <is>
          <t>Duct bank</t>
        </is>
      </c>
      <c r="T4467" s="16" t="n">
        <v>60</v>
      </c>
      <c r="U4467" s="16" t="n">
        <v>144</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I-C-0234</t>
        </is>
      </c>
      <c r="B4468" s="12" t="inlineStr">
        <is>
          <t>I</t>
        </is>
      </c>
      <c r="C4468" s="12" t="inlineStr">
        <is>
          <t>Modular / portable power</t>
        </is>
      </c>
      <c r="D4468" s="12" t="inlineStr">
        <is>
          <t>Motor 5 of 6: control / local station</t>
        </is>
      </c>
      <c r="E4468" s="12" t="inlineStr"/>
      <c r="F4468" s="12" t="inlineStr">
        <is>
          <t>MOD-LV 480 V board + 480 V : 13.8 kV step-up</t>
        </is>
      </c>
      <c r="G4468" s="12" t="inlineStr">
        <is>
          <t>T-MOD-2</t>
        </is>
      </c>
      <c r="H4468" s="12" t="inlineStr">
        <is>
          <t>T-MOD-2: 13.8/230 kV</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6" t="n">
        <v>60</v>
      </c>
      <c r="U4468" s="16" t="n">
        <v>144</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I-C-0235</t>
        </is>
      </c>
      <c r="B4469" s="12" t="inlineStr">
        <is>
          <t>I</t>
        </is>
      </c>
      <c r="C4469" s="12" t="inlineStr">
        <is>
          <t>Modular / portable power</t>
        </is>
      </c>
      <c r="D4469" s="12" t="inlineStr">
        <is>
          <t>Motor 6 of 6: control / local station</t>
        </is>
      </c>
      <c r="E4469" s="12" t="inlineStr"/>
      <c r="F4469" s="12" t="inlineStr">
        <is>
          <t>MOD-LV 480 V board + 480 V : 13.8 kV step-up</t>
        </is>
      </c>
      <c r="G4469" s="12" t="inlineStr">
        <is>
          <t>T-MOD-2</t>
        </is>
      </c>
      <c r="H4469" s="12" t="inlineStr">
        <is>
          <t>T-MOD-2: 13.8/230 kV</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Duct bank</t>
        </is>
      </c>
      <c r="T4469" s="16" t="n">
        <v>60</v>
      </c>
      <c r="U4469" s="16" t="n">
        <v>144</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I-C-0236</t>
        </is>
      </c>
      <c r="B4470" s="12" t="inlineStr">
        <is>
          <t>I</t>
        </is>
      </c>
      <c r="C4470" s="12" t="inlineStr">
        <is>
          <t>Modular / portable power</t>
        </is>
      </c>
      <c r="D4470" s="12" t="inlineStr">
        <is>
          <t>Motor 1 of 6: control / local station</t>
        </is>
      </c>
      <c r="E4470" s="12" t="inlineStr"/>
      <c r="F4470" s="12" t="inlineStr">
        <is>
          <t>MOD-LV 480 V board + 480 V : 13.8 kV step-up</t>
        </is>
      </c>
      <c r="G4470" s="12" t="inlineStr">
        <is>
          <t>TM-1</t>
        </is>
      </c>
      <c r="H4470" s="12" t="inlineStr">
        <is>
          <t>TM-1: trailer-mounted aeroderivative GT (TM2500 class, ~35 MW)</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6" t="n">
        <v>1308</v>
      </c>
      <c r="U4470" s="16" t="n">
        <v>55</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I-C-0237</t>
        </is>
      </c>
      <c r="B4471" s="12" t="inlineStr">
        <is>
          <t>I</t>
        </is>
      </c>
      <c r="C4471" s="12" t="inlineStr">
        <is>
          <t>Modular / portable power</t>
        </is>
      </c>
      <c r="D4471" s="12" t="inlineStr">
        <is>
          <t>Motor 2 of 6: control / local station</t>
        </is>
      </c>
      <c r="E4471" s="12" t="inlineStr"/>
      <c r="F4471" s="12" t="inlineStr">
        <is>
          <t>MOD-LV 480 V board + 480 V : 13.8 kV step-up</t>
        </is>
      </c>
      <c r="G4471" s="12" t="inlineStr">
        <is>
          <t>TM-1</t>
        </is>
      </c>
      <c r="H4471" s="12" t="inlineStr">
        <is>
          <t>TM-1: trailer-mounted aeroderivative GT (TM2500 class, ~35 MW)</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6" t="n">
        <v>1308</v>
      </c>
      <c r="U4471" s="16" t="n">
        <v>55</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I-C-0238</t>
        </is>
      </c>
      <c r="B4472" s="12" t="inlineStr">
        <is>
          <t>I</t>
        </is>
      </c>
      <c r="C4472" s="12" t="inlineStr">
        <is>
          <t>Modular / portable power</t>
        </is>
      </c>
      <c r="D4472" s="12" t="inlineStr">
        <is>
          <t>Motor 3 of 6: control / local station</t>
        </is>
      </c>
      <c r="E4472" s="12" t="inlineStr"/>
      <c r="F4472" s="12" t="inlineStr">
        <is>
          <t>MOD-LV 480 V board + 480 V : 13.8 kV step-up</t>
        </is>
      </c>
      <c r="G4472" s="12" t="inlineStr">
        <is>
          <t>TM-1</t>
        </is>
      </c>
      <c r="H4472" s="12" t="inlineStr">
        <is>
          <t>TM-1: trailer-mounted aeroderivative GT (TM2500 class, ~35 MW)</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6" t="n">
        <v>1308</v>
      </c>
      <c r="U4472" s="16" t="n">
        <v>55</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I-C-0239</t>
        </is>
      </c>
      <c r="B4473" s="12" t="inlineStr">
        <is>
          <t>I</t>
        </is>
      </c>
      <c r="C4473" s="12" t="inlineStr">
        <is>
          <t>Modular / portable power</t>
        </is>
      </c>
      <c r="D4473" s="12" t="inlineStr">
        <is>
          <t>Motor 4 of 6: control / local station</t>
        </is>
      </c>
      <c r="E4473" s="12" t="inlineStr"/>
      <c r="F4473" s="12" t="inlineStr">
        <is>
          <t>MOD-LV 480 V board + 480 V : 13.8 kV step-up</t>
        </is>
      </c>
      <c r="G4473" s="12" t="inlineStr">
        <is>
          <t>TM-1</t>
        </is>
      </c>
      <c r="H4473" s="12" t="inlineStr">
        <is>
          <t>TM-1: trailer-mounted aeroderivative GT (TM2500 class, ~35 MW)</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6" t="n">
        <v>1308</v>
      </c>
      <c r="U4473" s="16" t="n">
        <v>55</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I-C-0240</t>
        </is>
      </c>
      <c r="B4474" s="12" t="inlineStr">
        <is>
          <t>I</t>
        </is>
      </c>
      <c r="C4474" s="12" t="inlineStr">
        <is>
          <t>Modular / portable power</t>
        </is>
      </c>
      <c r="D4474" s="12" t="inlineStr">
        <is>
          <t>Motor 5 of 6: control / local station</t>
        </is>
      </c>
      <c r="E4474" s="12" t="inlineStr"/>
      <c r="F4474" s="12" t="inlineStr">
        <is>
          <t>MOD-LV 480 V board + 480 V : 13.8 kV step-up</t>
        </is>
      </c>
      <c r="G4474" s="12" t="inlineStr">
        <is>
          <t>TM-1</t>
        </is>
      </c>
      <c r="H4474" s="12" t="inlineStr">
        <is>
          <t>TM-1: trailer-mounted aeroderivative GT (TM2500 class, ~35 MW)</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6" t="n">
        <v>1308</v>
      </c>
      <c r="U4474" s="16" t="n">
        <v>55</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I-C-0241</t>
        </is>
      </c>
      <c r="B4475" s="12" t="inlineStr">
        <is>
          <t>I</t>
        </is>
      </c>
      <c r="C4475" s="12" t="inlineStr">
        <is>
          <t>Modular / portable power</t>
        </is>
      </c>
      <c r="D4475" s="12" t="inlineStr">
        <is>
          <t>Motor 6 of 6: control / local station</t>
        </is>
      </c>
      <c r="E4475" s="12" t="inlineStr"/>
      <c r="F4475" s="12" t="inlineStr">
        <is>
          <t>MOD-LV 480 V board + 480 V : 13.8 kV step-up</t>
        </is>
      </c>
      <c r="G4475" s="12" t="inlineStr">
        <is>
          <t>TM-1</t>
        </is>
      </c>
      <c r="H4475" s="12" t="inlineStr">
        <is>
          <t>TM-1: trailer-mounted aeroderivative GT (TM2500 class, ~35 MW)</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6" t="n">
        <v>1308</v>
      </c>
      <c r="U4475" s="16" t="n">
        <v>55</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I-C-0242</t>
        </is>
      </c>
      <c r="B4476" s="12" t="inlineStr">
        <is>
          <t>I</t>
        </is>
      </c>
      <c r="C4476" s="12" t="inlineStr">
        <is>
          <t>Modular / portable power</t>
        </is>
      </c>
      <c r="D4476" s="12" t="inlineStr">
        <is>
          <t>Motor 1 of 6: control / local station</t>
        </is>
      </c>
      <c r="E4476" s="12" t="inlineStr"/>
      <c r="F4476" s="12" t="inlineStr">
        <is>
          <t>MOD-LV 480 V board + 480 V : 13.8 kV step-up</t>
        </is>
      </c>
      <c r="G4476" s="12" t="inlineStr">
        <is>
          <t>TM-2</t>
        </is>
      </c>
      <c r="H4476" s="12" t="inlineStr">
        <is>
          <t>TM-2: trailer-mounted aeroderivative GT (TM2500 class, ~35 MW)</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6" t="n">
        <v>1304</v>
      </c>
      <c r="U4476" s="16" t="n">
        <v>57</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I-C-0243</t>
        </is>
      </c>
      <c r="B4477" s="12" t="inlineStr">
        <is>
          <t>I</t>
        </is>
      </c>
      <c r="C4477" s="12" t="inlineStr">
        <is>
          <t>Modular / portable power</t>
        </is>
      </c>
      <c r="D4477" s="12" t="inlineStr">
        <is>
          <t>Motor 2 of 6: control / local station</t>
        </is>
      </c>
      <c r="E4477" s="12" t="inlineStr"/>
      <c r="F4477" s="12" t="inlineStr">
        <is>
          <t>MOD-LV 480 V board + 480 V : 13.8 kV step-up</t>
        </is>
      </c>
      <c r="G4477" s="12" t="inlineStr">
        <is>
          <t>TM-2</t>
        </is>
      </c>
      <c r="H4477" s="12" t="inlineStr">
        <is>
          <t>TM-2: trailer-mounted aeroderivative GT (TM2500 class, ~35 MW)</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6" t="n">
        <v>1304</v>
      </c>
      <c r="U4477" s="16" t="n">
        <v>57</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I-C-0244</t>
        </is>
      </c>
      <c r="B4478" s="12" t="inlineStr">
        <is>
          <t>I</t>
        </is>
      </c>
      <c r="C4478" s="12" t="inlineStr">
        <is>
          <t>Modular / portable power</t>
        </is>
      </c>
      <c r="D4478" s="12" t="inlineStr">
        <is>
          <t>Motor 3 of 6: control / local station</t>
        </is>
      </c>
      <c r="E4478" s="12" t="inlineStr"/>
      <c r="F4478" s="12" t="inlineStr">
        <is>
          <t>MOD-LV 480 V board + 480 V : 13.8 kV step-up</t>
        </is>
      </c>
      <c r="G4478" s="12" t="inlineStr">
        <is>
          <t>TM-2</t>
        </is>
      </c>
      <c r="H4478" s="12" t="inlineStr">
        <is>
          <t>TM-2: trailer-mounted aeroderivative GT (TM2500 class, ~35 MW)</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6" t="n">
        <v>1304</v>
      </c>
      <c r="U4478" s="16" t="n">
        <v>57</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I-C-0245</t>
        </is>
      </c>
      <c r="B4479" s="12" t="inlineStr">
        <is>
          <t>I</t>
        </is>
      </c>
      <c r="C4479" s="12" t="inlineStr">
        <is>
          <t>Modular / portable power</t>
        </is>
      </c>
      <c r="D4479" s="12" t="inlineStr">
        <is>
          <t>Motor 4 of 6: control / local station</t>
        </is>
      </c>
      <c r="E4479" s="12" t="inlineStr"/>
      <c r="F4479" s="12" t="inlineStr">
        <is>
          <t>MOD-LV 480 V board + 480 V : 13.8 kV step-up</t>
        </is>
      </c>
      <c r="G4479" s="12" t="inlineStr">
        <is>
          <t>TM-2</t>
        </is>
      </c>
      <c r="H4479" s="12" t="inlineStr">
        <is>
          <t>TM-2: trailer-mounted aeroderivative GT (TM2500 class, ~35 MW)</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6" t="n">
        <v>1304</v>
      </c>
      <c r="U4479" s="16" t="n">
        <v>57</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I-C-0246</t>
        </is>
      </c>
      <c r="B4480" s="12" t="inlineStr">
        <is>
          <t>I</t>
        </is>
      </c>
      <c r="C4480" s="12" t="inlineStr">
        <is>
          <t>Modular / portable power</t>
        </is>
      </c>
      <c r="D4480" s="12" t="inlineStr">
        <is>
          <t>Motor 5 of 6: control / local station</t>
        </is>
      </c>
      <c r="E4480" s="12" t="inlineStr"/>
      <c r="F4480" s="12" t="inlineStr">
        <is>
          <t>MOD-LV 480 V board + 480 V : 13.8 kV step-up</t>
        </is>
      </c>
      <c r="G4480" s="12" t="inlineStr">
        <is>
          <t>TM-2</t>
        </is>
      </c>
      <c r="H4480" s="12" t="inlineStr">
        <is>
          <t>TM-2: trailer-mounted aeroderivative GT (TM2500 class, ~35 MW)</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6" t="n">
        <v>1304</v>
      </c>
      <c r="U4480" s="16" t="n">
        <v>57</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I-C-0247</t>
        </is>
      </c>
      <c r="B4481" s="12" t="inlineStr">
        <is>
          <t>I</t>
        </is>
      </c>
      <c r="C4481" s="12" t="inlineStr">
        <is>
          <t>Modular / portable power</t>
        </is>
      </c>
      <c r="D4481" s="12" t="inlineStr">
        <is>
          <t>Motor 6 of 6: control / local station</t>
        </is>
      </c>
      <c r="E4481" s="12" t="inlineStr"/>
      <c r="F4481" s="12" t="inlineStr">
        <is>
          <t>MOD-LV 480 V board + 480 V : 13.8 kV step-up</t>
        </is>
      </c>
      <c r="G4481" s="12" t="inlineStr">
        <is>
          <t>TM-2</t>
        </is>
      </c>
      <c r="H4481" s="12" t="inlineStr">
        <is>
          <t>TM-2: trailer-mounted aeroderivative GT (TM2500 class, ~35 MW)</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6" t="n">
        <v>1304</v>
      </c>
      <c r="U4481" s="16" t="n">
        <v>57</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I-C-0248</t>
        </is>
      </c>
      <c r="B4482" s="12" t="inlineStr">
        <is>
          <t>I</t>
        </is>
      </c>
      <c r="C4482" s="12" t="inlineStr">
        <is>
          <t>Modular / portable power</t>
        </is>
      </c>
      <c r="D4482" s="12" t="inlineStr">
        <is>
          <t>Motor 1 of 2: control / local station</t>
        </is>
      </c>
      <c r="E4482" s="12" t="inlineStr"/>
      <c r="F4482" s="12" t="inlineStr">
        <is>
          <t>SC-2 PCM + 15 kV GCB</t>
        </is>
      </c>
      <c r="G4482" s="12" t="inlineStr"/>
      <c r="H4482" s="12" t="inlineStr">
        <is>
          <t>Water-injection skid</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Tray</t>
        </is>
      </c>
      <c r="T4482" s="16" t="n">
        <v>0</v>
      </c>
      <c r="U4482" s="16" t="n">
        <v>60</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I-C-0249</t>
        </is>
      </c>
      <c r="B4483" s="12" t="inlineStr">
        <is>
          <t>I</t>
        </is>
      </c>
      <c r="C4483" s="12" t="inlineStr">
        <is>
          <t>Modular / portable power</t>
        </is>
      </c>
      <c r="D4483" s="12" t="inlineStr">
        <is>
          <t>Motor 2 of 2: control / local station</t>
        </is>
      </c>
      <c r="E4483" s="12" t="inlineStr"/>
      <c r="F4483" s="12" t="inlineStr">
        <is>
          <t>SC-2 PCM + 15 kV GCB</t>
        </is>
      </c>
      <c r="G4483" s="12" t="inlineStr"/>
      <c r="H4483" s="12" t="inlineStr">
        <is>
          <t>Water-injection skid</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Tray</t>
        </is>
      </c>
      <c r="T4483" s="16" t="n">
        <v>0</v>
      </c>
      <c r="U4483" s="16" t="n">
        <v>60</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I-C-0250</t>
        </is>
      </c>
      <c r="B4484" s="12" t="inlineStr">
        <is>
          <t>I</t>
        </is>
      </c>
      <c r="C4484" s="12" t="inlineStr">
        <is>
          <t>Modular / portable power</t>
        </is>
      </c>
      <c r="D4484" s="12" t="inlineStr">
        <is>
          <t>Solenoid to JB JB-Water-injection sk-SOL01: 2 x 2/C (field cables)</t>
        </is>
      </c>
      <c r="E4484" s="12" t="inlineStr"/>
      <c r="F4484" s="12" t="inlineStr">
        <is>
          <t>Water-injection skid</t>
        </is>
      </c>
      <c r="G4484" s="12" t="inlineStr">
        <is>
          <t>JB-Water-injection sk-SOL01</t>
        </is>
      </c>
      <c r="H4484" s="12" t="inlineStr">
        <is>
          <t>Water-injection skid</t>
        </is>
      </c>
      <c r="I4484" s="12" t="inlineStr">
        <is>
          <t>Control</t>
        </is>
      </c>
      <c r="J4484" s="12" t="inlineStr">
        <is>
          <t>Control cable 600 V Type TC-ER, Cu #14 AWG, PVC jacket</t>
        </is>
      </c>
      <c r="K4484" s="12" t="inlineStr">
        <is>
          <t>CT|2/C|14</t>
        </is>
      </c>
      <c r="L4484" s="12" t="inlineStr">
        <is>
          <t>2/C</t>
        </is>
      </c>
      <c r="M4484" s="12" t="inlineStr">
        <is>
          <t>14</t>
        </is>
      </c>
      <c r="N4484" s="12" t="n">
        <v>2</v>
      </c>
      <c r="O4484" s="12" t="n">
        <v>1</v>
      </c>
      <c r="P4484" s="12" t="n"/>
      <c r="Q4484" s="12" t="n"/>
      <c r="R4484" s="12" t="n"/>
      <c r="S4484" s="12" t="inlineStr">
        <is>
          <t>Tray / conduit</t>
        </is>
      </c>
      <c r="T4484" s="16" t="n">
        <v>43</v>
      </c>
      <c r="U4484" s="16" t="n">
        <v>10</v>
      </c>
      <c r="V4484" s="16">
        <f>ROUNDUP((T4484+U4484+2*'Read Me'!$B$13)*(1+'Read Me'!$B$12),-1)</f>
        <v/>
      </c>
      <c r="W4484" s="16">
        <f>V4484*N4484*O4484</f>
        <v/>
      </c>
      <c r="X4484" s="12">
        <f>IF(LEFT(I4484,2)="MV",2*N4484*IF(L4484="1/C",O4484,1),0)</f>
        <v/>
      </c>
      <c r="Y4484" s="12">
        <f>IF(OR(LEFT(K4484,4)="LVAX",LEFT(K4484,6)="MV15AX",LEFT(K4484,4)="CTAX",LEFT(K4484,2)="W|"),2*N4484*O4484,0)</f>
        <v/>
      </c>
      <c r="Z4484" s="12" t="inlineStr">
        <is>
          <t>device-to-JB field wiring, one cable per device</t>
        </is>
      </c>
      <c r="AA4484" s="12">
        <f>N4484*O4484</f>
        <v/>
      </c>
    </row>
    <row r="4485">
      <c r="A4485" s="12" t="inlineStr">
        <is>
          <t>I-C-0251</t>
        </is>
      </c>
      <c r="B4485" s="12" t="inlineStr">
        <is>
          <t>I</t>
        </is>
      </c>
      <c r="C4485" s="12" t="inlineStr">
        <is>
          <t>Modular / portable power</t>
        </is>
      </c>
      <c r="D4485" s="12" t="inlineStr">
        <is>
          <t>Home run JB-Water-injection sk-SOL01 to the control / marshalling room</t>
        </is>
      </c>
      <c r="E4485" s="12" t="inlineStr"/>
      <c r="F4485" s="12" t="inlineStr">
        <is>
          <t>SC-2 PCM + 15 kV GCB</t>
        </is>
      </c>
      <c r="G4485" s="12" t="inlineStr">
        <is>
          <t>JB-Water-injection sk-SOL01</t>
        </is>
      </c>
      <c r="H4485" s="12" t="inlineStr">
        <is>
          <t>Water-injection skid</t>
        </is>
      </c>
      <c r="I4485" s="12" t="inlineStr">
        <is>
          <t>Control</t>
        </is>
      </c>
      <c r="J4485" s="12" t="inlineStr">
        <is>
          <t>Control cable 600 V Type TC-ER, Cu #14 AWG, PVC jacket</t>
        </is>
      </c>
      <c r="K4485" s="12" t="inlineStr">
        <is>
          <t>CT|25/C|14</t>
        </is>
      </c>
      <c r="L4485" s="12" t="inlineStr">
        <is>
          <t>25/C</t>
        </is>
      </c>
      <c r="M4485" s="12" t="inlineStr">
        <is>
          <t>14</t>
        </is>
      </c>
      <c r="N4485" s="12" t="n">
        <v>1</v>
      </c>
      <c r="O4485" s="12" t="n">
        <v>1</v>
      </c>
      <c r="P4485" s="12" t="n"/>
      <c r="Q4485" s="12" t="n"/>
      <c r="R4485" s="12" t="n"/>
      <c r="S4485" s="12" t="inlineStr">
        <is>
          <t>Tray</t>
        </is>
      </c>
      <c r="T4485" s="16" t="n">
        <v>0</v>
      </c>
      <c r="U4485" s="16" t="n">
        <v>60</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I-F-0001</t>
        </is>
      </c>
      <c r="B4486" s="12" t="inlineStr">
        <is>
          <t>I</t>
        </is>
      </c>
      <c r="C4486" s="12" t="inlineStr">
        <is>
          <t>Modular / portable power</t>
        </is>
      </c>
      <c r="D4486" s="12" t="inlineStr">
        <is>
          <t>L7 fibre ring, segment 1 (SWG-MY to GBT-1)</t>
        </is>
      </c>
      <c r="E4486" s="12" t="inlineStr">
        <is>
          <t>SWG-MY</t>
        </is>
      </c>
      <c r="F4486" s="12" t="inlineStr">
        <is>
          <t xml:space="preserve">SWG-MY: 35 kV switchgear lineup for the modular blocks (group breaker </t>
        </is>
      </c>
      <c r="G4486" s="12" t="inlineStr">
        <is>
          <t>GBT-1</t>
        </is>
      </c>
      <c r="H4486" s="12" t="inlineStr">
        <is>
          <t>GBT-1: block GB-1 step-up 480 V : 34.5 kV, ~3 MVA pad-mount (on the 35</t>
        </is>
      </c>
      <c r="I4486" s="12" t="inlineStr">
        <is>
          <t>Fibre / data</t>
        </is>
      </c>
      <c r="J4486" s="12" t="inlineStr">
        <is>
          <t>Fibre optic, single-mode, 12-fibre, armored, orange jacket</t>
        </is>
      </c>
      <c r="K4486" s="12" t="inlineStr">
        <is>
          <t>FO|12 SM|-</t>
        </is>
      </c>
      <c r="L4486" s="12" t="inlineStr">
        <is>
          <t>12 SM</t>
        </is>
      </c>
      <c r="M4486" s="12" t="inlineStr">
        <is>
          <t>-</t>
        </is>
      </c>
      <c r="N4486" s="12" t="n">
        <v>1</v>
      </c>
      <c r="O4486" s="12" t="n">
        <v>1</v>
      </c>
      <c r="P4486" s="12" t="n"/>
      <c r="Q4486" s="12" t="n"/>
      <c r="R4486" s="12" t="n"/>
      <c r="S4486" s="12" t="inlineStr">
        <is>
          <t>Duct bank</t>
        </is>
      </c>
      <c r="T4486" s="16" t="n">
        <v>82</v>
      </c>
      <c r="U4486" s="16" t="n">
        <v>37</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I-F-0002</t>
        </is>
      </c>
      <c r="B4487" s="12" t="inlineStr">
        <is>
          <t>I</t>
        </is>
      </c>
      <c r="C4487" s="12" t="inlineStr">
        <is>
          <t>Modular / portable power</t>
        </is>
      </c>
      <c r="D4487" s="12" t="inlineStr">
        <is>
          <t>L7 fibre ring, segment 2 (GBT-1 to GBT-2)</t>
        </is>
      </c>
      <c r="E4487" s="12" t="inlineStr">
        <is>
          <t>GBT-1</t>
        </is>
      </c>
      <c r="F4487" s="12" t="inlineStr">
        <is>
          <t>GBT-1: block GB-1 step-up 480 V : 34.5 kV, ~3 MVA pad-mount (on the 35</t>
        </is>
      </c>
      <c r="G4487" s="12" t="inlineStr">
        <is>
          <t>GBT-2</t>
        </is>
      </c>
      <c r="H4487" s="12" t="inlineStr">
        <is>
          <t>GBT-2: block GB-2 step-up 480 V : 34.5 kV, ~3 MVA pad-mount (on the 35</t>
        </is>
      </c>
      <c r="I4487" s="12" t="inlineStr">
        <is>
          <t>Fibre / data</t>
        </is>
      </c>
      <c r="J4487" s="12" t="inlineStr">
        <is>
          <t>Fibre optic, single-mode, 12-fibre, armored, orange jacket</t>
        </is>
      </c>
      <c r="K4487" s="12" t="inlineStr">
        <is>
          <t>FO|12 SM|-</t>
        </is>
      </c>
      <c r="L4487" s="12" t="inlineStr">
        <is>
          <t>12 SM</t>
        </is>
      </c>
      <c r="M4487" s="12" t="inlineStr">
        <is>
          <t>-</t>
        </is>
      </c>
      <c r="N4487" s="12" t="n">
        <v>1</v>
      </c>
      <c r="O4487" s="12" t="n">
        <v>1</v>
      </c>
      <c r="P4487" s="12" t="n"/>
      <c r="Q4487" s="12" t="n"/>
      <c r="R4487" s="12" t="n"/>
      <c r="S4487" s="12" t="inlineStr">
        <is>
          <t>Surface</t>
        </is>
      </c>
      <c r="T4487" s="16" t="n">
        <v>78</v>
      </c>
      <c r="U4487" s="16" t="n">
        <v>37</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I-F-0003</t>
        </is>
      </c>
      <c r="B4488" s="12" t="inlineStr">
        <is>
          <t>I</t>
        </is>
      </c>
      <c r="C4488" s="12" t="inlineStr">
        <is>
          <t>Modular / portable power</t>
        </is>
      </c>
      <c r="D4488" s="12" t="inlineStr">
        <is>
          <t>L7 fibre ring, segment 3 (GBT-2 to GBT-3)</t>
        </is>
      </c>
      <c r="E4488" s="12" t="inlineStr">
        <is>
          <t>GBT-2</t>
        </is>
      </c>
      <c r="F4488" s="12" t="inlineStr">
        <is>
          <t>GBT-2: block GB-2 step-up 480 V : 34.5 kV, ~3 MVA pad-mount (on the 35</t>
        </is>
      </c>
      <c r="G4488" s="12" t="inlineStr">
        <is>
          <t>GBT-3</t>
        </is>
      </c>
      <c r="H4488" s="12" t="inlineStr">
        <is>
          <t>GBT-3: block GB-3 step-up 480 V : 34.5 kV, ~3 MVA pad-mount (on the 35</t>
        </is>
      </c>
      <c r="I4488" s="12" t="inlineStr">
        <is>
          <t>Fibre / data</t>
        </is>
      </c>
      <c r="J4488" s="12" t="inlineStr">
        <is>
          <t>Fibre optic, single-mode, 12-fibre, armored, orange jacket</t>
        </is>
      </c>
      <c r="K4488" s="12" t="inlineStr">
        <is>
          <t>FO|12 SM|-</t>
        </is>
      </c>
      <c r="L4488" s="12" t="inlineStr">
        <is>
          <t>12 SM</t>
        </is>
      </c>
      <c r="M4488" s="12" t="inlineStr">
        <is>
          <t>-</t>
        </is>
      </c>
      <c r="N4488" s="12" t="n">
        <v>1</v>
      </c>
      <c r="O4488" s="12" t="n">
        <v>1</v>
      </c>
      <c r="P4488" s="12" t="n"/>
      <c r="Q4488" s="12" t="n"/>
      <c r="R4488" s="12" t="n"/>
      <c r="S4488" s="12" t="inlineStr">
        <is>
          <t>Surface</t>
        </is>
      </c>
      <c r="T4488" s="16" t="n">
        <v>28</v>
      </c>
      <c r="U4488" s="16" t="n">
        <v>27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I-F-0004</t>
        </is>
      </c>
      <c r="B4489" s="12" t="inlineStr">
        <is>
          <t>I</t>
        </is>
      </c>
      <c r="C4489" s="12" t="inlineStr">
        <is>
          <t>Modular / portable power</t>
        </is>
      </c>
      <c r="D4489" s="12" t="inlineStr">
        <is>
          <t>L7 fibre ring, segment 4 (GBT-3 to GBT-4)</t>
        </is>
      </c>
      <c r="E4489" s="12" t="inlineStr">
        <is>
          <t>GBT-3</t>
        </is>
      </c>
      <c r="F4489" s="12" t="inlineStr">
        <is>
          <t>GBT-3: block GB-3 step-up 480 V : 34.5 kV, ~3 MVA pad-mount (on the 35</t>
        </is>
      </c>
      <c r="G4489" s="12" t="inlineStr">
        <is>
          <t>GBT-4</t>
        </is>
      </c>
      <c r="H4489" s="12" t="inlineStr">
        <is>
          <t>GBT-4: block GB-4 step-up 480 V : 34.5 kV, ~3 MVA pad-mount (on the 35</t>
        </is>
      </c>
      <c r="I4489" s="12" t="inlineStr">
        <is>
          <t>Fibre / data</t>
        </is>
      </c>
      <c r="J4489" s="12" t="inlineStr">
        <is>
          <t>Fibre optic, single-mode, 12-fibre, armored, orange jacket</t>
        </is>
      </c>
      <c r="K4489" s="12" t="inlineStr">
        <is>
          <t>FO|12 SM|-</t>
        </is>
      </c>
      <c r="L4489" s="12" t="inlineStr">
        <is>
          <t>12 SM</t>
        </is>
      </c>
      <c r="M4489" s="12" t="inlineStr">
        <is>
          <t>-</t>
        </is>
      </c>
      <c r="N4489" s="12" t="n">
        <v>1</v>
      </c>
      <c r="O4489" s="12" t="n">
        <v>1</v>
      </c>
      <c r="P4489" s="12" t="n"/>
      <c r="Q4489" s="12" t="n"/>
      <c r="R4489" s="12" t="n"/>
      <c r="S4489" s="12" t="inlineStr">
        <is>
          <t>Surface</t>
        </is>
      </c>
      <c r="T4489" s="16" t="n">
        <v>79</v>
      </c>
      <c r="U4489" s="16" t="n">
        <v>37</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I-F-0005</t>
        </is>
      </c>
      <c r="B4490" s="12" t="inlineStr">
        <is>
          <t>I</t>
        </is>
      </c>
      <c r="C4490" s="12" t="inlineStr">
        <is>
          <t>Modular / portable power</t>
        </is>
      </c>
      <c r="D4490" s="12" t="inlineStr">
        <is>
          <t>Plant network / DCS fibre</t>
        </is>
      </c>
      <c r="E4490" s="12" t="inlineStr">
        <is>
          <t>CR</t>
        </is>
      </c>
      <c r="F4490" s="12" t="inlineStr">
        <is>
          <t>Control / admin building (main control room)</t>
        </is>
      </c>
      <c r="G4490" s="12" t="inlineStr"/>
      <c r="H4490" s="12" t="inlineStr">
        <is>
          <t>Lube oil / starting air / oily water building</t>
        </is>
      </c>
      <c r="I4490" s="12" t="inlineStr">
        <is>
          <t>Fibre / data</t>
        </is>
      </c>
      <c r="J4490" s="12" t="inlineStr">
        <is>
          <t>Fibre optic, single-mode, 12-fibre, armored, orange jacket</t>
        </is>
      </c>
      <c r="K4490" s="12" t="inlineStr">
        <is>
          <t>FO|12 SM|-</t>
        </is>
      </c>
      <c r="L4490" s="12" t="inlineStr">
        <is>
          <t>12 SM</t>
        </is>
      </c>
      <c r="M4490" s="12" t="inlineStr">
        <is>
          <t>-</t>
        </is>
      </c>
      <c r="N4490" s="12" t="n">
        <v>1</v>
      </c>
      <c r="O4490" s="12" t="n">
        <v>1</v>
      </c>
      <c r="P4490" s="12" t="n"/>
      <c r="Q4490" s="12" t="n"/>
      <c r="R4490" s="12" t="n"/>
      <c r="S4490" s="12" t="inlineStr">
        <is>
          <t>Duct bank</t>
        </is>
      </c>
      <c r="T4490" s="16" t="n">
        <v>2703</v>
      </c>
      <c r="U4490" s="16" t="n">
        <v>394</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I-F-0006</t>
        </is>
      </c>
      <c r="B4491" s="12" t="inlineStr">
        <is>
          <t>I</t>
        </is>
      </c>
      <c r="C4491" s="12" t="inlineStr">
        <is>
          <t>Modular / portable power</t>
        </is>
      </c>
      <c r="D4491" s="12" t="inlineStr">
        <is>
          <t>Plant network / DCS fibre</t>
        </is>
      </c>
      <c r="E4491" s="12" t="inlineStr">
        <is>
          <t>CR</t>
        </is>
      </c>
      <c r="F4491" s="12" t="inlineStr">
        <is>
          <t>Control / admin building (main control room)</t>
        </is>
      </c>
      <c r="G4491" s="12" t="inlineStr">
        <is>
          <t>MOD-EH</t>
        </is>
      </c>
      <c r="H4491" s="12" t="inlineStr">
        <is>
          <t>MOD-EH: 13.8 kV modular collector e-house</t>
        </is>
      </c>
      <c r="I4491" s="12" t="inlineStr">
        <is>
          <t>Fibre / data</t>
        </is>
      </c>
      <c r="J4491" s="12" t="inlineStr">
        <is>
          <t>Fibre optic, single-mode, 12-fibre, armored, orange jacket</t>
        </is>
      </c>
      <c r="K4491" s="12" t="inlineStr">
        <is>
          <t>FO|12 SM|-</t>
        </is>
      </c>
      <c r="L4491" s="12" t="inlineStr">
        <is>
          <t>12 SM</t>
        </is>
      </c>
      <c r="M4491" s="12" t="inlineStr">
        <is>
          <t>-</t>
        </is>
      </c>
      <c r="N4491" s="12" t="n">
        <v>1</v>
      </c>
      <c r="O4491" s="12" t="n">
        <v>1</v>
      </c>
      <c r="P4491" s="12" t="n"/>
      <c r="Q4491" s="12" t="n"/>
      <c r="R4491" s="12" t="n"/>
      <c r="S4491" s="12" t="inlineStr">
        <is>
          <t>Duct bank</t>
        </is>
      </c>
      <c r="T4491" s="16" t="n">
        <v>3749</v>
      </c>
      <c r="U4491" s="16" t="n">
        <v>52</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I-F-0007</t>
        </is>
      </c>
      <c r="B4492" s="12" t="inlineStr">
        <is>
          <t>I</t>
        </is>
      </c>
      <c r="C4492" s="12" t="inlineStr">
        <is>
          <t>Modular / portable power</t>
        </is>
      </c>
      <c r="D4492" s="12" t="inlineStr">
        <is>
          <t>Plant network / DCS fibre</t>
        </is>
      </c>
      <c r="E4492" s="12" t="inlineStr">
        <is>
          <t>CR</t>
        </is>
      </c>
      <c r="F4492" s="12" t="inlineStr">
        <is>
          <t>Control / admin building (main control room)</t>
        </is>
      </c>
      <c r="G4492" s="12" t="inlineStr"/>
      <c r="H4492" s="12" t="inlineStr">
        <is>
          <t>PCM: power control module</t>
        </is>
      </c>
      <c r="I4492" s="12" t="inlineStr">
        <is>
          <t>Fibre / data</t>
        </is>
      </c>
      <c r="J4492" s="12" t="inlineStr">
        <is>
          <t>Fibre optic, single-mode, 12-fibre, armored, orange jacket</t>
        </is>
      </c>
      <c r="K4492" s="12" t="inlineStr">
        <is>
          <t>FO|12 SM|-</t>
        </is>
      </c>
      <c r="L4492" s="12" t="inlineStr">
        <is>
          <t>12 SM</t>
        </is>
      </c>
      <c r="M4492" s="12" t="inlineStr">
        <is>
          <t>-</t>
        </is>
      </c>
      <c r="N4492" s="12" t="n">
        <v>1</v>
      </c>
      <c r="O4492" s="12" t="n">
        <v>1</v>
      </c>
      <c r="P4492" s="12" t="n"/>
      <c r="Q4492" s="12" t="n"/>
      <c r="R4492" s="12" t="n"/>
      <c r="S4492" s="12" t="inlineStr">
        <is>
          <t>Duct bank</t>
        </is>
      </c>
      <c r="T4492" s="16" t="n">
        <v>4156</v>
      </c>
      <c r="U4492" s="16" t="n">
        <v>52</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I-F-0008</t>
        </is>
      </c>
      <c r="B4493" s="12" t="inlineStr">
        <is>
          <t>I</t>
        </is>
      </c>
      <c r="C4493" s="12" t="inlineStr">
        <is>
          <t>Modular / portable power</t>
        </is>
      </c>
      <c r="D4493" s="12" t="inlineStr">
        <is>
          <t>Plant network / DCS fibre</t>
        </is>
      </c>
      <c r="E4493" s="12" t="inlineStr">
        <is>
          <t>CR</t>
        </is>
      </c>
      <c r="F4493" s="12" t="inlineStr">
        <is>
          <t>Control / admin building (main control room)</t>
        </is>
      </c>
      <c r="G4493" s="12" t="inlineStr"/>
      <c r="H4493" s="12" t="inlineStr">
        <is>
          <t>RICE CEMS</t>
        </is>
      </c>
      <c r="I4493" s="12" t="inlineStr">
        <is>
          <t>Fibre / data</t>
        </is>
      </c>
      <c r="J4493" s="12" t="inlineStr">
        <is>
          <t>Fibre optic, single-mode, 12-fibre, armored, orange jacket</t>
        </is>
      </c>
      <c r="K4493" s="12" t="inlineStr">
        <is>
          <t>FO|12 SM|-</t>
        </is>
      </c>
      <c r="L4493" s="12" t="inlineStr">
        <is>
          <t>12 SM</t>
        </is>
      </c>
      <c r="M4493" s="12" t="inlineStr">
        <is>
          <t>-</t>
        </is>
      </c>
      <c r="N4493" s="12" t="n">
        <v>1</v>
      </c>
      <c r="O4493" s="12" t="n">
        <v>1</v>
      </c>
      <c r="P4493" s="12" t="n"/>
      <c r="Q4493" s="12" t="n"/>
      <c r="R4493" s="12" t="n"/>
      <c r="S4493" s="12" t="inlineStr">
        <is>
          <t>Duct bank</t>
        </is>
      </c>
      <c r="T4493" s="16" t="n">
        <v>3896</v>
      </c>
      <c r="U4493" s="16" t="n">
        <v>151</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I-F-0009</t>
        </is>
      </c>
      <c r="B4494" s="12" t="inlineStr">
        <is>
          <t>I</t>
        </is>
      </c>
      <c r="C4494" s="12" t="inlineStr">
        <is>
          <t>Modular / portable power</t>
        </is>
      </c>
      <c r="D4494" s="12" t="inlineStr">
        <is>
          <t>Plant network / DCS fibre</t>
        </is>
      </c>
      <c r="E4494" s="12" t="inlineStr">
        <is>
          <t>CR</t>
        </is>
      </c>
      <c r="F4494" s="12" t="inlineStr">
        <is>
          <t>Control / admin building (main control room)</t>
        </is>
      </c>
      <c r="G4494" s="12" t="inlineStr">
        <is>
          <t>RICE</t>
        </is>
      </c>
      <c r="H4494" s="12" t="inlineStr">
        <is>
          <t>RICE engine hall (8 engines)</t>
        </is>
      </c>
      <c r="I4494" s="12" t="inlineStr">
        <is>
          <t>Fibre / data</t>
        </is>
      </c>
      <c r="J4494" s="12" t="inlineStr">
        <is>
          <t>Fibre optic, single-mode, 12-fibre, armored, orange jacket</t>
        </is>
      </c>
      <c r="K4494" s="12" t="inlineStr">
        <is>
          <t>FO|12 SM|-</t>
        </is>
      </c>
      <c r="L4494" s="12" t="inlineStr">
        <is>
          <t>12 SM</t>
        </is>
      </c>
      <c r="M4494" s="12" t="inlineStr">
        <is>
          <t>-</t>
        </is>
      </c>
      <c r="N4494" s="12" t="n">
        <v>1</v>
      </c>
      <c r="O4494" s="12" t="n">
        <v>1</v>
      </c>
      <c r="P4494" s="12" t="n"/>
      <c r="Q4494" s="12" t="n"/>
      <c r="R4494" s="12" t="n"/>
      <c r="S4494" s="12" t="inlineStr">
        <is>
          <t>Tray</t>
        </is>
      </c>
      <c r="T4494" s="16" t="n">
        <v>2186</v>
      </c>
      <c r="U4494" s="16" t="n">
        <v>334</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I-F-0010</t>
        </is>
      </c>
      <c r="B4495" s="12" t="inlineStr">
        <is>
          <t>I</t>
        </is>
      </c>
      <c r="C4495" s="12" t="inlineStr">
        <is>
          <t>Modular / portable power</t>
        </is>
      </c>
      <c r="D4495" s="12" t="inlineStr">
        <is>
          <t>SC-1 CEMS data to the unit control (Modbus TCP)</t>
        </is>
      </c>
      <c r="E4495" s="12" t="inlineStr"/>
      <c r="F4495" s="12" t="inlineStr">
        <is>
          <t>SC-1 PCM + 15 kV GCB</t>
        </is>
      </c>
      <c r="G4495" s="12" t="inlineStr"/>
      <c r="H4495" s="12" t="inlineStr">
        <is>
          <t>SC-1 CEMS shelter</t>
        </is>
      </c>
      <c r="I4495" s="12" t="inlineStr">
        <is>
          <t>Fibre / data</t>
        </is>
      </c>
      <c r="J4495" s="12" t="inlineStr">
        <is>
          <t>Fibre optic, single-mode, 12-fibre, armored, orange jacket</t>
        </is>
      </c>
      <c r="K4495" s="12" t="inlineStr">
        <is>
          <t>FO|12 SM|-</t>
        </is>
      </c>
      <c r="L4495" s="12" t="inlineStr">
        <is>
          <t>12 SM</t>
        </is>
      </c>
      <c r="M4495" s="12" t="inlineStr">
        <is>
          <t>-</t>
        </is>
      </c>
      <c r="N4495" s="12" t="n">
        <v>1</v>
      </c>
      <c r="O4495" s="12" t="n">
        <v>1</v>
      </c>
      <c r="P4495" s="12" t="n"/>
      <c r="Q4495" s="12" t="n"/>
      <c r="R4495" s="12" t="n"/>
      <c r="S4495" s="12" t="inlineStr">
        <is>
          <t>Tray</t>
        </is>
      </c>
      <c r="T4495" s="16" t="n">
        <v>0</v>
      </c>
      <c r="U4495" s="16" t="n">
        <v>229</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I-F-0011</t>
        </is>
      </c>
      <c r="B4496" s="12" t="inlineStr">
        <is>
          <t>I</t>
        </is>
      </c>
      <c r="C4496" s="12" t="inlineStr">
        <is>
          <t>Modular / portable power</t>
        </is>
      </c>
      <c r="D4496" s="12" t="inlineStr">
        <is>
          <t>SC-1 unit control panel: plant network / DCS fibre</t>
        </is>
      </c>
      <c r="E4496" s="12" t="inlineStr">
        <is>
          <t>CR</t>
        </is>
      </c>
      <c r="F4496" s="12" t="inlineStr">
        <is>
          <t>Control / admin building (main control room)</t>
        </is>
      </c>
      <c r="G4496" s="12" t="inlineStr"/>
      <c r="H4496" s="12" t="inlineStr">
        <is>
          <t>SC-1 PCM + 15 kV GCB</t>
        </is>
      </c>
      <c r="I4496" s="12" t="inlineStr">
        <is>
          <t>Fibre / data</t>
        </is>
      </c>
      <c r="J4496" s="12" t="inlineStr">
        <is>
          <t>Fibre optic, single-mode, 12-fibre, armored, orange jacket</t>
        </is>
      </c>
      <c r="K4496" s="12" t="inlineStr">
        <is>
          <t>FO|12 SM|-</t>
        </is>
      </c>
      <c r="L4496" s="12" t="inlineStr">
        <is>
          <t>12 SM</t>
        </is>
      </c>
      <c r="M4496" s="12" t="inlineStr">
        <is>
          <t>-</t>
        </is>
      </c>
      <c r="N4496" s="12" t="n">
        <v>1</v>
      </c>
      <c r="O4496" s="12" t="n">
        <v>1</v>
      </c>
      <c r="P4496" s="12" t="n"/>
      <c r="Q4496" s="12" t="n"/>
      <c r="R4496" s="12" t="n"/>
      <c r="S4496" s="12" t="inlineStr">
        <is>
          <t>Duct bank</t>
        </is>
      </c>
      <c r="T4496" s="16" t="n">
        <v>4198</v>
      </c>
      <c r="U4496" s="16" t="n">
        <v>52</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I-F-0012</t>
        </is>
      </c>
      <c r="B4497" s="12" t="inlineStr">
        <is>
          <t>I</t>
        </is>
      </c>
      <c r="C4497" s="12" t="inlineStr">
        <is>
          <t>Modular / portable power</t>
        </is>
      </c>
      <c r="D4497" s="12" t="inlineStr">
        <is>
          <t>Plant network / DCS fibre</t>
        </is>
      </c>
      <c r="E4497" s="12" t="inlineStr">
        <is>
          <t>CR</t>
        </is>
      </c>
      <c r="F4497" s="12" t="inlineStr">
        <is>
          <t>Control / admin building (main control room)</t>
        </is>
      </c>
      <c r="G4497" s="12" t="inlineStr">
        <is>
          <t>SC-1</t>
        </is>
      </c>
      <c r="H4497" s="12" t="inlineStr">
        <is>
          <t>SC-1: aeroderivative simple-cycle unit (LM6000 class)</t>
        </is>
      </c>
      <c r="I4497" s="12" t="inlineStr">
        <is>
          <t>Fibre / data</t>
        </is>
      </c>
      <c r="J4497" s="12" t="inlineStr">
        <is>
          <t>Fibre optic, single-mode, 12-fibre, armored, orange jacket</t>
        </is>
      </c>
      <c r="K4497" s="12" t="inlineStr">
        <is>
          <t>FO|12 SM|-</t>
        </is>
      </c>
      <c r="L4497" s="12" t="inlineStr">
        <is>
          <t>12 SM</t>
        </is>
      </c>
      <c r="M4497" s="12" t="inlineStr">
        <is>
          <t>-</t>
        </is>
      </c>
      <c r="N4497" s="12" t="n">
        <v>1</v>
      </c>
      <c r="O4497" s="12" t="n">
        <v>1</v>
      </c>
      <c r="P4497" s="12" t="n"/>
      <c r="Q4497" s="12" t="n"/>
      <c r="R4497" s="12" t="n"/>
      <c r="S4497" s="12" t="inlineStr">
        <is>
          <t>Duct bank</t>
        </is>
      </c>
      <c r="T4497" s="16" t="n">
        <v>4116</v>
      </c>
      <c r="U4497" s="16" t="n">
        <v>72</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I-F-0013</t>
        </is>
      </c>
      <c r="B4498" s="12" t="inlineStr">
        <is>
          <t>I</t>
        </is>
      </c>
      <c r="C4498" s="12" t="inlineStr">
        <is>
          <t>Modular / portable power</t>
        </is>
      </c>
      <c r="D4498" s="12" t="inlineStr">
        <is>
          <t>SC-2 CEMS data to the unit control (Modbus TCP)</t>
        </is>
      </c>
      <c r="E4498" s="12" t="inlineStr"/>
      <c r="F4498" s="12" t="inlineStr">
        <is>
          <t>SC-2 PCM + 15 kV GCB</t>
        </is>
      </c>
      <c r="G4498" s="12" t="inlineStr"/>
      <c r="H4498" s="12" t="inlineStr">
        <is>
          <t>SC-2 CEMS shelter</t>
        </is>
      </c>
      <c r="I4498" s="12" t="inlineStr">
        <is>
          <t>Fibre / data</t>
        </is>
      </c>
      <c r="J4498" s="12" t="inlineStr">
        <is>
          <t>Fibre optic, single-mode, 12-fibre, armored, orange jacket</t>
        </is>
      </c>
      <c r="K4498" s="12" t="inlineStr">
        <is>
          <t>FO|12 SM|-</t>
        </is>
      </c>
      <c r="L4498" s="12" t="inlineStr">
        <is>
          <t>12 SM</t>
        </is>
      </c>
      <c r="M4498" s="12" t="inlineStr">
        <is>
          <t>-</t>
        </is>
      </c>
      <c r="N4498" s="12" t="n">
        <v>1</v>
      </c>
      <c r="O4498" s="12" t="n">
        <v>1</v>
      </c>
      <c r="P4498" s="12" t="n"/>
      <c r="Q4498" s="12" t="n"/>
      <c r="R4498" s="12" t="n"/>
      <c r="S4498" s="12" t="inlineStr">
        <is>
          <t>Duct bank</t>
        </is>
      </c>
      <c r="T4498" s="16" t="n">
        <v>25</v>
      </c>
      <c r="U4498" s="16" t="n">
        <v>197</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I-F-0014</t>
        </is>
      </c>
      <c r="B4499" s="12" t="inlineStr">
        <is>
          <t>I</t>
        </is>
      </c>
      <c r="C4499" s="12" t="inlineStr">
        <is>
          <t>Modular / portable power</t>
        </is>
      </c>
      <c r="D4499" s="12" t="inlineStr">
        <is>
          <t>SC-2 unit control panel: plant network / DCS fibre</t>
        </is>
      </c>
      <c r="E4499" s="12" t="inlineStr">
        <is>
          <t>CR</t>
        </is>
      </c>
      <c r="F4499" s="12" t="inlineStr">
        <is>
          <t>Control / admin building (main control room)</t>
        </is>
      </c>
      <c r="G4499" s="12" t="inlineStr"/>
      <c r="H4499" s="12" t="inlineStr">
        <is>
          <t>SC-2 PCM + 15 kV GCB</t>
        </is>
      </c>
      <c r="I4499" s="12" t="inlineStr">
        <is>
          <t>Fibre / data</t>
        </is>
      </c>
      <c r="J4499" s="12" t="inlineStr">
        <is>
          <t>Fibre optic, single-mode, 12-fibre, armored, orange jacket</t>
        </is>
      </c>
      <c r="K4499" s="12" t="inlineStr">
        <is>
          <t>FO|12 SM|-</t>
        </is>
      </c>
      <c r="L4499" s="12" t="inlineStr">
        <is>
          <t>12 SM</t>
        </is>
      </c>
      <c r="M4499" s="12" t="inlineStr">
        <is>
          <t>-</t>
        </is>
      </c>
      <c r="N4499" s="12" t="n">
        <v>1</v>
      </c>
      <c r="O4499" s="12" t="n">
        <v>1</v>
      </c>
      <c r="P4499" s="12" t="n"/>
      <c r="Q4499" s="12" t="n"/>
      <c r="R4499" s="12" t="n"/>
      <c r="S4499" s="12" t="inlineStr">
        <is>
          <t>Trench</t>
        </is>
      </c>
      <c r="T4499" s="16" t="n">
        <v>4547</v>
      </c>
      <c r="U4499" s="16" t="n">
        <v>90</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I-F-0015</t>
        </is>
      </c>
      <c r="B4500" s="12" t="inlineStr">
        <is>
          <t>I</t>
        </is>
      </c>
      <c r="C4500" s="12" t="inlineStr">
        <is>
          <t>Modular / portable power</t>
        </is>
      </c>
      <c r="D4500" s="12" t="inlineStr">
        <is>
          <t>Plant network / DCS fibre</t>
        </is>
      </c>
      <c r="E4500" s="12" t="inlineStr">
        <is>
          <t>CR</t>
        </is>
      </c>
      <c r="F4500" s="12" t="inlineStr">
        <is>
          <t>Control / admin building (main control room)</t>
        </is>
      </c>
      <c r="G4500" s="12" t="inlineStr">
        <is>
          <t>SC-2</t>
        </is>
      </c>
      <c r="H4500" s="12" t="inlineStr">
        <is>
          <t>SC-2: aeroderivative simple-cycle unit (LM6000 class)</t>
        </is>
      </c>
      <c r="I4500" s="12" t="inlineStr">
        <is>
          <t>Fibre / data</t>
        </is>
      </c>
      <c r="J4500" s="12" t="inlineStr">
        <is>
          <t>Fibre optic, single-mode, 12-fibre, armored, orange jacket</t>
        </is>
      </c>
      <c r="K4500" s="12" t="inlineStr">
        <is>
          <t>FO|12 SM|-</t>
        </is>
      </c>
      <c r="L4500" s="12" t="inlineStr">
        <is>
          <t>12 SM</t>
        </is>
      </c>
      <c r="M4500" s="12" t="inlineStr">
        <is>
          <t>-</t>
        </is>
      </c>
      <c r="N4500" s="12" t="n">
        <v>1</v>
      </c>
      <c r="O4500" s="12" t="n">
        <v>1</v>
      </c>
      <c r="P4500" s="12" t="n"/>
      <c r="Q4500" s="12" t="n"/>
      <c r="R4500" s="12" t="n"/>
      <c r="S4500" s="12" t="inlineStr">
        <is>
          <t>Trench</t>
        </is>
      </c>
      <c r="T4500" s="16" t="n">
        <v>4640</v>
      </c>
      <c r="U4500" s="16" t="n">
        <v>36</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I-F-0016</t>
        </is>
      </c>
      <c r="B4501" s="12" t="inlineStr">
        <is>
          <t>I</t>
        </is>
      </c>
      <c r="C4501" s="12" t="inlineStr">
        <is>
          <t>Modular / portable power</t>
        </is>
      </c>
      <c r="D4501" s="12" t="inlineStr">
        <is>
          <t>L7 fibre ring, segment 5 (GBT-4 to SWG-MY)</t>
        </is>
      </c>
      <c r="E4501" s="12" t="inlineStr">
        <is>
          <t>GBT-4</t>
        </is>
      </c>
      <c r="F4501" s="12" t="inlineStr">
        <is>
          <t>GBT-4: block GB-4 step-up 480 V : 34.5 kV, ~3 MVA pad-mount (on the 35</t>
        </is>
      </c>
      <c r="G4501" s="12" t="inlineStr">
        <is>
          <t>SWG-MY</t>
        </is>
      </c>
      <c r="H4501" s="12" t="inlineStr">
        <is>
          <t xml:space="preserve">SWG-MY: 35 kV switchgear lineup for the modular blocks (group breaker </t>
        </is>
      </c>
      <c r="I4501" s="12" t="inlineStr">
        <is>
          <t>Fibre / data</t>
        </is>
      </c>
      <c r="J4501" s="12" t="inlineStr">
        <is>
          <t>Fibre optic, single-mode, 12-fibre, armored, orange jacket</t>
        </is>
      </c>
      <c r="K4501" s="12" t="inlineStr">
        <is>
          <t>FO|12 SM|-</t>
        </is>
      </c>
      <c r="L4501" s="12" t="inlineStr">
        <is>
          <t>12 SM</t>
        </is>
      </c>
      <c r="M4501" s="12" t="inlineStr">
        <is>
          <t>-</t>
        </is>
      </c>
      <c r="N4501" s="12" t="n">
        <v>1</v>
      </c>
      <c r="O4501" s="12" t="n">
        <v>1</v>
      </c>
      <c r="P4501" s="12" t="n"/>
      <c r="Q4501" s="12" t="n"/>
      <c r="R4501" s="12" t="n"/>
      <c r="S4501" s="12" t="inlineStr">
        <is>
          <t>Duct bank</t>
        </is>
      </c>
      <c r="T4501" s="16" t="n">
        <v>121</v>
      </c>
      <c r="U4501" s="16" t="n">
        <v>37</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I-F-0017</t>
        </is>
      </c>
      <c r="B4502" s="12" t="inlineStr">
        <is>
          <t>I</t>
        </is>
      </c>
      <c r="C4502" s="12" t="inlineStr">
        <is>
          <t>Modular / portable power</t>
        </is>
      </c>
      <c r="D4502" s="12" t="inlineStr">
        <is>
          <t>Plant network / DCS fibre</t>
        </is>
      </c>
      <c r="E4502" s="12" t="inlineStr">
        <is>
          <t>CR</t>
        </is>
      </c>
      <c r="F4502" s="12" t="inlineStr">
        <is>
          <t>Control / admin building (main control room)</t>
        </is>
      </c>
      <c r="G4502" s="12" t="inlineStr">
        <is>
          <t>TM-1</t>
        </is>
      </c>
      <c r="H4502" s="12" t="inlineStr">
        <is>
          <t>TM-1: trailer-mounted aeroderivative GT (TM2500 class, ~35 MW)</t>
        </is>
      </c>
      <c r="I4502" s="12" t="inlineStr">
        <is>
          <t>Fibre / data</t>
        </is>
      </c>
      <c r="J4502" s="12" t="inlineStr">
        <is>
          <t>Fibre optic, single-mode, 12-fibre, armored, orange jacket</t>
        </is>
      </c>
      <c r="K4502" s="12" t="inlineStr">
        <is>
          <t>FO|12 SM|-</t>
        </is>
      </c>
      <c r="L4502" s="12" t="inlineStr">
        <is>
          <t>12 SM</t>
        </is>
      </c>
      <c r="M4502" s="12" t="inlineStr">
        <is>
          <t>-</t>
        </is>
      </c>
      <c r="N4502" s="12" t="n">
        <v>1</v>
      </c>
      <c r="O4502" s="12" t="n">
        <v>1</v>
      </c>
      <c r="P4502" s="12" t="n"/>
      <c r="Q4502" s="12" t="n"/>
      <c r="R4502" s="12" t="n"/>
      <c r="S4502" s="12" t="inlineStr">
        <is>
          <t>Trench</t>
        </is>
      </c>
      <c r="T4502" s="16" t="n">
        <v>3400</v>
      </c>
      <c r="U4502" s="16" t="n">
        <v>75</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I-F-0018</t>
        </is>
      </c>
      <c r="B4503" s="12" t="inlineStr">
        <is>
          <t>I</t>
        </is>
      </c>
      <c r="C4503" s="12" t="inlineStr">
        <is>
          <t>Modular / portable power</t>
        </is>
      </c>
      <c r="D4503" s="12" t="inlineStr">
        <is>
          <t>Plant network / DCS fibre</t>
        </is>
      </c>
      <c r="E4503" s="12" t="inlineStr">
        <is>
          <t>CR</t>
        </is>
      </c>
      <c r="F4503" s="12" t="inlineStr">
        <is>
          <t>Control / admin building (main control room)</t>
        </is>
      </c>
      <c r="G4503" s="12" t="inlineStr">
        <is>
          <t>TM-2</t>
        </is>
      </c>
      <c r="H4503" s="12" t="inlineStr">
        <is>
          <t>TM-2: trailer-mounted aeroderivative GT (TM2500 class, ~35 MW)</t>
        </is>
      </c>
      <c r="I4503" s="12" t="inlineStr">
        <is>
          <t>Fibre / data</t>
        </is>
      </c>
      <c r="J4503" s="12" t="inlineStr">
        <is>
          <t>Fibre optic, single-mode, 12-fibre, armored, orange jacket</t>
        </is>
      </c>
      <c r="K4503" s="12" t="inlineStr">
        <is>
          <t>FO|12 SM|-</t>
        </is>
      </c>
      <c r="L4503" s="12" t="inlineStr">
        <is>
          <t>12 SM</t>
        </is>
      </c>
      <c r="M4503" s="12" t="inlineStr">
        <is>
          <t>-</t>
        </is>
      </c>
      <c r="N4503" s="12" t="n">
        <v>1</v>
      </c>
      <c r="O4503" s="12" t="n">
        <v>1</v>
      </c>
      <c r="P4503" s="12" t="n"/>
      <c r="Q4503" s="12" t="n"/>
      <c r="R4503" s="12" t="n"/>
      <c r="S4503" s="12" t="inlineStr">
        <is>
          <t>Trench</t>
        </is>
      </c>
      <c r="T4503" s="16" t="n">
        <v>3404</v>
      </c>
      <c r="U4503" s="16" t="n">
        <v>77</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I-FA-0001</t>
        </is>
      </c>
      <c r="B4504" s="12" t="inlineStr">
        <is>
          <t>I</t>
        </is>
      </c>
      <c r="C4504" s="12" t="inlineStr">
        <is>
          <t>Modular / portable power</t>
        </is>
      </c>
      <c r="D4504" s="12" t="inlineStr">
        <is>
          <t>Fire alarm / F&amp;G loop (to the local FACP / F&amp;G node)</t>
        </is>
      </c>
      <c r="E4504" s="12" t="inlineStr"/>
      <c r="F4504" s="12" t="inlineStr">
        <is>
          <t>PCM: power control module</t>
        </is>
      </c>
      <c r="G4504" s="12" t="inlineStr"/>
      <c r="H4504" s="12" t="inlineStr">
        <is>
          <t>BS black-start switchgear</t>
        </is>
      </c>
      <c r="I4504" s="12" t="inlineStr">
        <is>
          <t>Fire alarm</t>
        </is>
      </c>
      <c r="J4504" s="12" t="inlineStr">
        <is>
          <t>Fire alarm FPLR 2/C #14 shielded, red jacket (NEC 760)</t>
        </is>
      </c>
      <c r="K4504" s="12" t="inlineStr">
        <is>
          <t>FA|2/C|14</t>
        </is>
      </c>
      <c r="L4504" s="12" t="inlineStr">
        <is>
          <t>2/C</t>
        </is>
      </c>
      <c r="M4504" s="12" t="inlineStr">
        <is>
          <t>14</t>
        </is>
      </c>
      <c r="N4504" s="12" t="n">
        <v>1</v>
      </c>
      <c r="O4504" s="12" t="n">
        <v>1</v>
      </c>
      <c r="P4504" s="12" t="n"/>
      <c r="Q4504" s="12" t="n"/>
      <c r="R4504" s="12" t="n"/>
      <c r="S4504" s="12" t="inlineStr">
        <is>
          <t>Duct bank</t>
        </is>
      </c>
      <c r="T4504" s="16" t="n">
        <v>562</v>
      </c>
      <c r="U4504" s="16" t="n">
        <v>64</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I-FA-0002</t>
        </is>
      </c>
      <c r="B4505" s="12" t="inlineStr">
        <is>
          <t>I</t>
        </is>
      </c>
      <c r="C4505" s="12" t="inlineStr">
        <is>
          <t>Modular / portable power</t>
        </is>
      </c>
      <c r="D4505" s="12" t="inlineStr">
        <is>
          <t>Fire alarm / F&amp;G loop (to the local FACP / F&amp;G node)</t>
        </is>
      </c>
      <c r="E4505" s="12" t="inlineStr"/>
      <c r="F4505" s="12" t="inlineStr">
        <is>
          <t>PCM: power control module</t>
        </is>
      </c>
      <c r="G4505" s="12" t="inlineStr"/>
      <c r="H4505" s="12" t="inlineStr">
        <is>
          <t>Black-start genset (proposed; requires study)</t>
        </is>
      </c>
      <c r="I4505" s="12" t="inlineStr">
        <is>
          <t>Fire alarm</t>
        </is>
      </c>
      <c r="J4505" s="12" t="inlineStr">
        <is>
          <t>Fire alarm FPLR 2/C #14 shielded, red jacket (NEC 760)</t>
        </is>
      </c>
      <c r="K4505" s="12" t="inlineStr">
        <is>
          <t>FA|2/C|14</t>
        </is>
      </c>
      <c r="L4505" s="12" t="inlineStr">
        <is>
          <t>2/C</t>
        </is>
      </c>
      <c r="M4505" s="12" t="inlineStr">
        <is>
          <t>14</t>
        </is>
      </c>
      <c r="N4505" s="12" t="n">
        <v>1</v>
      </c>
      <c r="O4505" s="12" t="n">
        <v>1</v>
      </c>
      <c r="P4505" s="12" t="n"/>
      <c r="Q4505" s="12" t="n"/>
      <c r="R4505" s="12" t="n"/>
      <c r="S4505" s="12" t="inlineStr">
        <is>
          <t>Duct bank</t>
        </is>
      </c>
      <c r="T4505" s="16" t="n">
        <v>624</v>
      </c>
      <c r="U4505" s="16" t="n">
        <v>32</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I-FA-0003</t>
        </is>
      </c>
      <c r="B4506" s="12" t="inlineStr">
        <is>
          <t>I</t>
        </is>
      </c>
      <c r="C4506" s="12" t="inlineStr">
        <is>
          <t>Modular / portable power</t>
        </is>
      </c>
      <c r="D4506" s="12" t="inlineStr">
        <is>
          <t>Fire alarm / F&amp;G loop (to the local FACP / F&amp;G node)</t>
        </is>
      </c>
      <c r="E4506" s="12" t="inlineStr"/>
      <c r="F4506" s="12" t="inlineStr">
        <is>
          <t>PCM: power control module</t>
        </is>
      </c>
      <c r="G4506" s="12" t="inlineStr"/>
      <c r="H4506" s="12" t="inlineStr">
        <is>
          <t>Black-start genset (proposed; requires study)</t>
        </is>
      </c>
      <c r="I4506" s="12" t="inlineStr">
        <is>
          <t>Fire alarm</t>
        </is>
      </c>
      <c r="J4506" s="12" t="inlineStr">
        <is>
          <t>Fire alarm FPLR 2/C #14 shielded, red jacket (NEC 760)</t>
        </is>
      </c>
      <c r="K4506" s="12" t="inlineStr">
        <is>
          <t>FA|2/C|14</t>
        </is>
      </c>
      <c r="L4506" s="12" t="inlineStr">
        <is>
          <t>2/C</t>
        </is>
      </c>
      <c r="M4506" s="12" t="inlineStr">
        <is>
          <t>14</t>
        </is>
      </c>
      <c r="N4506" s="12" t="n">
        <v>1</v>
      </c>
      <c r="O4506" s="12" t="n">
        <v>1</v>
      </c>
      <c r="P4506" s="12" t="n"/>
      <c r="Q4506" s="12" t="n"/>
      <c r="R4506" s="12" t="n"/>
      <c r="S4506" s="12" t="inlineStr">
        <is>
          <t>Duct bank</t>
        </is>
      </c>
      <c r="T4506" s="16" t="n">
        <v>624</v>
      </c>
      <c r="U4506" s="16" t="n">
        <v>40</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I-FA-0004</t>
        </is>
      </c>
      <c r="B4507" s="12" t="inlineStr">
        <is>
          <t>I</t>
        </is>
      </c>
      <c r="C4507" s="12" t="inlineStr">
        <is>
          <t>Modular / portable power</t>
        </is>
      </c>
      <c r="D4507" s="12" t="inlineStr">
        <is>
          <t>Fire alarm / F&amp;G loop (to the local FACP / F&amp;G node)</t>
        </is>
      </c>
      <c r="E4507" s="12" t="inlineStr"/>
      <c r="F4507" s="12" t="inlineStr">
        <is>
          <t>PCM: power control module</t>
        </is>
      </c>
      <c r="G4507" s="12" t="inlineStr"/>
      <c r="H4507" s="12" t="inlineStr">
        <is>
          <t>CONDITIONAL: BESS black-start alternative</t>
        </is>
      </c>
      <c r="I4507" s="12" t="inlineStr">
        <is>
          <t>Fire alarm</t>
        </is>
      </c>
      <c r="J4507" s="12" t="inlineStr">
        <is>
          <t>Fire alarm FPLR 2/C #14 shielded, red jacket (NEC 760)</t>
        </is>
      </c>
      <c r="K4507" s="12" t="inlineStr">
        <is>
          <t>FA|2/C|14</t>
        </is>
      </c>
      <c r="L4507" s="12" t="inlineStr">
        <is>
          <t>2/C</t>
        </is>
      </c>
      <c r="M4507" s="12" t="inlineStr">
        <is>
          <t>14</t>
        </is>
      </c>
      <c r="N4507" s="12" t="n">
        <v>1</v>
      </c>
      <c r="O4507" s="12" t="n">
        <v>1</v>
      </c>
      <c r="P4507" s="12" t="n"/>
      <c r="Q4507" s="12" t="n"/>
      <c r="R4507" s="12" t="n"/>
      <c r="S4507" s="12" t="inlineStr">
        <is>
          <t>Duct bank</t>
        </is>
      </c>
      <c r="T4507" s="16" t="n">
        <v>550</v>
      </c>
      <c r="U4507" s="16" t="n">
        <v>32</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I-FA-0005</t>
        </is>
      </c>
      <c r="B4508" s="12" t="inlineStr">
        <is>
          <t>I</t>
        </is>
      </c>
      <c r="C4508" s="12" t="inlineStr">
        <is>
          <t>Modular / portable power</t>
        </is>
      </c>
      <c r="D4508" s="12" t="inlineStr">
        <is>
          <t>Fire alarm / F&amp;G loop (to the local FACP / F&amp;G node)</t>
        </is>
      </c>
      <c r="E4508" s="12" t="inlineStr"/>
      <c r="F4508" s="12" t="inlineStr">
        <is>
          <t>SC-1 PCM + 15 kV GCB</t>
        </is>
      </c>
      <c r="G4508" s="12" t="inlineStr"/>
      <c r="H4508" s="12" t="inlineStr">
        <is>
          <t>CONDITIONAL: SC-1 inlet chiller / evaporative cooler</t>
        </is>
      </c>
      <c r="I4508" s="12" t="inlineStr">
        <is>
          <t>Fire alarm</t>
        </is>
      </c>
      <c r="J4508" s="12" t="inlineStr">
        <is>
          <t>Fire alarm FPLR 2/C #14 shielded, red jacket (NEC 760)</t>
        </is>
      </c>
      <c r="K4508" s="12" t="inlineStr">
        <is>
          <t>FA|2/C|14</t>
        </is>
      </c>
      <c r="L4508" s="12" t="inlineStr">
        <is>
          <t>2/C</t>
        </is>
      </c>
      <c r="M4508" s="12" t="inlineStr">
        <is>
          <t>14</t>
        </is>
      </c>
      <c r="N4508" s="12" t="n">
        <v>1</v>
      </c>
      <c r="O4508" s="12" t="n">
        <v>1</v>
      </c>
      <c r="P4508" s="12" t="n"/>
      <c r="Q4508" s="12" t="n"/>
      <c r="R4508" s="12" t="n"/>
      <c r="S4508" s="12" t="inlineStr">
        <is>
          <t>Tray</t>
        </is>
      </c>
      <c r="T4508" s="16" t="n">
        <v>0</v>
      </c>
      <c r="U4508" s="16" t="n">
        <v>114</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I-FA-0006</t>
        </is>
      </c>
      <c r="B4509" s="12" t="inlineStr">
        <is>
          <t>I</t>
        </is>
      </c>
      <c r="C4509" s="12" t="inlineStr">
        <is>
          <t>Modular / portable power</t>
        </is>
      </c>
      <c r="D4509" s="12" t="inlineStr">
        <is>
          <t>Fire alarm / F&amp;G loop (to the local FACP / F&amp;G node)</t>
        </is>
      </c>
      <c r="E4509" s="12" t="inlineStr"/>
      <c r="F4509" s="12" t="inlineStr">
        <is>
          <t>SC-2 PCM + 15 kV GCB</t>
        </is>
      </c>
      <c r="G4509" s="12" t="inlineStr"/>
      <c r="H4509" s="12" t="inlineStr">
        <is>
          <t>CONDITIONAL: SC-2 inlet chiller / evaporative cooler</t>
        </is>
      </c>
      <c r="I4509" s="12" t="inlineStr">
        <is>
          <t>Fire alarm</t>
        </is>
      </c>
      <c r="J4509" s="12" t="inlineStr">
        <is>
          <t>Fire alarm FPLR 2/C #14 shielded, red jacket (NEC 760)</t>
        </is>
      </c>
      <c r="K4509" s="12" t="inlineStr">
        <is>
          <t>FA|2/C|14</t>
        </is>
      </c>
      <c r="L4509" s="12" t="inlineStr">
        <is>
          <t>2/C</t>
        </is>
      </c>
      <c r="M4509" s="12" t="inlineStr">
        <is>
          <t>14</t>
        </is>
      </c>
      <c r="N4509" s="12" t="n">
        <v>1</v>
      </c>
      <c r="O4509" s="12" t="n">
        <v>1</v>
      </c>
      <c r="P4509" s="12" t="n"/>
      <c r="Q4509" s="12" t="n"/>
      <c r="R4509" s="12" t="n"/>
      <c r="S4509" s="12" t="inlineStr">
        <is>
          <t>Duct bank</t>
        </is>
      </c>
      <c r="T4509" s="16" t="n">
        <v>75</v>
      </c>
      <c r="U4509" s="16" t="n">
        <v>32</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I-FA-0007</t>
        </is>
      </c>
      <c r="B4510" s="12" t="inlineStr">
        <is>
          <t>I</t>
        </is>
      </c>
      <c r="C4510" s="12" t="inlineStr">
        <is>
          <t>Modular / portable power</t>
        </is>
      </c>
      <c r="D4510" s="12" t="inlineStr">
        <is>
          <t>Fire alarm / F&amp;G loop (to the local FACP / F&amp;G node)</t>
        </is>
      </c>
      <c r="E4510" s="12" t="inlineStr">
        <is>
          <t>PAD-EH</t>
        </is>
      </c>
      <c r="F4510" s="12" t="inlineStr">
        <is>
          <t>PAD-EH 13.8 kV switchgear e-house</t>
        </is>
      </c>
      <c r="G4510" s="12" t="inlineStr">
        <is>
          <t>CONT-1</t>
        </is>
      </c>
      <c r="H4510" s="12" t="inlineStr">
        <is>
          <t>CONT-1: containerized genset 13.8 kV (40 ft)</t>
        </is>
      </c>
      <c r="I4510" s="12" t="inlineStr">
        <is>
          <t>Fire alarm</t>
        </is>
      </c>
      <c r="J4510" s="12" t="inlineStr">
        <is>
          <t>Fire alarm FPLR 2/C #14 shielded, red jacket (NEC 760)</t>
        </is>
      </c>
      <c r="K4510" s="12" t="inlineStr">
        <is>
          <t>FA|2/C|14</t>
        </is>
      </c>
      <c r="L4510" s="12" t="inlineStr">
        <is>
          <t>2/C</t>
        </is>
      </c>
      <c r="M4510" s="12" t="inlineStr">
        <is>
          <t>14</t>
        </is>
      </c>
      <c r="N4510" s="12" t="n">
        <v>1</v>
      </c>
      <c r="O4510" s="12" t="n">
        <v>1</v>
      </c>
      <c r="P4510" s="12" t="n"/>
      <c r="Q4510" s="12" t="n"/>
      <c r="R4510" s="12" t="n"/>
      <c r="S4510" s="12" t="inlineStr">
        <is>
          <t>Surface</t>
        </is>
      </c>
      <c r="T4510" s="16" t="n">
        <v>298</v>
      </c>
      <c r="U4510" s="16" t="n">
        <v>37</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I-FA-0008</t>
        </is>
      </c>
      <c r="B4511" s="12" t="inlineStr">
        <is>
          <t>I</t>
        </is>
      </c>
      <c r="C4511" s="12" t="inlineStr">
        <is>
          <t>Modular / portable power</t>
        </is>
      </c>
      <c r="D4511" s="12" t="inlineStr">
        <is>
          <t>Fire alarm / F&amp;G loop (to the local FACP / F&amp;G node)</t>
        </is>
      </c>
      <c r="E4511" s="12" t="inlineStr">
        <is>
          <t>PAD-EH</t>
        </is>
      </c>
      <c r="F4511" s="12" t="inlineStr">
        <is>
          <t>PAD-EH 13.8 kV switchgear e-house</t>
        </is>
      </c>
      <c r="G4511" s="12" t="inlineStr">
        <is>
          <t>CONT-2</t>
        </is>
      </c>
      <c r="H4511" s="12" t="inlineStr">
        <is>
          <t>CONT-2: containerized genset 13.8 kV (40 ft)</t>
        </is>
      </c>
      <c r="I4511" s="12" t="inlineStr">
        <is>
          <t>Fire alarm</t>
        </is>
      </c>
      <c r="J4511" s="12" t="inlineStr">
        <is>
          <t>Fire alarm FPLR 2/C #14 shielded, red jacket (NEC 760)</t>
        </is>
      </c>
      <c r="K4511" s="12" t="inlineStr">
        <is>
          <t>FA|2/C|14</t>
        </is>
      </c>
      <c r="L4511" s="12" t="inlineStr">
        <is>
          <t>2/C</t>
        </is>
      </c>
      <c r="M4511" s="12" t="inlineStr">
        <is>
          <t>14</t>
        </is>
      </c>
      <c r="N4511" s="12" t="n">
        <v>1</v>
      </c>
      <c r="O4511" s="12" t="n">
        <v>1</v>
      </c>
      <c r="P4511" s="12" t="n"/>
      <c r="Q4511" s="12" t="n"/>
      <c r="R4511" s="12" t="n"/>
      <c r="S4511" s="12" t="inlineStr">
        <is>
          <t>Surface</t>
        </is>
      </c>
      <c r="T4511" s="16" t="n">
        <v>267</v>
      </c>
      <c r="U4511" s="16" t="n">
        <v>37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I-FA-0009</t>
        </is>
      </c>
      <c r="B4512" s="12" t="inlineStr">
        <is>
          <t>I</t>
        </is>
      </c>
      <c r="C4512" s="12" t="inlineStr">
        <is>
          <t>Modular / portable power</t>
        </is>
      </c>
      <c r="D4512" s="12" t="inlineStr">
        <is>
          <t>Fire alarm / F&amp;G loop (to the local FACP / F&amp;G node)</t>
        </is>
      </c>
      <c r="E4512" s="12" t="inlineStr">
        <is>
          <t>PAD-EH</t>
        </is>
      </c>
      <c r="F4512" s="12" t="inlineStr">
        <is>
          <t>PAD-EH 13.8 kV switchgear e-house</t>
        </is>
      </c>
      <c r="G4512" s="12" t="inlineStr">
        <is>
          <t>CONT-3</t>
        </is>
      </c>
      <c r="H4512" s="12" t="inlineStr">
        <is>
          <t>CONT-3: containerized gas genset 13.8 kV (40 ft)</t>
        </is>
      </c>
      <c r="I4512" s="12" t="inlineStr">
        <is>
          <t>Fire alarm</t>
        </is>
      </c>
      <c r="J4512" s="12" t="inlineStr">
        <is>
          <t>Fire alarm FPLR 2/C #14 shielded, red jacket (NEC 760)</t>
        </is>
      </c>
      <c r="K4512" s="12" t="inlineStr">
        <is>
          <t>FA|2/C|14</t>
        </is>
      </c>
      <c r="L4512" s="12" t="inlineStr">
        <is>
          <t>2/C</t>
        </is>
      </c>
      <c r="M4512" s="12" t="inlineStr">
        <is>
          <t>14</t>
        </is>
      </c>
      <c r="N4512" s="12" t="n">
        <v>1</v>
      </c>
      <c r="O4512" s="12" t="n">
        <v>1</v>
      </c>
      <c r="P4512" s="12" t="n"/>
      <c r="Q4512" s="12" t="n"/>
      <c r="R4512" s="12" t="n"/>
      <c r="S4512" s="12" t="inlineStr">
        <is>
          <t>Surface</t>
        </is>
      </c>
      <c r="T4512" s="16" t="n">
        <v>191</v>
      </c>
      <c r="U4512" s="16" t="n">
        <v>32</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I-FA-0010</t>
        </is>
      </c>
      <c r="B4513" s="12" t="inlineStr">
        <is>
          <t>I</t>
        </is>
      </c>
      <c r="C4513" s="12" t="inlineStr">
        <is>
          <t>Modular / portable power</t>
        </is>
      </c>
      <c r="D4513" s="12" t="inlineStr">
        <is>
          <t>Fire alarm / F&amp;G loop (to the local FACP / F&amp;G node)</t>
        </is>
      </c>
      <c r="E4513" s="12" t="inlineStr">
        <is>
          <t>PAD-EH</t>
        </is>
      </c>
      <c r="F4513" s="12" t="inlineStr">
        <is>
          <t>PAD-EH 13.8 kV switchgear e-house</t>
        </is>
      </c>
      <c r="G4513" s="12" t="inlineStr">
        <is>
          <t>CONT-4</t>
        </is>
      </c>
      <c r="H4513" s="12" t="inlineStr">
        <is>
          <t>CONT-4: containerized gas genset 13.8 kV (40 ft)</t>
        </is>
      </c>
      <c r="I4513" s="12" t="inlineStr">
        <is>
          <t>Fire alarm</t>
        </is>
      </c>
      <c r="J4513" s="12" t="inlineStr">
        <is>
          <t>Fire alarm FPLR 2/C #14 shielded, red jacket (NEC 760)</t>
        </is>
      </c>
      <c r="K4513" s="12" t="inlineStr">
        <is>
          <t>FA|2/C|14</t>
        </is>
      </c>
      <c r="L4513" s="12" t="inlineStr">
        <is>
          <t>2/C</t>
        </is>
      </c>
      <c r="M4513" s="12" t="inlineStr">
        <is>
          <t>14</t>
        </is>
      </c>
      <c r="N4513" s="12" t="n">
        <v>1</v>
      </c>
      <c r="O4513" s="12" t="n">
        <v>1</v>
      </c>
      <c r="P4513" s="12" t="n"/>
      <c r="Q4513" s="12" t="n"/>
      <c r="R4513" s="12" t="n"/>
      <c r="S4513" s="12" t="inlineStr">
        <is>
          <t>Duct bank</t>
        </is>
      </c>
      <c r="T4513" s="16" t="n">
        <v>62</v>
      </c>
      <c r="U4513" s="16" t="n">
        <v>81</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I-FA-0011</t>
        </is>
      </c>
      <c r="B4514" s="12" t="inlineStr">
        <is>
          <t>I</t>
        </is>
      </c>
      <c r="C4514" s="12" t="inlineStr">
        <is>
          <t>Modular / portable power</t>
        </is>
      </c>
      <c r="D4514" s="12" t="inlineStr">
        <is>
          <t>Fire alarm / F&amp;G loop (to the local FACP / F&amp;G node)</t>
        </is>
      </c>
      <c r="E4514" s="12" t="inlineStr">
        <is>
          <t>PAD-EH</t>
        </is>
      </c>
      <c r="F4514" s="12" t="inlineStr">
        <is>
          <t>PAD-EH 13.8 kV switchgear e-house</t>
        </is>
      </c>
      <c r="G4514" s="12" t="inlineStr">
        <is>
          <t>CONT-5</t>
        </is>
      </c>
      <c r="H4514" s="12" t="inlineStr">
        <is>
          <t>CONT-5: containerized gas genset 13.8 kV (40 ft)</t>
        </is>
      </c>
      <c r="I4514" s="12" t="inlineStr">
        <is>
          <t>Fire alarm</t>
        </is>
      </c>
      <c r="J4514" s="12" t="inlineStr">
        <is>
          <t>Fire alarm FPLR 2/C #14 shielded, red jacket (NEC 760)</t>
        </is>
      </c>
      <c r="K4514" s="12" t="inlineStr">
        <is>
          <t>FA|2/C|14</t>
        </is>
      </c>
      <c r="L4514" s="12" t="inlineStr">
        <is>
          <t>2/C</t>
        </is>
      </c>
      <c r="M4514" s="12" t="inlineStr">
        <is>
          <t>14</t>
        </is>
      </c>
      <c r="N4514" s="12" t="n">
        <v>1</v>
      </c>
      <c r="O4514" s="12" t="n">
        <v>1</v>
      </c>
      <c r="P4514" s="12" t="n"/>
      <c r="Q4514" s="12" t="n"/>
      <c r="R4514" s="12" t="n"/>
      <c r="S4514" s="12" t="inlineStr">
        <is>
          <t>Duct bank</t>
        </is>
      </c>
      <c r="T4514" s="16" t="n">
        <v>25</v>
      </c>
      <c r="U4514" s="16" t="n">
        <v>58</v>
      </c>
      <c r="V4514" s="16">
        <f>ROUNDUP((T4514+U4514+2*'Read Me'!$B$13)*(1+'Read Me'!$B$12),-1)</f>
        <v/>
      </c>
      <c r="W4514" s="16">
        <f>V4514*N4514*O4514</f>
        <v/>
      </c>
      <c r="X4514" s="12">
        <f>IF(LEFT(I4514,2)="MV",2*N4514*IF(L4514="1/C",O4514,1),0)</f>
        <v/>
      </c>
      <c r="Y4514" s="12">
        <f>IF(OR(LEFT(K4514,4)="LVAX",LEFT(K4514,6)="MV15AX",LEFT(K4514,4)="CTAX",LEFT(K4514,2)="W|"),2*N4514*O4514,0)</f>
        <v/>
      </c>
      <c r="Z4514" s="12" t="inlineStr"/>
      <c r="AA4514" s="12">
        <f>N4514*O4514</f>
        <v/>
      </c>
    </row>
    <row r="4515">
      <c r="A4515" s="12" t="inlineStr">
        <is>
          <t>I-FA-0012</t>
        </is>
      </c>
      <c r="B4515" s="12" t="inlineStr">
        <is>
          <t>I</t>
        </is>
      </c>
      <c r="C4515" s="12" t="inlineStr">
        <is>
          <t>Modular / portable power</t>
        </is>
      </c>
      <c r="D4515" s="12" t="inlineStr">
        <is>
          <t>Fire alarm / F&amp;G loop (to the local FACP / F&amp;G node)</t>
        </is>
      </c>
      <c r="E4515" s="12" t="inlineStr">
        <is>
          <t>PAD-EH</t>
        </is>
      </c>
      <c r="F4515" s="12" t="inlineStr">
        <is>
          <t>PAD-EH 13.8 kV switchgear e-house</t>
        </is>
      </c>
      <c r="G4515" s="12" t="inlineStr">
        <is>
          <t>CONT-6</t>
        </is>
      </c>
      <c r="H4515" s="12" t="inlineStr">
        <is>
          <t>CONT-6: containerized gas genset 13.8 kV (40 ft)</t>
        </is>
      </c>
      <c r="I4515" s="12" t="inlineStr">
        <is>
          <t>Fire alarm</t>
        </is>
      </c>
      <c r="J4515" s="12" t="inlineStr">
        <is>
          <t>Fire alarm FPLR 2/C #14 shielded, red jacket (NEC 760)</t>
        </is>
      </c>
      <c r="K4515" s="12" t="inlineStr">
        <is>
          <t>FA|2/C|14</t>
        </is>
      </c>
      <c r="L4515" s="12" t="inlineStr">
        <is>
          <t>2/C</t>
        </is>
      </c>
      <c r="M4515" s="12" t="inlineStr">
        <is>
          <t>14</t>
        </is>
      </c>
      <c r="N4515" s="12" t="n">
        <v>1</v>
      </c>
      <c r="O4515" s="12" t="n">
        <v>1</v>
      </c>
      <c r="P4515" s="12" t="n"/>
      <c r="Q4515" s="12" t="n"/>
      <c r="R4515" s="12" t="n"/>
      <c r="S4515" s="12" t="inlineStr">
        <is>
          <t>Surface</t>
        </is>
      </c>
      <c r="T4515" s="16" t="n">
        <v>228</v>
      </c>
      <c r="U4515" s="16" t="n">
        <v>46</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I-FA-0013</t>
        </is>
      </c>
      <c r="B4516" s="12" t="inlineStr">
        <is>
          <t>I</t>
        </is>
      </c>
      <c r="C4516" s="12" t="inlineStr">
        <is>
          <t>Modular / portable power</t>
        </is>
      </c>
      <c r="D4516" s="12" t="inlineStr">
        <is>
          <t>Fire alarm / F&amp;G loop (to the local FACP / F&amp;G node)</t>
        </is>
      </c>
      <c r="E4516" s="12" t="inlineStr">
        <is>
          <t>PAD-EH</t>
        </is>
      </c>
      <c r="F4516" s="12" t="inlineStr">
        <is>
          <t>PAD-EH 13.8 kV switchgear e-house</t>
        </is>
      </c>
      <c r="G4516" s="12" t="inlineStr">
        <is>
          <t>CONT-7</t>
        </is>
      </c>
      <c r="H4516" s="12" t="inlineStr">
        <is>
          <t>CONT-7: containerized gas genset 13.8 kV (40 ft)</t>
        </is>
      </c>
      <c r="I4516" s="12" t="inlineStr">
        <is>
          <t>Fire alarm</t>
        </is>
      </c>
      <c r="J4516" s="12" t="inlineStr">
        <is>
          <t>Fire alarm FPLR 2/C #14 shielded, red jacket (NEC 760)</t>
        </is>
      </c>
      <c r="K4516" s="12" t="inlineStr">
        <is>
          <t>FA|2/C|14</t>
        </is>
      </c>
      <c r="L4516" s="12" t="inlineStr">
        <is>
          <t>2/C</t>
        </is>
      </c>
      <c r="M4516" s="12" t="inlineStr">
        <is>
          <t>14</t>
        </is>
      </c>
      <c r="N4516" s="12" t="n">
        <v>1</v>
      </c>
      <c r="O4516" s="12" t="n">
        <v>1</v>
      </c>
      <c r="P4516" s="12" t="n"/>
      <c r="Q4516" s="12" t="n"/>
      <c r="R4516" s="12" t="n"/>
      <c r="S4516" s="12" t="inlineStr">
        <is>
          <t>Surface</t>
        </is>
      </c>
      <c r="T4516" s="16" t="n">
        <v>228</v>
      </c>
      <c r="U4516" s="16" t="n">
        <v>46</v>
      </c>
      <c r="V4516" s="16">
        <f>ROUNDUP((T4516+U4516+2*'Read Me'!$B$13)*(1+'Read Me'!$B$12),-1)</f>
        <v/>
      </c>
      <c r="W4516" s="16">
        <f>V4516*N4516*O4516</f>
        <v/>
      </c>
      <c r="X4516" s="12">
        <f>IF(LEFT(I4516,2)="MV",2*N4516*IF(L4516="1/C",O4516,1),0)</f>
        <v/>
      </c>
      <c r="Y4516" s="12">
        <f>IF(OR(LEFT(K4516,4)="LVAX",LEFT(K4516,6)="MV15AX",LEFT(K4516,4)="CTAX",LEFT(K4516,2)="W|"),2*N4516*O4516,0)</f>
        <v/>
      </c>
      <c r="Z4516" s="12" t="inlineStr"/>
      <c r="AA4516" s="12">
        <f>N4516*O4516</f>
        <v/>
      </c>
    </row>
    <row r="4517">
      <c r="A4517" s="12" t="inlineStr">
        <is>
          <t>I-FA-0014</t>
        </is>
      </c>
      <c r="B4517" s="12" t="inlineStr">
        <is>
          <t>I</t>
        </is>
      </c>
      <c r="C4517" s="12" t="inlineStr">
        <is>
          <t>Modular / portable power</t>
        </is>
      </c>
      <c r="D4517" s="12" t="inlineStr">
        <is>
          <t>Fire alarm / F&amp;G loop (to the local FACP / F&amp;G node)</t>
        </is>
      </c>
      <c r="E4517" s="12" t="inlineStr">
        <is>
          <t>PAD-EH</t>
        </is>
      </c>
      <c r="F4517" s="12" t="inlineStr">
        <is>
          <t>PAD-EH 13.8 kV switchgear e-house</t>
        </is>
      </c>
      <c r="G4517" s="12" t="inlineStr">
        <is>
          <t>CONT-8</t>
        </is>
      </c>
      <c r="H4517" s="12" t="inlineStr">
        <is>
          <t>CONT-8: containerized gas genset 13.8 kV (40 ft)</t>
        </is>
      </c>
      <c r="I4517" s="12" t="inlineStr">
        <is>
          <t>Fire alarm</t>
        </is>
      </c>
      <c r="J4517" s="12" t="inlineStr">
        <is>
          <t>Fire alarm FPLR 2/C #14 shielded, red jacket (NEC 760)</t>
        </is>
      </c>
      <c r="K4517" s="12" t="inlineStr">
        <is>
          <t>FA|2/C|14</t>
        </is>
      </c>
      <c r="L4517" s="12" t="inlineStr">
        <is>
          <t>2/C</t>
        </is>
      </c>
      <c r="M4517" s="12" t="inlineStr">
        <is>
          <t>14</t>
        </is>
      </c>
      <c r="N4517" s="12" t="n">
        <v>1</v>
      </c>
      <c r="O4517" s="12" t="n">
        <v>1</v>
      </c>
      <c r="P4517" s="12" t="n"/>
      <c r="Q4517" s="12" t="n"/>
      <c r="R4517" s="12" t="n"/>
      <c r="S4517" s="12" t="inlineStr">
        <is>
          <t>Surface</t>
        </is>
      </c>
      <c r="T4517" s="16" t="n">
        <v>16</v>
      </c>
      <c r="U4517" s="16" t="n">
        <v>117</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I-FA-0015</t>
        </is>
      </c>
      <c r="B4518" s="12" t="inlineStr">
        <is>
          <t>I</t>
        </is>
      </c>
      <c r="C4518" s="12" t="inlineStr">
        <is>
          <t>Modular / portable power</t>
        </is>
      </c>
      <c r="D4518" s="12" t="inlineStr">
        <is>
          <t>Fire alarm / F&amp;G loop (to the local FACP / F&amp;G node)</t>
        </is>
      </c>
      <c r="E4518" s="12" t="inlineStr">
        <is>
          <t>PAD-EH</t>
        </is>
      </c>
      <c r="F4518" s="12" t="inlineStr">
        <is>
          <t>PAD-EH 13.8 kV switchgear e-house</t>
        </is>
      </c>
      <c r="G4518" s="12" t="inlineStr">
        <is>
          <t>FC-10</t>
        </is>
      </c>
      <c r="H4518" s="12" t="inlineStr">
        <is>
          <t>FC-10: SOFC module (Bloom ES5 class, 200-300 kW)</t>
        </is>
      </c>
      <c r="I4518" s="12" t="inlineStr">
        <is>
          <t>Fire alarm</t>
        </is>
      </c>
      <c r="J4518" s="12" t="inlineStr">
        <is>
          <t>Fire alarm FPLR 2/C #14 shielded, red jacket (NEC 760)</t>
        </is>
      </c>
      <c r="K4518" s="12" t="inlineStr">
        <is>
          <t>FA|2/C|14</t>
        </is>
      </c>
      <c r="L4518" s="12" t="inlineStr">
        <is>
          <t>2/C</t>
        </is>
      </c>
      <c r="M4518" s="12" t="inlineStr">
        <is>
          <t>14</t>
        </is>
      </c>
      <c r="N4518" s="12" t="n">
        <v>1</v>
      </c>
      <c r="O4518" s="12" t="n">
        <v>1</v>
      </c>
      <c r="P4518" s="12" t="n"/>
      <c r="Q4518" s="12" t="n"/>
      <c r="R4518" s="12" t="n"/>
      <c r="S4518" s="12" t="inlineStr">
        <is>
          <t>Duct bank</t>
        </is>
      </c>
      <c r="T4518" s="16" t="n">
        <v>286</v>
      </c>
      <c r="U4518" s="16" t="n">
        <v>50</v>
      </c>
      <c r="V4518" s="16">
        <f>ROUNDUP((T4518+U4518+2*'Read Me'!$B$13)*(1+'Read Me'!$B$12),-1)</f>
        <v/>
      </c>
      <c r="W4518" s="16">
        <f>V4518*N4518*O4518</f>
        <v/>
      </c>
      <c r="X4518" s="12">
        <f>IF(LEFT(I4518,2)="MV",2*N4518*IF(L4518="1/C",O4518,1),0)</f>
        <v/>
      </c>
      <c r="Y4518" s="12">
        <f>IF(OR(LEFT(K4518,4)="LVAX",LEFT(K4518,6)="MV15AX",LEFT(K4518,4)="CTAX",LEFT(K4518,2)="W|"),2*N4518*O4518,0)</f>
        <v/>
      </c>
      <c r="Z4518" s="12" t="inlineStr"/>
      <c r="AA4518" s="12">
        <f>N4518*O4518</f>
        <v/>
      </c>
    </row>
    <row r="4519">
      <c r="A4519" s="12" t="inlineStr">
        <is>
          <t>I-FA-0016</t>
        </is>
      </c>
      <c r="B4519" s="12" t="inlineStr">
        <is>
          <t>I</t>
        </is>
      </c>
      <c r="C4519" s="12" t="inlineStr">
        <is>
          <t>Modular / portable power</t>
        </is>
      </c>
      <c r="D4519" s="12" t="inlineStr">
        <is>
          <t>Fire alarm / F&amp;G loop (to the local FACP / F&amp;G node)</t>
        </is>
      </c>
      <c r="E4519" s="12" t="inlineStr">
        <is>
          <t>PAD-EH</t>
        </is>
      </c>
      <c r="F4519" s="12" t="inlineStr">
        <is>
          <t>PAD-EH 13.8 kV switchgear e-house</t>
        </is>
      </c>
      <c r="G4519" s="12" t="inlineStr">
        <is>
          <t>FC-11</t>
        </is>
      </c>
      <c r="H4519" s="12" t="inlineStr">
        <is>
          <t>FC-11: SOFC module (Bloom ES5 class, 200-300 kW)</t>
        </is>
      </c>
      <c r="I4519" s="12" t="inlineStr">
        <is>
          <t>Fire alarm</t>
        </is>
      </c>
      <c r="J4519" s="12" t="inlineStr">
        <is>
          <t>Fire alarm FPLR 2/C #14 shielded, red jacket (NEC 760)</t>
        </is>
      </c>
      <c r="K4519" s="12" t="inlineStr">
        <is>
          <t>FA|2/C|14</t>
        </is>
      </c>
      <c r="L4519" s="12" t="inlineStr">
        <is>
          <t>2/C</t>
        </is>
      </c>
      <c r="M4519" s="12" t="inlineStr">
        <is>
          <t>14</t>
        </is>
      </c>
      <c r="N4519" s="12" t="n">
        <v>1</v>
      </c>
      <c r="O4519" s="12" t="n">
        <v>1</v>
      </c>
      <c r="P4519" s="12" t="n"/>
      <c r="Q4519" s="12" t="n"/>
      <c r="R4519" s="12" t="n"/>
      <c r="S4519" s="12" t="inlineStr">
        <is>
          <t>Duct bank</t>
        </is>
      </c>
      <c r="T4519" s="16" t="n">
        <v>272</v>
      </c>
      <c r="U4519" s="16" t="n">
        <v>50</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I-FA-0017</t>
        </is>
      </c>
      <c r="B4520" s="12" t="inlineStr">
        <is>
          <t>I</t>
        </is>
      </c>
      <c r="C4520" s="12" t="inlineStr">
        <is>
          <t>Modular / portable power</t>
        </is>
      </c>
      <c r="D4520" s="12" t="inlineStr">
        <is>
          <t>Fire alarm / F&amp;G loop (to the local FACP / F&amp;G node)</t>
        </is>
      </c>
      <c r="E4520" s="12" t="inlineStr">
        <is>
          <t>PAD-EH</t>
        </is>
      </c>
      <c r="F4520" s="12" t="inlineStr">
        <is>
          <t>PAD-EH 13.8 kV switchgear e-house</t>
        </is>
      </c>
      <c r="G4520" s="12" t="inlineStr">
        <is>
          <t>FC-12</t>
        </is>
      </c>
      <c r="H4520" s="12" t="inlineStr">
        <is>
          <t>FC-12: SOFC module (Bloom ES5 class, 200-300 kW)</t>
        </is>
      </c>
      <c r="I4520" s="12" t="inlineStr">
        <is>
          <t>Fire alarm</t>
        </is>
      </c>
      <c r="J4520" s="12" t="inlineStr">
        <is>
          <t>Fire alarm FPLR 2/C #14 shielded, red jacket (NEC 760)</t>
        </is>
      </c>
      <c r="K4520" s="12" t="inlineStr">
        <is>
          <t>FA|2/C|14</t>
        </is>
      </c>
      <c r="L4520" s="12" t="inlineStr">
        <is>
          <t>2/C</t>
        </is>
      </c>
      <c r="M4520" s="12" t="inlineStr">
        <is>
          <t>14</t>
        </is>
      </c>
      <c r="N4520" s="12" t="n">
        <v>1</v>
      </c>
      <c r="O4520" s="12" t="n">
        <v>1</v>
      </c>
      <c r="P4520" s="12" t="n"/>
      <c r="Q4520" s="12" t="n"/>
      <c r="R4520" s="12" t="n"/>
      <c r="S4520" s="12" t="inlineStr">
        <is>
          <t>Duct bank</t>
        </is>
      </c>
      <c r="T4520" s="16" t="n">
        <v>272</v>
      </c>
      <c r="U4520" s="16" t="n">
        <v>41</v>
      </c>
      <c r="V4520" s="16">
        <f>ROUNDUP((T4520+U4520+2*'Read Me'!$B$13)*(1+'Read Me'!$B$12),-1)</f>
        <v/>
      </c>
      <c r="W4520" s="16">
        <f>V4520*N4520*O4520</f>
        <v/>
      </c>
      <c r="X4520" s="12">
        <f>IF(LEFT(I4520,2)="MV",2*N4520*IF(L4520="1/C",O4520,1),0)</f>
        <v/>
      </c>
      <c r="Y4520" s="12">
        <f>IF(OR(LEFT(K4520,4)="LVAX",LEFT(K4520,6)="MV15AX",LEFT(K4520,4)="CTAX",LEFT(K4520,2)="W|"),2*N4520*O4520,0)</f>
        <v/>
      </c>
      <c r="Z4520" s="12" t="inlineStr"/>
      <c r="AA4520" s="12">
        <f>N4520*O4520</f>
        <v/>
      </c>
    </row>
    <row r="4521">
      <c r="A4521" s="12" t="inlineStr">
        <is>
          <t>I-FA-0018</t>
        </is>
      </c>
      <c r="B4521" s="12" t="inlineStr">
        <is>
          <t>I</t>
        </is>
      </c>
      <c r="C4521" s="12" t="inlineStr">
        <is>
          <t>Modular / portable power</t>
        </is>
      </c>
      <c r="D4521" s="12" t="inlineStr">
        <is>
          <t>Fire alarm / F&amp;G loop (to the local FACP / F&amp;G node)</t>
        </is>
      </c>
      <c r="E4521" s="12" t="inlineStr">
        <is>
          <t>PAD-EH</t>
        </is>
      </c>
      <c r="F4521" s="12" t="inlineStr">
        <is>
          <t>PAD-EH 13.8 kV switchgear e-house</t>
        </is>
      </c>
      <c r="G4521" s="12" t="inlineStr"/>
      <c r="H4521" s="12" t="inlineStr">
        <is>
          <t>FC-5..12 inverter / AC cabinet / desulfurizer</t>
        </is>
      </c>
      <c r="I4521" s="12" t="inlineStr">
        <is>
          <t>Fire alarm</t>
        </is>
      </c>
      <c r="J4521" s="12" t="inlineStr">
        <is>
          <t>Fire alarm FPLR 2/C #14 shielded, red jacket (NEC 760)</t>
        </is>
      </c>
      <c r="K4521" s="12" t="inlineStr">
        <is>
          <t>FA|2/C|14</t>
        </is>
      </c>
      <c r="L4521" s="12" t="inlineStr">
        <is>
          <t>2/C</t>
        </is>
      </c>
      <c r="M4521" s="12" t="inlineStr">
        <is>
          <t>14</t>
        </is>
      </c>
      <c r="N4521" s="12" t="n">
        <v>1</v>
      </c>
      <c r="O4521" s="12" t="n">
        <v>1</v>
      </c>
      <c r="P4521" s="12" t="n"/>
      <c r="Q4521" s="12" t="n"/>
      <c r="R4521" s="12" t="n"/>
      <c r="S4521" s="12" t="inlineStr">
        <is>
          <t>Surface</t>
        </is>
      </c>
      <c r="T4521" s="16" t="n">
        <v>202</v>
      </c>
      <c r="U4521" s="16" t="n">
        <v>37</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I-FA-0019</t>
        </is>
      </c>
      <c r="B4522" s="12" t="inlineStr">
        <is>
          <t>I</t>
        </is>
      </c>
      <c r="C4522" s="12" t="inlineStr">
        <is>
          <t>Modular / portable power</t>
        </is>
      </c>
      <c r="D4522" s="12" t="inlineStr">
        <is>
          <t>Fire alarm / F&amp;G loop (to the local FACP / F&amp;G node)</t>
        </is>
      </c>
      <c r="E4522" s="12" t="inlineStr">
        <is>
          <t>PAD-EH</t>
        </is>
      </c>
      <c r="F4522" s="12" t="inlineStr">
        <is>
          <t>PAD-EH 13.8 kV switchgear e-house</t>
        </is>
      </c>
      <c r="G4522" s="12" t="inlineStr">
        <is>
          <t>FC-5</t>
        </is>
      </c>
      <c r="H4522" s="12" t="inlineStr">
        <is>
          <t>FC-5: SOFC module (Bloom ES5 class, 200-300 kW)</t>
        </is>
      </c>
      <c r="I4522" s="12" t="inlineStr">
        <is>
          <t>Fire alarm</t>
        </is>
      </c>
      <c r="J4522" s="12" t="inlineStr">
        <is>
          <t>Fire alarm FPLR 2/C #14 shielded, red jacket (NEC 760)</t>
        </is>
      </c>
      <c r="K4522" s="12" t="inlineStr">
        <is>
          <t>FA|2/C|14</t>
        </is>
      </c>
      <c r="L4522" s="12" t="inlineStr">
        <is>
          <t>2/C</t>
        </is>
      </c>
      <c r="M4522" s="12" t="inlineStr">
        <is>
          <t>14</t>
        </is>
      </c>
      <c r="N4522" s="12" t="n">
        <v>1</v>
      </c>
      <c r="O4522" s="12" t="n">
        <v>1</v>
      </c>
      <c r="P4522" s="12" t="n"/>
      <c r="Q4522" s="12" t="n"/>
      <c r="R4522" s="12" t="n"/>
      <c r="S4522" s="12" t="inlineStr">
        <is>
          <t>Duct bank</t>
        </is>
      </c>
      <c r="T4522" s="16" t="n">
        <v>356</v>
      </c>
      <c r="U4522" s="16" t="n">
        <v>50</v>
      </c>
      <c r="V4522" s="16">
        <f>ROUNDUP((T4522+U4522+2*'Read Me'!$B$13)*(1+'Read Me'!$B$12),-1)</f>
        <v/>
      </c>
      <c r="W4522" s="16">
        <f>V4522*N4522*O4522</f>
        <v/>
      </c>
      <c r="X4522" s="12">
        <f>IF(LEFT(I4522,2)="MV",2*N4522*IF(L4522="1/C",O4522,1),0)</f>
        <v/>
      </c>
      <c r="Y4522" s="12">
        <f>IF(OR(LEFT(K4522,4)="LVAX",LEFT(K4522,6)="MV15AX",LEFT(K4522,4)="CTAX",LEFT(K4522,2)="W|"),2*N4522*O4522,0)</f>
        <v/>
      </c>
      <c r="Z4522" s="12" t="inlineStr"/>
      <c r="AA4522" s="12">
        <f>N4522*O4522</f>
        <v/>
      </c>
    </row>
    <row r="4523">
      <c r="A4523" s="12" t="inlineStr">
        <is>
          <t>I-FA-0020</t>
        </is>
      </c>
      <c r="B4523" s="12" t="inlineStr">
        <is>
          <t>I</t>
        </is>
      </c>
      <c r="C4523" s="12" t="inlineStr">
        <is>
          <t>Modular / portable power</t>
        </is>
      </c>
      <c r="D4523" s="12" t="inlineStr">
        <is>
          <t>Fire alarm / F&amp;G loop (to the local FACP / F&amp;G node)</t>
        </is>
      </c>
      <c r="E4523" s="12" t="inlineStr">
        <is>
          <t>PAD-EH</t>
        </is>
      </c>
      <c r="F4523" s="12" t="inlineStr">
        <is>
          <t>PAD-EH 13.8 kV switchgear e-house</t>
        </is>
      </c>
      <c r="G4523" s="12" t="inlineStr">
        <is>
          <t>FC-6</t>
        </is>
      </c>
      <c r="H4523" s="12" t="inlineStr">
        <is>
          <t>FC-6: SOFC module (Bloom ES5 class, 200-300 kW)</t>
        </is>
      </c>
      <c r="I4523" s="12" t="inlineStr">
        <is>
          <t>Fire alarm</t>
        </is>
      </c>
      <c r="J4523" s="12" t="inlineStr">
        <is>
          <t>Fire alarm FPLR 2/C #14 shielded, red jacket (NEC 760)</t>
        </is>
      </c>
      <c r="K4523" s="12" t="inlineStr">
        <is>
          <t>FA|2/C|14</t>
        </is>
      </c>
      <c r="L4523" s="12" t="inlineStr">
        <is>
          <t>2/C</t>
        </is>
      </c>
      <c r="M4523" s="12" t="inlineStr">
        <is>
          <t>14</t>
        </is>
      </c>
      <c r="N4523" s="12" t="n">
        <v>1</v>
      </c>
      <c r="O4523" s="12" t="n">
        <v>1</v>
      </c>
      <c r="P4523" s="12" t="n"/>
      <c r="Q4523" s="12" t="n"/>
      <c r="R4523" s="12" t="n"/>
      <c r="S4523" s="12" t="inlineStr">
        <is>
          <t>Duct bank</t>
        </is>
      </c>
      <c r="T4523" s="16" t="n">
        <v>342</v>
      </c>
      <c r="U4523" s="16" t="n">
        <v>50</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I-FA-0021</t>
        </is>
      </c>
      <c r="B4524" s="12" t="inlineStr">
        <is>
          <t>I</t>
        </is>
      </c>
      <c r="C4524" s="12" t="inlineStr">
        <is>
          <t>Modular / portable power</t>
        </is>
      </c>
      <c r="D4524" s="12" t="inlineStr">
        <is>
          <t>Fire alarm / F&amp;G loop (to the local FACP / F&amp;G node)</t>
        </is>
      </c>
      <c r="E4524" s="12" t="inlineStr">
        <is>
          <t>PAD-EH</t>
        </is>
      </c>
      <c r="F4524" s="12" t="inlineStr">
        <is>
          <t>PAD-EH 13.8 kV switchgear e-house</t>
        </is>
      </c>
      <c r="G4524" s="12" t="inlineStr">
        <is>
          <t>FC-7</t>
        </is>
      </c>
      <c r="H4524" s="12" t="inlineStr">
        <is>
          <t>FC-7: SOFC module (Bloom ES5 class, 200-300 kW)</t>
        </is>
      </c>
      <c r="I4524" s="12" t="inlineStr">
        <is>
          <t>Fire alarm</t>
        </is>
      </c>
      <c r="J4524" s="12" t="inlineStr">
        <is>
          <t>Fire alarm FPLR 2/C #14 shielded, red jacket (NEC 760)</t>
        </is>
      </c>
      <c r="K4524" s="12" t="inlineStr">
        <is>
          <t>FA|2/C|14</t>
        </is>
      </c>
      <c r="L4524" s="12" t="inlineStr">
        <is>
          <t>2/C</t>
        </is>
      </c>
      <c r="M4524" s="12" t="inlineStr">
        <is>
          <t>14</t>
        </is>
      </c>
      <c r="N4524" s="12" t="n">
        <v>1</v>
      </c>
      <c r="O4524" s="12" t="n">
        <v>1</v>
      </c>
      <c r="P4524" s="12" t="n"/>
      <c r="Q4524" s="12" t="n"/>
      <c r="R4524" s="12" t="n"/>
      <c r="S4524" s="12" t="inlineStr">
        <is>
          <t>Duct bank</t>
        </is>
      </c>
      <c r="T4524" s="16" t="n">
        <v>328</v>
      </c>
      <c r="U4524" s="16" t="n">
        <v>50</v>
      </c>
      <c r="V4524" s="16">
        <f>ROUNDUP((T4524+U4524+2*'Read Me'!$B$13)*(1+'Read Me'!$B$12),-1)</f>
        <v/>
      </c>
      <c r="W4524" s="16">
        <f>V4524*N4524*O4524</f>
        <v/>
      </c>
      <c r="X4524" s="12">
        <f>IF(LEFT(I4524,2)="MV",2*N4524*IF(L4524="1/C",O4524,1),0)</f>
        <v/>
      </c>
      <c r="Y4524" s="12">
        <f>IF(OR(LEFT(K4524,4)="LVAX",LEFT(K4524,6)="MV15AX",LEFT(K4524,4)="CTAX",LEFT(K4524,2)="W|"),2*N4524*O4524,0)</f>
        <v/>
      </c>
      <c r="Z4524" s="12" t="inlineStr"/>
      <c r="AA4524" s="12">
        <f>N4524*O4524</f>
        <v/>
      </c>
    </row>
    <row r="4525">
      <c r="A4525" s="12" t="inlineStr">
        <is>
          <t>I-FA-0022</t>
        </is>
      </c>
      <c r="B4525" s="12" t="inlineStr">
        <is>
          <t>I</t>
        </is>
      </c>
      <c r="C4525" s="12" t="inlineStr">
        <is>
          <t>Modular / portable power</t>
        </is>
      </c>
      <c r="D4525" s="12" t="inlineStr">
        <is>
          <t>Fire alarm / F&amp;G loop (to the local FACP / F&amp;G node)</t>
        </is>
      </c>
      <c r="E4525" s="12" t="inlineStr">
        <is>
          <t>PAD-EH</t>
        </is>
      </c>
      <c r="F4525" s="12" t="inlineStr">
        <is>
          <t>PAD-EH 13.8 kV switchgear e-house</t>
        </is>
      </c>
      <c r="G4525" s="12" t="inlineStr">
        <is>
          <t>FC-8</t>
        </is>
      </c>
      <c r="H4525" s="12" t="inlineStr">
        <is>
          <t>FC-8: SOFC module (Bloom ES5 class, 200-300 kW)</t>
        </is>
      </c>
      <c r="I4525" s="12" t="inlineStr">
        <is>
          <t>Fire alarm</t>
        </is>
      </c>
      <c r="J4525" s="12" t="inlineStr">
        <is>
          <t>Fire alarm FPLR 2/C #14 shielded, red jacket (NEC 760)</t>
        </is>
      </c>
      <c r="K4525" s="12" t="inlineStr">
        <is>
          <t>FA|2/C|14</t>
        </is>
      </c>
      <c r="L4525" s="12" t="inlineStr">
        <is>
          <t>2/C</t>
        </is>
      </c>
      <c r="M4525" s="12" t="inlineStr">
        <is>
          <t>14</t>
        </is>
      </c>
      <c r="N4525" s="12" t="n">
        <v>1</v>
      </c>
      <c r="O4525" s="12" t="n">
        <v>1</v>
      </c>
      <c r="P4525" s="12" t="n"/>
      <c r="Q4525" s="12" t="n"/>
      <c r="R4525" s="12" t="n"/>
      <c r="S4525" s="12" t="inlineStr">
        <is>
          <t>Duct bank</t>
        </is>
      </c>
      <c r="T4525" s="16" t="n">
        <v>314</v>
      </c>
      <c r="U4525" s="16" t="n">
        <v>50</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I-FA-0023</t>
        </is>
      </c>
      <c r="B4526" s="12" t="inlineStr">
        <is>
          <t>I</t>
        </is>
      </c>
      <c r="C4526" s="12" t="inlineStr">
        <is>
          <t>Modular / portable power</t>
        </is>
      </c>
      <c r="D4526" s="12" t="inlineStr">
        <is>
          <t>Fire alarm / F&amp;G loop (to the local FACP / F&amp;G node)</t>
        </is>
      </c>
      <c r="E4526" s="12" t="inlineStr">
        <is>
          <t>PAD-EH</t>
        </is>
      </c>
      <c r="F4526" s="12" t="inlineStr">
        <is>
          <t>PAD-EH 13.8 kV switchgear e-house</t>
        </is>
      </c>
      <c r="G4526" s="12" t="inlineStr">
        <is>
          <t>FC-9</t>
        </is>
      </c>
      <c r="H4526" s="12" t="inlineStr">
        <is>
          <t>FC-9: SOFC module (Bloom ES5 class, 200-300 kW)</t>
        </is>
      </c>
      <c r="I4526" s="12" t="inlineStr">
        <is>
          <t>Fire alarm</t>
        </is>
      </c>
      <c r="J4526" s="12" t="inlineStr">
        <is>
          <t>Fire alarm FPLR 2/C #14 shielded, red jacket (NEC 760)</t>
        </is>
      </c>
      <c r="K4526" s="12" t="inlineStr">
        <is>
          <t>FA|2/C|14</t>
        </is>
      </c>
      <c r="L4526" s="12" t="inlineStr">
        <is>
          <t>2/C</t>
        </is>
      </c>
      <c r="M4526" s="12" t="inlineStr">
        <is>
          <t>14</t>
        </is>
      </c>
      <c r="N4526" s="12" t="n">
        <v>1</v>
      </c>
      <c r="O4526" s="12" t="n">
        <v>1</v>
      </c>
      <c r="P4526" s="12" t="n"/>
      <c r="Q4526" s="12" t="n"/>
      <c r="R4526" s="12" t="n"/>
      <c r="S4526" s="12" t="inlineStr">
        <is>
          <t>Duct bank</t>
        </is>
      </c>
      <c r="T4526" s="16" t="n">
        <v>300</v>
      </c>
      <c r="U4526" s="16" t="n">
        <v>50</v>
      </c>
      <c r="V4526" s="16">
        <f>ROUNDUP((T4526+U4526+2*'Read Me'!$B$13)*(1+'Read Me'!$B$12),-1)</f>
        <v/>
      </c>
      <c r="W4526" s="16">
        <f>V4526*N4526*O4526</f>
        <v/>
      </c>
      <c r="X4526" s="12">
        <f>IF(LEFT(I4526,2)="MV",2*N4526*IF(L4526="1/C",O4526,1),0)</f>
        <v/>
      </c>
      <c r="Y4526" s="12">
        <f>IF(OR(LEFT(K4526,4)="LVAX",LEFT(K4526,6)="MV15AX",LEFT(K4526,4)="CTAX",LEFT(K4526,2)="W|"),2*N4526*O4526,0)</f>
        <v/>
      </c>
      <c r="Z4526" s="12" t="inlineStr"/>
      <c r="AA4526" s="12">
        <f>N4526*O4526</f>
        <v/>
      </c>
    </row>
    <row r="4527">
      <c r="A4527" s="12" t="inlineStr">
        <is>
          <t>I-FA-0024</t>
        </is>
      </c>
      <c r="B4527" s="12" t="inlineStr">
        <is>
          <t>I</t>
        </is>
      </c>
      <c r="C4527" s="12" t="inlineStr">
        <is>
          <t>Modular / portable power</t>
        </is>
      </c>
      <c r="D4527" s="12" t="inlineStr">
        <is>
          <t>Fire alarm / F&amp;G loop (to the local FACP / F&amp;G node)</t>
        </is>
      </c>
      <c r="E4527" s="12" t="inlineStr">
        <is>
          <t>PAD-EH</t>
        </is>
      </c>
      <c r="F4527" s="12" t="inlineStr">
        <is>
          <t>PAD-EH 13.8 kV switchgear e-house</t>
        </is>
      </c>
      <c r="G4527" s="12" t="inlineStr">
        <is>
          <t>GEN-E</t>
        </is>
      </c>
      <c r="H4527" s="12" t="inlineStr">
        <is>
          <t>GEN-E: enclosed industrial gas genset 2 MW</t>
        </is>
      </c>
      <c r="I4527" s="12" t="inlineStr">
        <is>
          <t>Fire alarm</t>
        </is>
      </c>
      <c r="J4527" s="12" t="inlineStr">
        <is>
          <t>Fire alarm FPLR 2/C #14 shielded, red jacket (NEC 760)</t>
        </is>
      </c>
      <c r="K4527" s="12" t="inlineStr">
        <is>
          <t>FA|2/C|14</t>
        </is>
      </c>
      <c r="L4527" s="12" t="inlineStr">
        <is>
          <t>2/C</t>
        </is>
      </c>
      <c r="M4527" s="12" t="inlineStr">
        <is>
          <t>14</t>
        </is>
      </c>
      <c r="N4527" s="12" t="n">
        <v>1</v>
      </c>
      <c r="O4527" s="12" t="n">
        <v>1</v>
      </c>
      <c r="P4527" s="12" t="n"/>
      <c r="Q4527" s="12" t="n"/>
      <c r="R4527" s="12" t="n"/>
      <c r="S4527" s="12" t="inlineStr">
        <is>
          <t>Surface</t>
        </is>
      </c>
      <c r="T4527" s="16" t="n">
        <v>153</v>
      </c>
      <c r="U4527" s="16" t="n">
        <v>32</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I-FA-0025</t>
        </is>
      </c>
      <c r="B4528" s="12" t="inlineStr">
        <is>
          <t>I</t>
        </is>
      </c>
      <c r="C4528" s="12" t="inlineStr">
        <is>
          <t>Modular / portable power</t>
        </is>
      </c>
      <c r="D4528" s="12" t="inlineStr">
        <is>
          <t>Fire alarm / F&amp;G loop (to the local FACP / F&amp;G node)</t>
        </is>
      </c>
      <c r="E4528" s="12" t="inlineStr">
        <is>
          <t>PAD-EH</t>
        </is>
      </c>
      <c r="F4528" s="12" t="inlineStr">
        <is>
          <t>PAD-EH 13.8 kV switchgear e-house</t>
        </is>
      </c>
      <c r="G4528" s="12" t="inlineStr">
        <is>
          <t>GEN-O</t>
        </is>
      </c>
      <c r="H4528" s="12" t="inlineStr">
        <is>
          <t>GEN-O: open engine-generator skid</t>
        </is>
      </c>
      <c r="I4528" s="12" t="inlineStr">
        <is>
          <t>Fire alarm</t>
        </is>
      </c>
      <c r="J4528" s="12" t="inlineStr">
        <is>
          <t>Fire alarm FPLR 2/C #14 shielded, red jacket (NEC 760)</t>
        </is>
      </c>
      <c r="K4528" s="12" t="inlineStr">
        <is>
          <t>FA|2/C|14</t>
        </is>
      </c>
      <c r="L4528" s="12" t="inlineStr">
        <is>
          <t>2/C</t>
        </is>
      </c>
      <c r="M4528" s="12" t="inlineStr">
        <is>
          <t>14</t>
        </is>
      </c>
      <c r="N4528" s="12" t="n">
        <v>1</v>
      </c>
      <c r="O4528" s="12" t="n">
        <v>1</v>
      </c>
      <c r="P4528" s="12" t="n"/>
      <c r="Q4528" s="12" t="n"/>
      <c r="R4528" s="12" t="n"/>
      <c r="S4528" s="12" t="inlineStr">
        <is>
          <t>Surface</t>
        </is>
      </c>
      <c r="T4528" s="16" t="n">
        <v>153</v>
      </c>
      <c r="U4528" s="16" t="n">
        <v>79</v>
      </c>
      <c r="V4528" s="16">
        <f>ROUNDUP((T4528+U4528+2*'Read Me'!$B$13)*(1+'Read Me'!$B$12),-1)</f>
        <v/>
      </c>
      <c r="W4528" s="16">
        <f>V4528*N4528*O4528</f>
        <v/>
      </c>
      <c r="X4528" s="12">
        <f>IF(LEFT(I4528,2)="MV",2*N4528*IF(L4528="1/C",O4528,1),0)</f>
        <v/>
      </c>
      <c r="Y4528" s="12">
        <f>IF(OR(LEFT(K4528,4)="LVAX",LEFT(K4528,6)="MV15AX",LEFT(K4528,4)="CTAX",LEFT(K4528,2)="W|"),2*N4528*O4528,0)</f>
        <v/>
      </c>
      <c r="Z4528" s="12" t="inlineStr"/>
      <c r="AA4528" s="12">
        <f>N4528*O4528</f>
        <v/>
      </c>
    </row>
    <row r="4529">
      <c r="A4529" s="12" t="inlineStr">
        <is>
          <t>I-FA-0026</t>
        </is>
      </c>
      <c r="B4529" s="12" t="inlineStr">
        <is>
          <t>I</t>
        </is>
      </c>
      <c r="C4529" s="12" t="inlineStr">
        <is>
          <t>Modular / portable power</t>
        </is>
      </c>
      <c r="D4529" s="12" t="inlineStr">
        <is>
          <t>Fire alarm / F&amp;G loop (to the local FACP / F&amp;G node)</t>
        </is>
      </c>
      <c r="E4529" s="12" t="inlineStr"/>
      <c r="F4529" s="12" t="inlineStr">
        <is>
          <t>PCM: power control module</t>
        </is>
      </c>
      <c r="G4529" s="12" t="inlineStr"/>
      <c r="H4529" s="12" t="inlineStr">
        <is>
          <t>Lube oil / starting air / oily water building</t>
        </is>
      </c>
      <c r="I4529" s="12" t="inlineStr">
        <is>
          <t>Fire alarm</t>
        </is>
      </c>
      <c r="J4529" s="12" t="inlineStr">
        <is>
          <t>Fire alarm FPLR 2/C #14 shielded, red jacket (NEC 760)</t>
        </is>
      </c>
      <c r="K4529" s="12" t="inlineStr">
        <is>
          <t>FA|2/C|14</t>
        </is>
      </c>
      <c r="L4529" s="12" t="inlineStr">
        <is>
          <t>2/C</t>
        </is>
      </c>
      <c r="M4529" s="12" t="inlineStr">
        <is>
          <t>14</t>
        </is>
      </c>
      <c r="N4529" s="12" t="n">
        <v>1</v>
      </c>
      <c r="O4529" s="12" t="n">
        <v>1</v>
      </c>
      <c r="P4529" s="12" t="n"/>
      <c r="Q4529" s="12" t="n"/>
      <c r="R4529" s="12" t="n"/>
      <c r="S4529" s="12" t="inlineStr">
        <is>
          <t>Tray</t>
        </is>
      </c>
      <c r="T4529" s="16" t="n">
        <v>40</v>
      </c>
      <c r="U4529" s="16" t="n">
        <v>164</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I-FA-0027</t>
        </is>
      </c>
      <c r="B4530" s="12" t="inlineStr">
        <is>
          <t>I</t>
        </is>
      </c>
      <c r="C4530" s="12" t="inlineStr">
        <is>
          <t>Modular / portable power</t>
        </is>
      </c>
      <c r="D4530" s="12" t="inlineStr">
        <is>
          <t>Fire alarm / F&amp;G loop (to the local FACP / F&amp;G node)</t>
        </is>
      </c>
      <c r="E4530" s="12" t="inlineStr">
        <is>
          <t>PAD-EH</t>
        </is>
      </c>
      <c r="F4530" s="12" t="inlineStr">
        <is>
          <t>PAD-EH 13.8 kV switchgear e-house</t>
        </is>
      </c>
      <c r="G4530" s="12" t="inlineStr">
        <is>
          <t>MOB-1</t>
        </is>
      </c>
      <c r="H4530" s="12" t="inlineStr">
        <is>
          <t>MOB-1: trailer genset</t>
        </is>
      </c>
      <c r="I4530" s="12" t="inlineStr">
        <is>
          <t>Fire alarm</t>
        </is>
      </c>
      <c r="J4530" s="12" t="inlineStr">
        <is>
          <t>Fire alarm FPLR 2/C #14 shielded, red jacket (NEC 760)</t>
        </is>
      </c>
      <c r="K4530" s="12" t="inlineStr">
        <is>
          <t>FA|2/C|14</t>
        </is>
      </c>
      <c r="L4530" s="12" t="inlineStr">
        <is>
          <t>2/C</t>
        </is>
      </c>
      <c r="M4530" s="12" t="inlineStr">
        <is>
          <t>14</t>
        </is>
      </c>
      <c r="N4530" s="12" t="n">
        <v>1</v>
      </c>
      <c r="O4530" s="12" t="n">
        <v>1</v>
      </c>
      <c r="P4530" s="12" t="n"/>
      <c r="Q4530" s="12" t="n"/>
      <c r="R4530" s="12" t="n"/>
      <c r="S4530" s="12" t="inlineStr">
        <is>
          <t>Surface</t>
        </is>
      </c>
      <c r="T4530" s="16" t="n">
        <v>373</v>
      </c>
      <c r="U4530" s="16" t="n">
        <v>41</v>
      </c>
      <c r="V4530" s="16">
        <f>ROUNDUP((T4530+U4530+2*'Read Me'!$B$13)*(1+'Read Me'!$B$12),-1)</f>
        <v/>
      </c>
      <c r="W4530" s="16">
        <f>V4530*N4530*O4530</f>
        <v/>
      </c>
      <c r="X4530" s="12">
        <f>IF(LEFT(I4530,2)="MV",2*N4530*IF(L4530="1/C",O4530,1),0)</f>
        <v/>
      </c>
      <c r="Y4530" s="12">
        <f>IF(OR(LEFT(K4530,4)="LVAX",LEFT(K4530,6)="MV15AX",LEFT(K4530,4)="CTAX",LEFT(K4530,2)="W|"),2*N4530*O4530,0)</f>
        <v/>
      </c>
      <c r="Z4530" s="12" t="inlineStr"/>
      <c r="AA4530" s="12">
        <f>N4530*O4530</f>
        <v/>
      </c>
    </row>
    <row r="4531">
      <c r="A4531" s="12" t="inlineStr">
        <is>
          <t>I-FA-0028</t>
        </is>
      </c>
      <c r="B4531" s="12" t="inlineStr">
        <is>
          <t>I</t>
        </is>
      </c>
      <c r="C4531" s="12" t="inlineStr">
        <is>
          <t>Modular / portable power</t>
        </is>
      </c>
      <c r="D4531" s="12" t="inlineStr">
        <is>
          <t>Fire alarm / F&amp;G loop (to the local FACP / F&amp;G node)</t>
        </is>
      </c>
      <c r="E4531" s="12" t="inlineStr"/>
      <c r="F4531" s="12" t="inlineStr">
        <is>
          <t>PCM: power control module</t>
        </is>
      </c>
      <c r="G4531" s="12" t="inlineStr">
        <is>
          <t>MOD-EH</t>
        </is>
      </c>
      <c r="H4531" s="12" t="inlineStr">
        <is>
          <t>MOD-EH: 13.8 kV modular collector e-house</t>
        </is>
      </c>
      <c r="I4531" s="12" t="inlineStr">
        <is>
          <t>Fire alarm</t>
        </is>
      </c>
      <c r="J4531" s="12" t="inlineStr">
        <is>
          <t>Fire alarm FPLR 2/C #14 shielded, red jacket (NEC 760)</t>
        </is>
      </c>
      <c r="K4531" s="12" t="inlineStr">
        <is>
          <t>FA|2/C|14</t>
        </is>
      </c>
      <c r="L4531" s="12" t="inlineStr">
        <is>
          <t>2/C</t>
        </is>
      </c>
      <c r="M4531" s="12" t="inlineStr">
        <is>
          <t>14</t>
        </is>
      </c>
      <c r="N4531" s="12" t="n">
        <v>1</v>
      </c>
      <c r="O4531" s="12" t="n">
        <v>1</v>
      </c>
      <c r="P4531" s="12" t="n"/>
      <c r="Q4531" s="12" t="n"/>
      <c r="R4531" s="12" t="n"/>
      <c r="S4531" s="12" t="inlineStr">
        <is>
          <t>Duct bank</t>
        </is>
      </c>
      <c r="T4531" s="16" t="n">
        <v>355</v>
      </c>
      <c r="U4531" s="16" t="n">
        <v>32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I-FA-0029</t>
        </is>
      </c>
      <c r="B4532" s="12" t="inlineStr">
        <is>
          <t>I</t>
        </is>
      </c>
      <c r="C4532" s="12" t="inlineStr">
        <is>
          <t>Modular / portable power</t>
        </is>
      </c>
      <c r="D4532" s="12" t="inlineStr">
        <is>
          <t>Fire alarm / F&amp;G loop (to the local FACP / F&amp;G node)</t>
        </is>
      </c>
      <c r="E4532" s="12" t="inlineStr">
        <is>
          <t>PAD-EH</t>
        </is>
      </c>
      <c r="F4532" s="12" t="inlineStr">
        <is>
          <t>PAD-EH 13.8 kV switchgear e-house</t>
        </is>
      </c>
      <c r="G4532" s="12" t="inlineStr">
        <is>
          <t>MT-4</t>
        </is>
      </c>
      <c r="H4532" s="12" t="inlineStr">
        <is>
          <t>MT-4: microturbine 1 MW (Capstone C1000 class)</t>
        </is>
      </c>
      <c r="I4532" s="12" t="inlineStr">
        <is>
          <t>Fire alarm</t>
        </is>
      </c>
      <c r="J4532" s="12" t="inlineStr">
        <is>
          <t>Fire alarm FPLR 2/C #14 shielded, red jacket (NEC 760)</t>
        </is>
      </c>
      <c r="K4532" s="12" t="inlineStr">
        <is>
          <t>FA|2/C|14</t>
        </is>
      </c>
      <c r="L4532" s="12" t="inlineStr">
        <is>
          <t>2/C</t>
        </is>
      </c>
      <c r="M4532" s="12" t="inlineStr">
        <is>
          <t>14</t>
        </is>
      </c>
      <c r="N4532" s="12" t="n">
        <v>1</v>
      </c>
      <c r="O4532" s="12" t="n">
        <v>1</v>
      </c>
      <c r="P4532" s="12" t="n"/>
      <c r="Q4532" s="12" t="n"/>
      <c r="R4532" s="12" t="n"/>
      <c r="S4532" s="12" t="inlineStr">
        <is>
          <t>Surface</t>
        </is>
      </c>
      <c r="T4532" s="16" t="n">
        <v>198</v>
      </c>
      <c r="U4532" s="16" t="n">
        <v>47</v>
      </c>
      <c r="V4532" s="16">
        <f>ROUNDUP((T4532+U4532+2*'Read Me'!$B$13)*(1+'Read Me'!$B$12),-1)</f>
        <v/>
      </c>
      <c r="W4532" s="16">
        <f>V4532*N4532*O4532</f>
        <v/>
      </c>
      <c r="X4532" s="12">
        <f>IF(LEFT(I4532,2)="MV",2*N4532*IF(L4532="1/C",O4532,1),0)</f>
        <v/>
      </c>
      <c r="Y4532" s="12">
        <f>IF(OR(LEFT(K4532,4)="LVAX",LEFT(K4532,6)="MV15AX",LEFT(K4532,4)="CTAX",LEFT(K4532,2)="W|"),2*N4532*O4532,0)</f>
        <v/>
      </c>
      <c r="Z4532" s="12" t="inlineStr"/>
      <c r="AA4532" s="12">
        <f>N4532*O4532</f>
        <v/>
      </c>
    </row>
    <row r="4533">
      <c r="A4533" s="12" t="inlineStr">
        <is>
          <t>I-FA-0030</t>
        </is>
      </c>
      <c r="B4533" s="12" t="inlineStr">
        <is>
          <t>I</t>
        </is>
      </c>
      <c r="C4533" s="12" t="inlineStr">
        <is>
          <t>Modular / portable power</t>
        </is>
      </c>
      <c r="D4533" s="12" t="inlineStr">
        <is>
          <t>Fire alarm / F&amp;G loop (to the local FACP / F&amp;G node)</t>
        </is>
      </c>
      <c r="E4533" s="12" t="inlineStr">
        <is>
          <t>PAD-EH</t>
        </is>
      </c>
      <c r="F4533" s="12" t="inlineStr">
        <is>
          <t>PAD-EH 13.8 kV switchgear e-house</t>
        </is>
      </c>
      <c r="G4533" s="12" t="inlineStr">
        <is>
          <t>MT-5</t>
        </is>
      </c>
      <c r="H4533" s="12" t="inlineStr">
        <is>
          <t>MT-5: microturbine 1 MW (Capstone C1000 class)</t>
        </is>
      </c>
      <c r="I4533" s="12" t="inlineStr">
        <is>
          <t>Fire alarm</t>
        </is>
      </c>
      <c r="J4533" s="12" t="inlineStr">
        <is>
          <t>Fire alarm FPLR 2/C #14 shielded, red jacket (NEC 760)</t>
        </is>
      </c>
      <c r="K4533" s="12" t="inlineStr">
        <is>
          <t>FA|2/C|14</t>
        </is>
      </c>
      <c r="L4533" s="12" t="inlineStr">
        <is>
          <t>2/C</t>
        </is>
      </c>
      <c r="M4533" s="12" t="inlineStr">
        <is>
          <t>14</t>
        </is>
      </c>
      <c r="N4533" s="12" t="n">
        <v>1</v>
      </c>
      <c r="O4533" s="12" t="n">
        <v>1</v>
      </c>
      <c r="P4533" s="12" t="n"/>
      <c r="Q4533" s="12" t="n"/>
      <c r="R4533" s="12" t="n"/>
      <c r="S4533" s="12" t="inlineStr">
        <is>
          <t>Surface</t>
        </is>
      </c>
      <c r="T4533" s="16" t="n">
        <v>198</v>
      </c>
      <c r="U4533" s="16" t="n">
        <v>37</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I-FA-0031</t>
        </is>
      </c>
      <c r="B4534" s="12" t="inlineStr">
        <is>
          <t>I</t>
        </is>
      </c>
      <c r="C4534" s="12" t="inlineStr">
        <is>
          <t>Modular / portable power</t>
        </is>
      </c>
      <c r="D4534" s="12" t="inlineStr">
        <is>
          <t>Fire alarm / F&amp;G loop (to the local FACP / F&amp;G node)</t>
        </is>
      </c>
      <c r="E4534" s="12" t="inlineStr">
        <is>
          <t>PAD-EH</t>
        </is>
      </c>
      <c r="F4534" s="12" t="inlineStr">
        <is>
          <t>PAD-EH 13.8 kV switchgear e-house</t>
        </is>
      </c>
      <c r="G4534" s="12" t="inlineStr">
        <is>
          <t>MT-6</t>
        </is>
      </c>
      <c r="H4534" s="12" t="inlineStr">
        <is>
          <t>MT-6: microturbine 1 MW (Capstone C1000 class)</t>
        </is>
      </c>
      <c r="I4534" s="12" t="inlineStr">
        <is>
          <t>Fire alarm</t>
        </is>
      </c>
      <c r="J4534" s="12" t="inlineStr">
        <is>
          <t>Fire alarm FPLR 2/C #14 shielded, red jacket (NEC 760)</t>
        </is>
      </c>
      <c r="K4534" s="12" t="inlineStr">
        <is>
          <t>FA|2/C|14</t>
        </is>
      </c>
      <c r="L4534" s="12" t="inlineStr">
        <is>
          <t>2/C</t>
        </is>
      </c>
      <c r="M4534" s="12" t="inlineStr">
        <is>
          <t>14</t>
        </is>
      </c>
      <c r="N4534" s="12" t="n">
        <v>1</v>
      </c>
      <c r="O4534" s="12" t="n">
        <v>1</v>
      </c>
      <c r="P4534" s="12" t="n"/>
      <c r="Q4534" s="12" t="n"/>
      <c r="R4534" s="12" t="n"/>
      <c r="S4534" s="12" t="inlineStr">
        <is>
          <t>Surface</t>
        </is>
      </c>
      <c r="T4534" s="16" t="n">
        <v>67</v>
      </c>
      <c r="U4534" s="16" t="n">
        <v>90</v>
      </c>
      <c r="V4534" s="16">
        <f>ROUNDUP((T4534+U4534+2*'Read Me'!$B$13)*(1+'Read Me'!$B$12),-1)</f>
        <v/>
      </c>
      <c r="W4534" s="16">
        <f>V4534*N4534*O4534</f>
        <v/>
      </c>
      <c r="X4534" s="12">
        <f>IF(LEFT(I4534,2)="MV",2*N4534*IF(L4534="1/C",O4534,1),0)</f>
        <v/>
      </c>
      <c r="Y4534" s="12">
        <f>IF(OR(LEFT(K4534,4)="LVAX",LEFT(K4534,6)="MV15AX",LEFT(K4534,4)="CTAX",LEFT(K4534,2)="W|"),2*N4534*O4534,0)</f>
        <v/>
      </c>
      <c r="Z4534" s="12" t="inlineStr"/>
      <c r="AA4534" s="12">
        <f>N4534*O4534</f>
        <v/>
      </c>
    </row>
    <row r="4535">
      <c r="A4535" s="12" t="inlineStr">
        <is>
          <t>I-FA-0032</t>
        </is>
      </c>
      <c r="B4535" s="12" t="inlineStr">
        <is>
          <t>I</t>
        </is>
      </c>
      <c r="C4535" s="12" t="inlineStr">
        <is>
          <t>Modular / portable power</t>
        </is>
      </c>
      <c r="D4535" s="12" t="inlineStr">
        <is>
          <t>Fire alarm / F&amp;G loop (to the local FACP / F&amp;G node)</t>
        </is>
      </c>
      <c r="E4535" s="12" t="inlineStr"/>
      <c r="F4535" s="12" t="inlineStr">
        <is>
          <t>PCM: power control module</t>
        </is>
      </c>
      <c r="G4535" s="12" t="inlineStr"/>
      <c r="H4535" s="12" t="inlineStr">
        <is>
          <t>PCM: power control module</t>
        </is>
      </c>
      <c r="I4535" s="12" t="inlineStr">
        <is>
          <t>Fire alarm</t>
        </is>
      </c>
      <c r="J4535" s="12" t="inlineStr">
        <is>
          <t>Fire alarm FPLR 2/C #14 shielded, red jacket (NEC 760)</t>
        </is>
      </c>
      <c r="K4535" s="12" t="inlineStr">
        <is>
          <t>FA|2/C|14</t>
        </is>
      </c>
      <c r="L4535" s="12" t="inlineStr">
        <is>
          <t>2/C</t>
        </is>
      </c>
      <c r="M4535" s="12" t="inlineStr">
        <is>
          <t>14</t>
        </is>
      </c>
      <c r="N4535" s="12" t="n">
        <v>1</v>
      </c>
      <c r="O4535" s="12" t="n">
        <v>1</v>
      </c>
      <c r="P4535" s="12" t="n"/>
      <c r="Q4535" s="12" t="n"/>
      <c r="R4535" s="12" t="n"/>
      <c r="S4535" s="12" t="inlineStr">
        <is>
          <t>Tray</t>
        </is>
      </c>
      <c r="T4535" s="16" t="n">
        <v>0</v>
      </c>
      <c r="U4535" s="16" t="n">
        <v>32</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I-FA-0033</t>
        </is>
      </c>
      <c r="B4536" s="12" t="inlineStr">
        <is>
          <t>I</t>
        </is>
      </c>
      <c r="C4536" s="12" t="inlineStr">
        <is>
          <t>Modular / portable power</t>
        </is>
      </c>
      <c r="D4536" s="12" t="inlineStr">
        <is>
          <t>Fire alarm / F&amp;G loop (to the local FACP / F&amp;G node)</t>
        </is>
      </c>
      <c r="E4536" s="12" t="inlineStr"/>
      <c r="F4536" s="12" t="inlineStr">
        <is>
          <t>PCM: power control module</t>
        </is>
      </c>
      <c r="G4536" s="12" t="inlineStr"/>
      <c r="H4536" s="12" t="inlineStr">
        <is>
          <t>RICE CEMS</t>
        </is>
      </c>
      <c r="I4536" s="12" t="inlineStr">
        <is>
          <t>Fire alarm</t>
        </is>
      </c>
      <c r="J4536" s="12" t="inlineStr">
        <is>
          <t>Fire alarm FPLR 2/C #14 shielded, red jacket (NEC 760)</t>
        </is>
      </c>
      <c r="K4536" s="12" t="inlineStr">
        <is>
          <t>FA|2/C|14</t>
        </is>
      </c>
      <c r="L4536" s="12" t="inlineStr">
        <is>
          <t>2/C</t>
        </is>
      </c>
      <c r="M4536" s="12" t="inlineStr">
        <is>
          <t>14</t>
        </is>
      </c>
      <c r="N4536" s="12" t="n">
        <v>1</v>
      </c>
      <c r="O4536" s="12" t="n">
        <v>1</v>
      </c>
      <c r="P4536" s="12" t="n"/>
      <c r="Q4536" s="12" t="n"/>
      <c r="R4536" s="12" t="n"/>
      <c r="S4536" s="12" t="inlineStr">
        <is>
          <t>Duct bank</t>
        </is>
      </c>
      <c r="T4536" s="16" t="n">
        <v>260</v>
      </c>
      <c r="U4536" s="16" t="n">
        <v>131</v>
      </c>
      <c r="V4536" s="16">
        <f>ROUNDUP((T4536+U4536+2*'Read Me'!$B$13)*(1+'Read Me'!$B$12),-1)</f>
        <v/>
      </c>
      <c r="W4536" s="16">
        <f>V4536*N4536*O4536</f>
        <v/>
      </c>
      <c r="X4536" s="12">
        <f>IF(LEFT(I4536,2)="MV",2*N4536*IF(L4536="1/C",O4536,1),0)</f>
        <v/>
      </c>
      <c r="Y4536" s="12">
        <f>IF(OR(LEFT(K4536,4)="LVAX",LEFT(K4536,6)="MV15AX",LEFT(K4536,4)="CTAX",LEFT(K4536,2)="W|"),2*N4536*O4536,0)</f>
        <v/>
      </c>
      <c r="Z4536" s="12" t="inlineStr"/>
      <c r="AA4536" s="12">
        <f>N4536*O4536</f>
        <v/>
      </c>
    </row>
    <row r="4537">
      <c r="A4537" s="12" t="inlineStr">
        <is>
          <t>I-FA-0034</t>
        </is>
      </c>
      <c r="B4537" s="12" t="inlineStr">
        <is>
          <t>I</t>
        </is>
      </c>
      <c r="C4537" s="12" t="inlineStr">
        <is>
          <t>Modular / portable power</t>
        </is>
      </c>
      <c r="D4537" s="12" t="inlineStr">
        <is>
          <t>Fire alarm / F&amp;G loop (to the local FACP / F&amp;G node)</t>
        </is>
      </c>
      <c r="E4537" s="12" t="inlineStr"/>
      <c r="F4537" s="12" t="inlineStr">
        <is>
          <t>PCM: power control module</t>
        </is>
      </c>
      <c r="G4537" s="12" t="inlineStr">
        <is>
          <t>RICE</t>
        </is>
      </c>
      <c r="H4537" s="12" t="inlineStr">
        <is>
          <t>RICE engine hall (8 engines)</t>
        </is>
      </c>
      <c r="I4537" s="12" t="inlineStr">
        <is>
          <t>Fire alarm</t>
        </is>
      </c>
      <c r="J4537" s="12" t="inlineStr">
        <is>
          <t>Fire alarm FPLR 2/C #14 shielded, red jacket (NEC 760)</t>
        </is>
      </c>
      <c r="K4537" s="12" t="inlineStr">
        <is>
          <t>FA|2/C|14</t>
        </is>
      </c>
      <c r="L4537" s="12" t="inlineStr">
        <is>
          <t>2/C</t>
        </is>
      </c>
      <c r="M4537" s="12" t="inlineStr">
        <is>
          <t>14</t>
        </is>
      </c>
      <c r="N4537" s="12" t="n">
        <v>1</v>
      </c>
      <c r="O4537" s="12" t="n">
        <v>1</v>
      </c>
      <c r="P4537" s="12" t="n"/>
      <c r="Q4537" s="12" t="n"/>
      <c r="R4537" s="12" t="n"/>
      <c r="S4537" s="12" t="inlineStr">
        <is>
          <t>Duct bank</t>
        </is>
      </c>
      <c r="T4537" s="16" t="n">
        <v>367</v>
      </c>
      <c r="U4537" s="16" t="n">
        <v>95</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I-FA-0035</t>
        </is>
      </c>
      <c r="B4538" s="12" t="inlineStr">
        <is>
          <t>I</t>
        </is>
      </c>
      <c r="C4538" s="12" t="inlineStr">
        <is>
          <t>Modular / portable power</t>
        </is>
      </c>
      <c r="D4538" s="12" t="inlineStr">
        <is>
          <t>SC-1 CEMS shelter fire alarm loop</t>
        </is>
      </c>
      <c r="E4538" s="12" t="inlineStr"/>
      <c r="F4538" s="12" t="inlineStr">
        <is>
          <t>SC-1 PCM + 15 kV GCB</t>
        </is>
      </c>
      <c r="G4538" s="12" t="inlineStr"/>
      <c r="H4538" s="12" t="inlineStr">
        <is>
          <t>SC-1 CEMS shelter</t>
        </is>
      </c>
      <c r="I4538" s="12" t="inlineStr">
        <is>
          <t>Fire alarm</t>
        </is>
      </c>
      <c r="J4538" s="12" t="inlineStr">
        <is>
          <t>Fire alarm FPLR 2/C #14 shielded, red jacket (NEC 760)</t>
        </is>
      </c>
      <c r="K4538" s="12" t="inlineStr">
        <is>
          <t>FA|2/C|14</t>
        </is>
      </c>
      <c r="L4538" s="12" t="inlineStr">
        <is>
          <t>2/C</t>
        </is>
      </c>
      <c r="M4538" s="12" t="inlineStr">
        <is>
          <t>14</t>
        </is>
      </c>
      <c r="N4538" s="12" t="n">
        <v>1</v>
      </c>
      <c r="O4538" s="12" t="n">
        <v>1</v>
      </c>
      <c r="P4538" s="12" t="n"/>
      <c r="Q4538" s="12" t="n"/>
      <c r="R4538" s="12" t="n"/>
      <c r="S4538" s="12" t="inlineStr">
        <is>
          <t>Tray</t>
        </is>
      </c>
      <c r="T4538" s="16" t="n">
        <v>0</v>
      </c>
      <c r="U4538" s="16" t="n">
        <v>229</v>
      </c>
      <c r="V4538" s="16">
        <f>ROUNDUP((T4538+U4538+2*'Read Me'!$B$13)*(1+'Read Me'!$B$12),-1)</f>
        <v/>
      </c>
      <c r="W4538" s="16">
        <f>V4538*N4538*O4538</f>
        <v/>
      </c>
      <c r="X4538" s="12">
        <f>IF(LEFT(I4538,2)="MV",2*N4538*IF(L4538="1/C",O4538,1),0)</f>
        <v/>
      </c>
      <c r="Y4538" s="12">
        <f>IF(OR(LEFT(K4538,4)="LVAX",LEFT(K4538,6)="MV15AX",LEFT(K4538,4)="CTAX",LEFT(K4538,2)="W|"),2*N4538*O4538,0)</f>
        <v/>
      </c>
      <c r="Z4538" s="12" t="inlineStr"/>
      <c r="AA4538" s="12">
        <f>N4538*O4538</f>
        <v/>
      </c>
    </row>
    <row r="4539">
      <c r="A4539" s="12" t="inlineStr">
        <is>
          <t>I-FA-0036</t>
        </is>
      </c>
      <c r="B4539" s="12" t="inlineStr">
        <is>
          <t>I</t>
        </is>
      </c>
      <c r="C4539" s="12" t="inlineStr">
        <is>
          <t>Modular / portable power</t>
        </is>
      </c>
      <c r="D4539" s="12" t="inlineStr">
        <is>
          <t>SC-1 PCM fire alarm / F&amp;G node to the plant FACP</t>
        </is>
      </c>
      <c r="E4539" s="12" t="inlineStr">
        <is>
          <t>CR</t>
        </is>
      </c>
      <c r="F4539" s="12" t="inlineStr">
        <is>
          <t>Control / admin building (main control room)</t>
        </is>
      </c>
      <c r="G4539" s="12" t="inlineStr"/>
      <c r="H4539" s="12" t="inlineStr">
        <is>
          <t>SC-1 PCM + 15 kV GCB</t>
        </is>
      </c>
      <c r="I4539" s="12" t="inlineStr">
        <is>
          <t>Fire alarm</t>
        </is>
      </c>
      <c r="J4539" s="12" t="inlineStr">
        <is>
          <t>Fire alarm FPLR 2/C #14 shielded, red jacket (NEC 760)</t>
        </is>
      </c>
      <c r="K4539" s="12" t="inlineStr">
        <is>
          <t>FA|2/C|14</t>
        </is>
      </c>
      <c r="L4539" s="12" t="inlineStr">
        <is>
          <t>2/C</t>
        </is>
      </c>
      <c r="M4539" s="12" t="inlineStr">
        <is>
          <t>14</t>
        </is>
      </c>
      <c r="N4539" s="12" t="n">
        <v>1</v>
      </c>
      <c r="O4539" s="12" t="n">
        <v>1</v>
      </c>
      <c r="P4539" s="12" t="n"/>
      <c r="Q4539" s="12" t="n"/>
      <c r="R4539" s="12" t="n"/>
      <c r="S4539" s="12" t="inlineStr">
        <is>
          <t>Duct bank</t>
        </is>
      </c>
      <c r="T4539" s="16" t="n">
        <v>4198</v>
      </c>
      <c r="U4539" s="16" t="n">
        <v>52</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I-FA-0037</t>
        </is>
      </c>
      <c r="B4540" s="12" t="inlineStr">
        <is>
          <t>I</t>
        </is>
      </c>
      <c r="C4540" s="12" t="inlineStr">
        <is>
          <t>Modular / portable power</t>
        </is>
      </c>
      <c r="D4540" s="12" t="inlineStr">
        <is>
          <t>Fire alarm / F&amp;G loop (to the local FACP / F&amp;G node)</t>
        </is>
      </c>
      <c r="E4540" s="12" t="inlineStr"/>
      <c r="F4540" s="12" t="inlineStr">
        <is>
          <t>SC-1 PCM + 15 kV GCB</t>
        </is>
      </c>
      <c r="G4540" s="12" t="inlineStr">
        <is>
          <t>SC-1</t>
        </is>
      </c>
      <c r="H4540" s="12" t="inlineStr">
        <is>
          <t>SC-1: aeroderivative simple-cycle unit (LM6000 class)</t>
        </is>
      </c>
      <c r="I4540" s="12" t="inlineStr">
        <is>
          <t>Fire alarm</t>
        </is>
      </c>
      <c r="J4540" s="12" t="inlineStr">
        <is>
          <t>Fire alarm FPLR 2/C #14 shielded, red jacket (NEC 760)</t>
        </is>
      </c>
      <c r="K4540" s="12" t="inlineStr">
        <is>
          <t>FA|2/C|14</t>
        </is>
      </c>
      <c r="L4540" s="12" t="inlineStr">
        <is>
          <t>2/C</t>
        </is>
      </c>
      <c r="M4540" s="12" t="inlineStr">
        <is>
          <t>14</t>
        </is>
      </c>
      <c r="N4540" s="12" t="n">
        <v>1</v>
      </c>
      <c r="O4540" s="12" t="n">
        <v>1</v>
      </c>
      <c r="P4540" s="12" t="n"/>
      <c r="Q4540" s="12" t="n"/>
      <c r="R4540" s="12" t="n"/>
      <c r="S4540" s="12" t="inlineStr">
        <is>
          <t>Tray</t>
        </is>
      </c>
      <c r="T4540" s="16" t="n">
        <v>0</v>
      </c>
      <c r="U4540" s="16" t="n">
        <v>64</v>
      </c>
      <c r="V4540" s="16">
        <f>ROUNDUP((T4540+U4540+2*'Read Me'!$B$13)*(1+'Read Me'!$B$12),-1)</f>
        <v/>
      </c>
      <c r="W4540" s="16">
        <f>V4540*N4540*O4540</f>
        <v/>
      </c>
      <c r="X4540" s="12">
        <f>IF(LEFT(I4540,2)="MV",2*N4540*IF(L4540="1/C",O4540,1),0)</f>
        <v/>
      </c>
      <c r="Y4540" s="12">
        <f>IF(OR(LEFT(K4540,4)="LVAX",LEFT(K4540,6)="MV15AX",LEFT(K4540,4)="CTAX",LEFT(K4540,2)="W|"),2*N4540*O4540,0)</f>
        <v/>
      </c>
      <c r="Z4540" s="12" t="inlineStr"/>
      <c r="AA4540" s="12">
        <f>N4540*O4540</f>
        <v/>
      </c>
    </row>
    <row r="4541">
      <c r="A4541" s="12" t="inlineStr">
        <is>
          <t>I-FA-0038</t>
        </is>
      </c>
      <c r="B4541" s="12" t="inlineStr">
        <is>
          <t>I</t>
        </is>
      </c>
      <c r="C4541" s="12" t="inlineStr">
        <is>
          <t>Modular / portable power</t>
        </is>
      </c>
      <c r="D4541" s="12" t="inlineStr">
        <is>
          <t>SC-2 CEMS shelter fire alarm loop</t>
        </is>
      </c>
      <c r="E4541" s="12" t="inlineStr"/>
      <c r="F4541" s="12" t="inlineStr">
        <is>
          <t>SC-2 PCM + 15 kV GCB</t>
        </is>
      </c>
      <c r="G4541" s="12" t="inlineStr"/>
      <c r="H4541" s="12" t="inlineStr">
        <is>
          <t>SC-2 CEMS shelter</t>
        </is>
      </c>
      <c r="I4541" s="12" t="inlineStr">
        <is>
          <t>Fire alarm</t>
        </is>
      </c>
      <c r="J4541" s="12" t="inlineStr">
        <is>
          <t>Fire alarm FPLR 2/C #14 shielded, red jacket (NEC 760)</t>
        </is>
      </c>
      <c r="K4541" s="12" t="inlineStr">
        <is>
          <t>FA|2/C|14</t>
        </is>
      </c>
      <c r="L4541" s="12" t="inlineStr">
        <is>
          <t>2/C</t>
        </is>
      </c>
      <c r="M4541" s="12" t="inlineStr">
        <is>
          <t>14</t>
        </is>
      </c>
      <c r="N4541" s="12" t="n">
        <v>1</v>
      </c>
      <c r="O4541" s="12" t="n">
        <v>1</v>
      </c>
      <c r="P4541" s="12" t="n"/>
      <c r="Q4541" s="12" t="n"/>
      <c r="R4541" s="12" t="n"/>
      <c r="S4541" s="12" t="inlineStr">
        <is>
          <t>Duct bank</t>
        </is>
      </c>
      <c r="T4541" s="16" t="n">
        <v>25</v>
      </c>
      <c r="U4541" s="16" t="n">
        <v>197</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I-FA-0039</t>
        </is>
      </c>
      <c r="B4542" s="12" t="inlineStr">
        <is>
          <t>I</t>
        </is>
      </c>
      <c r="C4542" s="12" t="inlineStr">
        <is>
          <t>Modular / portable power</t>
        </is>
      </c>
      <c r="D4542" s="12" t="inlineStr">
        <is>
          <t>SC-2 PCM fire alarm / F&amp;G node to the plant FACP</t>
        </is>
      </c>
      <c r="E4542" s="12" t="inlineStr">
        <is>
          <t>CR</t>
        </is>
      </c>
      <c r="F4542" s="12" t="inlineStr">
        <is>
          <t>Control / admin building (main control room)</t>
        </is>
      </c>
      <c r="G4542" s="12" t="inlineStr"/>
      <c r="H4542" s="12" t="inlineStr">
        <is>
          <t>SC-2 PCM + 15 kV GCB</t>
        </is>
      </c>
      <c r="I4542" s="12" t="inlineStr">
        <is>
          <t>Fire alarm</t>
        </is>
      </c>
      <c r="J4542" s="12" t="inlineStr">
        <is>
          <t>Fire alarm FPLR 2/C #14 shielded, red jacket (NEC 760)</t>
        </is>
      </c>
      <c r="K4542" s="12" t="inlineStr">
        <is>
          <t>FA|2/C|14</t>
        </is>
      </c>
      <c r="L4542" s="12" t="inlineStr">
        <is>
          <t>2/C</t>
        </is>
      </c>
      <c r="M4542" s="12" t="inlineStr">
        <is>
          <t>14</t>
        </is>
      </c>
      <c r="N4542" s="12" t="n">
        <v>1</v>
      </c>
      <c r="O4542" s="12" t="n">
        <v>1</v>
      </c>
      <c r="P4542" s="12" t="n"/>
      <c r="Q4542" s="12" t="n"/>
      <c r="R4542" s="12" t="n"/>
      <c r="S4542" s="12" t="inlineStr">
        <is>
          <t>Trench</t>
        </is>
      </c>
      <c r="T4542" s="16" t="n">
        <v>4547</v>
      </c>
      <c r="U4542" s="16" t="n">
        <v>90</v>
      </c>
      <c r="V4542" s="16">
        <f>ROUNDUP((T4542+U4542+2*'Read Me'!$B$13)*(1+'Read Me'!$B$12),-1)</f>
        <v/>
      </c>
      <c r="W4542" s="16">
        <f>V4542*N4542*O4542</f>
        <v/>
      </c>
      <c r="X4542" s="12">
        <f>IF(LEFT(I4542,2)="MV",2*N4542*IF(L4542="1/C",O4542,1),0)</f>
        <v/>
      </c>
      <c r="Y4542" s="12">
        <f>IF(OR(LEFT(K4542,4)="LVAX",LEFT(K4542,6)="MV15AX",LEFT(K4542,4)="CTAX",LEFT(K4542,2)="W|"),2*N4542*O4542,0)</f>
        <v/>
      </c>
      <c r="Z4542" s="12" t="inlineStr"/>
      <c r="AA4542" s="12">
        <f>N4542*O4542</f>
        <v/>
      </c>
    </row>
    <row r="4543">
      <c r="A4543" s="12" t="inlineStr">
        <is>
          <t>I-FA-0040</t>
        </is>
      </c>
      <c r="B4543" s="12" t="inlineStr">
        <is>
          <t>I</t>
        </is>
      </c>
      <c r="C4543" s="12" t="inlineStr">
        <is>
          <t>Modular / portable power</t>
        </is>
      </c>
      <c r="D4543" s="12" t="inlineStr">
        <is>
          <t>Fire alarm / F&amp;G loop (to the local FACP / F&amp;G node)</t>
        </is>
      </c>
      <c r="E4543" s="12" t="inlineStr"/>
      <c r="F4543" s="12" t="inlineStr">
        <is>
          <t>SC-2 PCM + 15 kV GCB</t>
        </is>
      </c>
      <c r="G4543" s="12" t="inlineStr">
        <is>
          <t>SC-2</t>
        </is>
      </c>
      <c r="H4543" s="12" t="inlineStr">
        <is>
          <t>SC-2: aeroderivative simple-cycle unit (LM6000 class)</t>
        </is>
      </c>
      <c r="I4543" s="12" t="inlineStr">
        <is>
          <t>Fire alarm</t>
        </is>
      </c>
      <c r="J4543" s="12" t="inlineStr">
        <is>
          <t>Fire alarm FPLR 2/C #14 shielded, red jacket (NEC 760)</t>
        </is>
      </c>
      <c r="K4543" s="12" t="inlineStr">
        <is>
          <t>FA|2/C|14</t>
        </is>
      </c>
      <c r="L4543" s="12" t="inlineStr">
        <is>
          <t>2/C</t>
        </is>
      </c>
      <c r="M4543" s="12" t="inlineStr">
        <is>
          <t>14</t>
        </is>
      </c>
      <c r="N4543" s="12" t="n">
        <v>1</v>
      </c>
      <c r="O4543" s="12" t="n">
        <v>1</v>
      </c>
      <c r="P4543" s="12" t="n"/>
      <c r="Q4543" s="12" t="n"/>
      <c r="R4543" s="12" t="n"/>
      <c r="S4543" s="12" t="inlineStr">
        <is>
          <t>Duct bank</t>
        </is>
      </c>
      <c r="T4543" s="16" t="n">
        <v>25</v>
      </c>
      <c r="U4543" s="16" t="n">
        <v>32</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I-FA-0041</t>
        </is>
      </c>
      <c r="B4544" s="12" t="inlineStr">
        <is>
          <t>I</t>
        </is>
      </c>
      <c r="C4544" s="12" t="inlineStr">
        <is>
          <t>Modular / portable power</t>
        </is>
      </c>
      <c r="D4544" s="12" t="inlineStr">
        <is>
          <t>Fire alarm / F&amp;G loop (to the local FACP / F&amp;G node)</t>
        </is>
      </c>
      <c r="E4544" s="12" t="inlineStr">
        <is>
          <t>PAD-EH</t>
        </is>
      </c>
      <c r="F4544" s="12" t="inlineStr">
        <is>
          <t>PAD-EH 13.8 kV switchgear e-house</t>
        </is>
      </c>
      <c r="G4544" s="12" t="inlineStr">
        <is>
          <t>TM-1</t>
        </is>
      </c>
      <c r="H4544" s="12" t="inlineStr">
        <is>
          <t>TM-1: trailer-mounted aeroderivative GT (TM2500 class, ~35 MW)</t>
        </is>
      </c>
      <c r="I4544" s="12" t="inlineStr">
        <is>
          <t>Fire alarm</t>
        </is>
      </c>
      <c r="J4544" s="12" t="inlineStr">
        <is>
          <t>Fire alarm FPLR 2/C #14 shielded, red jacket (NEC 760)</t>
        </is>
      </c>
      <c r="K4544" s="12" t="inlineStr">
        <is>
          <t>FA|2/C|14</t>
        </is>
      </c>
      <c r="L4544" s="12" t="inlineStr">
        <is>
          <t>2/C</t>
        </is>
      </c>
      <c r="M4544" s="12" t="inlineStr">
        <is>
          <t>14</t>
        </is>
      </c>
      <c r="N4544" s="12" t="n">
        <v>1</v>
      </c>
      <c r="O4544" s="12" t="n">
        <v>1</v>
      </c>
      <c r="P4544" s="12" t="n"/>
      <c r="Q4544" s="12" t="n"/>
      <c r="R4544" s="12" t="n"/>
      <c r="S4544" s="12" t="inlineStr">
        <is>
          <t>Surface</t>
        </is>
      </c>
      <c r="T4544" s="16" t="n">
        <v>382</v>
      </c>
      <c r="U4544" s="16" t="n">
        <v>50</v>
      </c>
      <c r="V4544" s="16">
        <f>ROUNDUP((T4544+U4544+2*'Read Me'!$B$13)*(1+'Read Me'!$B$12),-1)</f>
        <v/>
      </c>
      <c r="W4544" s="16">
        <f>V4544*N4544*O4544</f>
        <v/>
      </c>
      <c r="X4544" s="12">
        <f>IF(LEFT(I4544,2)="MV",2*N4544*IF(L4544="1/C",O4544,1),0)</f>
        <v/>
      </c>
      <c r="Y4544" s="12">
        <f>IF(OR(LEFT(K4544,4)="LVAX",LEFT(K4544,6)="MV15AX",LEFT(K4544,4)="CTAX",LEFT(K4544,2)="W|"),2*N4544*O4544,0)</f>
        <v/>
      </c>
      <c r="Z4544" s="12" t="inlineStr"/>
      <c r="AA4544" s="12">
        <f>N4544*O4544</f>
        <v/>
      </c>
    </row>
    <row r="4545">
      <c r="A4545" s="12" t="inlineStr">
        <is>
          <t>I-FA-0042</t>
        </is>
      </c>
      <c r="B4545" s="12" t="inlineStr">
        <is>
          <t>I</t>
        </is>
      </c>
      <c r="C4545" s="12" t="inlineStr">
        <is>
          <t>Modular / portable power</t>
        </is>
      </c>
      <c r="D4545" s="12" t="inlineStr">
        <is>
          <t>Fire alarm / F&amp;G loop (to the local FACP / F&amp;G node)</t>
        </is>
      </c>
      <c r="E4545" s="12" t="inlineStr">
        <is>
          <t>PAD-EH</t>
        </is>
      </c>
      <c r="F4545" s="12" t="inlineStr">
        <is>
          <t>PAD-EH 13.8 kV switchgear e-house</t>
        </is>
      </c>
      <c r="G4545" s="12" t="inlineStr">
        <is>
          <t>TM-2</t>
        </is>
      </c>
      <c r="H4545" s="12" t="inlineStr">
        <is>
          <t>TM-2: trailer-mounted aeroderivative GT (TM2500 class, ~35 MW)</t>
        </is>
      </c>
      <c r="I4545" s="12" t="inlineStr">
        <is>
          <t>Fire alarm</t>
        </is>
      </c>
      <c r="J4545" s="12" t="inlineStr">
        <is>
          <t>Fire alarm FPLR 2/C #14 shielded, red jacket (NEC 760)</t>
        </is>
      </c>
      <c r="K4545" s="12" t="inlineStr">
        <is>
          <t>FA|2/C|14</t>
        </is>
      </c>
      <c r="L4545" s="12" t="inlineStr">
        <is>
          <t>2/C</t>
        </is>
      </c>
      <c r="M4545" s="12" t="inlineStr">
        <is>
          <t>14</t>
        </is>
      </c>
      <c r="N4545" s="12" t="n">
        <v>1</v>
      </c>
      <c r="O4545" s="12" t="n">
        <v>1</v>
      </c>
      <c r="P4545" s="12" t="n"/>
      <c r="Q4545" s="12" t="n"/>
      <c r="R4545" s="12" t="n"/>
      <c r="S4545" s="12" t="inlineStr">
        <is>
          <t>Surface</t>
        </is>
      </c>
      <c r="T4545" s="16" t="n">
        <v>386</v>
      </c>
      <c r="U4545" s="16" t="n">
        <v>52</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I-G-0001</t>
        </is>
      </c>
      <c r="B4546" s="12" t="inlineStr">
        <is>
          <t>I</t>
        </is>
      </c>
      <c r="C4546" s="12" t="inlineStr">
        <is>
          <t>Modular / portable power</t>
        </is>
      </c>
      <c r="D4546" s="12" t="inlineStr">
        <is>
          <t>L6 GB-1 block ground ring (4/0 bare Cu) + 7 taps</t>
        </is>
      </c>
      <c r="E4546" s="12" t="inlineStr">
        <is>
          <t>GBT-1</t>
        </is>
      </c>
      <c r="F4546" s="12" t="inlineStr">
        <is>
          <t>GBT-1: block GB-1 step-up 480 V : 34.5 kV, ~3 MVA pad-mount (on the 35</t>
        </is>
      </c>
      <c r="G4546" s="12" t="inlineStr">
        <is>
          <t>GBT-1</t>
        </is>
      </c>
      <c r="H4546" s="12" t="inlineStr">
        <is>
          <t>GBT-1: block GB-1 step-up 480 V : 34.5 kV, ~3 MVA pad-mount (on the 35</t>
        </is>
      </c>
      <c r="I4546" s="12" t="inlineStr">
        <is>
          <t>Grounding</t>
        </is>
      </c>
      <c r="J4546" s="12" t="inlineStr">
        <is>
          <t>Bare Cu 4/0 AWG, 19 strand (ground grid and equipment grounds)</t>
        </is>
      </c>
      <c r="K4546" s="12" t="inlineStr">
        <is>
          <t>BARE|1/C|4/0</t>
        </is>
      </c>
      <c r="L4546" s="12" t="inlineStr">
        <is>
          <t>1/C</t>
        </is>
      </c>
      <c r="M4546" s="12" t="inlineStr">
        <is>
          <t>4/0</t>
        </is>
      </c>
      <c r="N4546" s="12" t="n">
        <v>1</v>
      </c>
      <c r="O4546" s="12" t="n">
        <v>1</v>
      </c>
      <c r="P4546" s="12" t="n"/>
      <c r="Q4546" s="12" t="n"/>
      <c r="R4546" s="12" t="n"/>
      <c r="S4546" s="12" t="inlineStr">
        <is>
          <t>Buried</t>
        </is>
      </c>
      <c r="T4546" s="16" t="n">
        <v>236</v>
      </c>
      <c r="U4546" s="16" t="n">
        <v>0</v>
      </c>
      <c r="V4546" s="16">
        <f>ROUNDUP((T4546+U4546+2*'Read Me'!$B$13)*(1+'Read Me'!$B$12),-1)</f>
        <v/>
      </c>
      <c r="W4546" s="16">
        <f>V4546*N4546*O4546</f>
        <v/>
      </c>
      <c r="X4546" s="12">
        <f>IF(LEFT(I4546,2)="MV",2*N4546*IF(L4546="1/C",O4546,1),0)</f>
        <v/>
      </c>
      <c r="Y4546" s="12">
        <f>IF(OR(LEFT(K4546,4)="LVAX",LEFT(K4546,6)="MV15AX",LEFT(K4546,4)="CTAX",LEFT(K4546,2)="W|"),2*N4546*O4546,0)</f>
        <v/>
      </c>
      <c r="Z4546" s="12" t="inlineStr">
        <is>
          <t>ring 2 x (74 + 23) ft + 7 taps x 6 ft</t>
        </is>
      </c>
      <c r="AA4546" s="12">
        <f>N4546*O4546</f>
        <v/>
      </c>
    </row>
    <row r="4547">
      <c r="A4547" s="12" t="inlineStr">
        <is>
          <t>I-G-0002</t>
        </is>
      </c>
      <c r="B4547" s="12" t="inlineStr">
        <is>
          <t>I</t>
        </is>
      </c>
      <c r="C4547" s="12" t="inlineStr">
        <is>
          <t>Modular / portable power</t>
        </is>
      </c>
      <c r="D4547" s="12" t="inlineStr">
        <is>
          <t>L6 GB-2 block ground ring (4/0 bare Cu) + 7 taps</t>
        </is>
      </c>
      <c r="E4547" s="12" t="inlineStr">
        <is>
          <t>GBT-2</t>
        </is>
      </c>
      <c r="F4547" s="12" t="inlineStr">
        <is>
          <t>GBT-2: block GB-2 step-up 480 V : 34.5 kV, ~3 MVA pad-mount (on the 35</t>
        </is>
      </c>
      <c r="G4547" s="12" t="inlineStr">
        <is>
          <t>GBT-2</t>
        </is>
      </c>
      <c r="H4547" s="12" t="inlineStr">
        <is>
          <t>GBT-2: block GB-2 step-up 480 V : 34.5 kV, ~3 MVA pad-mount (on the 35</t>
        </is>
      </c>
      <c r="I4547" s="12" t="inlineStr">
        <is>
          <t>Grounding</t>
        </is>
      </c>
      <c r="J4547" s="12" t="inlineStr">
        <is>
          <t>Bare Cu 4/0 AWG, 19 strand (ground grid and equipment grounds)</t>
        </is>
      </c>
      <c r="K4547" s="12" t="inlineStr">
        <is>
          <t>BARE|1/C|4/0</t>
        </is>
      </c>
      <c r="L4547" s="12" t="inlineStr">
        <is>
          <t>1/C</t>
        </is>
      </c>
      <c r="M4547" s="12" t="inlineStr">
        <is>
          <t>4/0</t>
        </is>
      </c>
      <c r="N4547" s="12" t="n">
        <v>1</v>
      </c>
      <c r="O4547" s="12" t="n">
        <v>1</v>
      </c>
      <c r="P4547" s="12" t="n"/>
      <c r="Q4547" s="12" t="n"/>
      <c r="R4547" s="12" t="n"/>
      <c r="S4547" s="12" t="inlineStr">
        <is>
          <t>Buried</t>
        </is>
      </c>
      <c r="T4547" s="16" t="n">
        <v>236</v>
      </c>
      <c r="U4547" s="16" t="n">
        <v>0</v>
      </c>
      <c r="V4547" s="16">
        <f>ROUNDUP((T4547+U4547+2*'Read Me'!$B$13)*(1+'Read Me'!$B$12),-1)</f>
        <v/>
      </c>
      <c r="W4547" s="16">
        <f>V4547*N4547*O4547</f>
        <v/>
      </c>
      <c r="X4547" s="12">
        <f>IF(LEFT(I4547,2)="MV",2*N4547*IF(L4547="1/C",O4547,1),0)</f>
        <v/>
      </c>
      <c r="Y4547" s="12">
        <f>IF(OR(LEFT(K4547,4)="LVAX",LEFT(K4547,6)="MV15AX",LEFT(K4547,4)="CTAX",LEFT(K4547,2)="W|"),2*N4547*O4547,0)</f>
        <v/>
      </c>
      <c r="Z4547" s="12" t="inlineStr">
        <is>
          <t>ring 2 x (74 + 23) ft + 7 taps x 6 ft</t>
        </is>
      </c>
      <c r="AA4547" s="12">
        <f>N4547*O4547</f>
        <v/>
      </c>
    </row>
    <row r="4548">
      <c r="A4548" s="12" t="inlineStr">
        <is>
          <t>I-G-0003</t>
        </is>
      </c>
      <c r="B4548" s="12" t="inlineStr">
        <is>
          <t>I</t>
        </is>
      </c>
      <c r="C4548" s="12" t="inlineStr">
        <is>
          <t>Modular / portable power</t>
        </is>
      </c>
      <c r="D4548" s="12" t="inlineStr">
        <is>
          <t>L6 GB-3 block ground ring (4/0 bare Cu) + 7 taps</t>
        </is>
      </c>
      <c r="E4548" s="12" t="inlineStr">
        <is>
          <t>GBT-3</t>
        </is>
      </c>
      <c r="F4548" s="12" t="inlineStr">
        <is>
          <t>GBT-3: block GB-3 step-up 480 V : 34.5 kV, ~3 MVA pad-mount (on the 35</t>
        </is>
      </c>
      <c r="G4548" s="12" t="inlineStr">
        <is>
          <t>GBT-3</t>
        </is>
      </c>
      <c r="H4548" s="12" t="inlineStr">
        <is>
          <t>GBT-3: block GB-3 step-up 480 V : 34.5 kV, ~3 MVA pad-mount (on the 35</t>
        </is>
      </c>
      <c r="I4548" s="12" t="inlineStr">
        <is>
          <t>Grounding</t>
        </is>
      </c>
      <c r="J4548" s="12" t="inlineStr">
        <is>
          <t>Bare Cu 4/0 AWG, 19 strand (ground grid and equipment grounds)</t>
        </is>
      </c>
      <c r="K4548" s="12" t="inlineStr">
        <is>
          <t>BARE|1/C|4/0</t>
        </is>
      </c>
      <c r="L4548" s="12" t="inlineStr">
        <is>
          <t>1/C</t>
        </is>
      </c>
      <c r="M4548" s="12" t="inlineStr">
        <is>
          <t>4/0</t>
        </is>
      </c>
      <c r="N4548" s="12" t="n">
        <v>1</v>
      </c>
      <c r="O4548" s="12" t="n">
        <v>1</v>
      </c>
      <c r="P4548" s="12" t="n"/>
      <c r="Q4548" s="12" t="n"/>
      <c r="R4548" s="12" t="n"/>
      <c r="S4548" s="12" t="inlineStr">
        <is>
          <t>Buried</t>
        </is>
      </c>
      <c r="T4548" s="16" t="n">
        <v>236</v>
      </c>
      <c r="U4548" s="16" t="n">
        <v>0</v>
      </c>
      <c r="V4548" s="16">
        <f>ROUNDUP((T4548+U4548+2*'Read Me'!$B$13)*(1+'Read Me'!$B$12),-1)</f>
        <v/>
      </c>
      <c r="W4548" s="16">
        <f>V4548*N4548*O4548</f>
        <v/>
      </c>
      <c r="X4548" s="12">
        <f>IF(LEFT(I4548,2)="MV",2*N4548*IF(L4548="1/C",O4548,1),0)</f>
        <v/>
      </c>
      <c r="Y4548" s="12">
        <f>IF(OR(LEFT(K4548,4)="LVAX",LEFT(K4548,6)="MV15AX",LEFT(K4548,4)="CTAX",LEFT(K4548,2)="W|"),2*N4548*O4548,0)</f>
        <v/>
      </c>
      <c r="Z4548" s="12" t="inlineStr">
        <is>
          <t>ring 2 x (74 + 23) ft + 7 taps x 6 ft</t>
        </is>
      </c>
      <c r="AA4548" s="12">
        <f>N4548*O4548</f>
        <v/>
      </c>
    </row>
    <row r="4549">
      <c r="A4549" s="12" t="inlineStr">
        <is>
          <t>I-G-0004</t>
        </is>
      </c>
      <c r="B4549" s="12" t="inlineStr">
        <is>
          <t>I</t>
        </is>
      </c>
      <c r="C4549" s="12" t="inlineStr">
        <is>
          <t>Modular / portable power</t>
        </is>
      </c>
      <c r="D4549" s="12" t="inlineStr">
        <is>
          <t>L6 GB-4 block ground ring (4/0 bare Cu) + 7 taps</t>
        </is>
      </c>
      <c r="E4549" s="12" t="inlineStr">
        <is>
          <t>GBT-4</t>
        </is>
      </c>
      <c r="F4549" s="12" t="inlineStr">
        <is>
          <t>GBT-4: block GB-4 step-up 480 V : 34.5 kV, ~3 MVA pad-mount (on the 35</t>
        </is>
      </c>
      <c r="G4549" s="12" t="inlineStr">
        <is>
          <t>GBT-4</t>
        </is>
      </c>
      <c r="H4549" s="12" t="inlineStr">
        <is>
          <t>GBT-4: block GB-4 step-up 480 V : 34.5 kV, ~3 MVA pad-mount (on the 35</t>
        </is>
      </c>
      <c r="I4549" s="12" t="inlineStr">
        <is>
          <t>Grounding</t>
        </is>
      </c>
      <c r="J4549" s="12" t="inlineStr">
        <is>
          <t>Bare Cu 4/0 AWG, 19 strand (ground grid and equipment grounds)</t>
        </is>
      </c>
      <c r="K4549" s="12" t="inlineStr">
        <is>
          <t>BARE|1/C|4/0</t>
        </is>
      </c>
      <c r="L4549" s="12" t="inlineStr">
        <is>
          <t>1/C</t>
        </is>
      </c>
      <c r="M4549" s="12" t="inlineStr">
        <is>
          <t>4/0</t>
        </is>
      </c>
      <c r="N4549" s="12" t="n">
        <v>1</v>
      </c>
      <c r="O4549" s="12" t="n">
        <v>1</v>
      </c>
      <c r="P4549" s="12" t="n"/>
      <c r="Q4549" s="12" t="n"/>
      <c r="R4549" s="12" t="n"/>
      <c r="S4549" s="12" t="inlineStr">
        <is>
          <t>Buried</t>
        </is>
      </c>
      <c r="T4549" s="16" t="n">
        <v>236</v>
      </c>
      <c r="U4549" s="16" t="n">
        <v>0</v>
      </c>
      <c r="V4549" s="16">
        <f>ROUNDUP((T4549+U4549+2*'Read Me'!$B$13)*(1+'Read Me'!$B$12),-1)</f>
        <v/>
      </c>
      <c r="W4549" s="16">
        <f>V4549*N4549*O4549</f>
        <v/>
      </c>
      <c r="X4549" s="12">
        <f>IF(LEFT(I4549,2)="MV",2*N4549*IF(L4549="1/C",O4549,1),0)</f>
        <v/>
      </c>
      <c r="Y4549" s="12">
        <f>IF(OR(LEFT(K4549,4)="LVAX",LEFT(K4549,6)="MV15AX",LEFT(K4549,4)="CTAX",LEFT(K4549,2)="W|"),2*N4549*O4549,0)</f>
        <v/>
      </c>
      <c r="Z4549" s="12" t="inlineStr">
        <is>
          <t>ring 2 x (74 + 23) ft + 7 taps x 6 ft</t>
        </is>
      </c>
      <c r="AA4549" s="12">
        <f>N4549*O4549</f>
        <v/>
      </c>
    </row>
    <row r="4550">
      <c r="A4550" s="12" t="inlineStr">
        <is>
          <t>I-I-0001</t>
        </is>
      </c>
      <c r="B4550" s="12" t="inlineStr">
        <is>
          <t>I</t>
        </is>
      </c>
      <c r="C4550" s="12" t="inlineStr">
        <is>
          <t>Modular / portable power</t>
        </is>
      </c>
      <c r="D4550" s="12" t="inlineStr">
        <is>
          <t>Analog instrument to JB JB-Aqueous ammonia (S-AI01: 6 x 1 pr (field cables)</t>
        </is>
      </c>
      <c r="E4550" s="12" t="inlineStr"/>
      <c r="F4550" s="12" t="inlineStr">
        <is>
          <t>Aqueous ammonia (SC units)</t>
        </is>
      </c>
      <c r="G4550" s="12" t="inlineStr">
        <is>
          <t>JB-Aqueous ammonia (S-AI01</t>
        </is>
      </c>
      <c r="H4550" s="12" t="inlineStr">
        <is>
          <t>Aqueous ammonia (SC units)</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6" t="n">
        <v>55</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I-I-0002</t>
        </is>
      </c>
      <c r="B4551" s="12" t="inlineStr">
        <is>
          <t>I</t>
        </is>
      </c>
      <c r="C4551" s="12" t="inlineStr">
        <is>
          <t>Modular / portable power</t>
        </is>
      </c>
      <c r="D4551" s="12" t="inlineStr">
        <is>
          <t>Home run JB-Aqueous ammonia (S-AI01 to the control / marshalling room</t>
        </is>
      </c>
      <c r="E4551" s="12" t="inlineStr"/>
      <c r="F4551" s="12" t="inlineStr">
        <is>
          <t>SC-2 PCM + 15 kV GCB</t>
        </is>
      </c>
      <c r="G4551" s="12" t="inlineStr">
        <is>
          <t>JB-Aqueous ammonia (S-AI01</t>
        </is>
      </c>
      <c r="H4551" s="12" t="inlineStr">
        <is>
          <t>Aqueous ammonia (SC units)</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Tray</t>
        </is>
      </c>
      <c r="T4551" s="16" t="n">
        <v>0</v>
      </c>
      <c r="U4551" s="16" t="n">
        <v>98</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I-I-0003</t>
        </is>
      </c>
      <c r="B4552" s="12" t="inlineStr">
        <is>
          <t>I</t>
        </is>
      </c>
      <c r="C4552" s="12" t="inlineStr">
        <is>
          <t>Modular / portable power</t>
        </is>
      </c>
      <c r="D4552" s="12" t="inlineStr">
        <is>
          <t>Discrete device to JB JB-Aqueous ammonia (S-DI01: 6 x 1 pr (field cables)</t>
        </is>
      </c>
      <c r="E4552" s="12" t="inlineStr"/>
      <c r="F4552" s="12" t="inlineStr">
        <is>
          <t>Aqueous ammonia (SC units)</t>
        </is>
      </c>
      <c r="G4552" s="12" t="inlineStr">
        <is>
          <t>JB-Aqueous ammonia (S-DI01</t>
        </is>
      </c>
      <c r="H4552" s="12" t="inlineStr">
        <is>
          <t>Aqueous ammonia (SC units)</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6</v>
      </c>
      <c r="O4552" s="12" t="n">
        <v>1</v>
      </c>
      <c r="P4552" s="12" t="n"/>
      <c r="Q4552" s="12" t="n"/>
      <c r="R4552" s="12" t="n"/>
      <c r="S4552" s="12" t="inlineStr">
        <is>
          <t>Tray / conduit</t>
        </is>
      </c>
      <c r="T4552" s="16" t="n">
        <v>55</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I-I-0004</t>
        </is>
      </c>
      <c r="B4553" s="12" t="inlineStr">
        <is>
          <t>I</t>
        </is>
      </c>
      <c r="C4553" s="12" t="inlineStr">
        <is>
          <t>Modular / portable power</t>
        </is>
      </c>
      <c r="D4553" s="12" t="inlineStr">
        <is>
          <t>Home run JB-Aqueous ammonia (S-DI01 to the control / marshalling room</t>
        </is>
      </c>
      <c r="E4553" s="12" t="inlineStr"/>
      <c r="F4553" s="12" t="inlineStr">
        <is>
          <t>SC-2 PCM + 15 kV GCB</t>
        </is>
      </c>
      <c r="G4553" s="12" t="inlineStr">
        <is>
          <t>JB-Aqueous ammonia (S-DI01</t>
        </is>
      </c>
      <c r="H4553" s="12" t="inlineStr">
        <is>
          <t>Aqueous ammonia (SC units)</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6" t="n">
        <v>0</v>
      </c>
      <c r="U4553" s="16" t="n">
        <v>98</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I-I-0005</t>
        </is>
      </c>
      <c r="B4554" s="12" t="inlineStr">
        <is>
          <t>I</t>
        </is>
      </c>
      <c r="C4554" s="12" t="inlineStr">
        <is>
          <t>Modular / portable power</t>
        </is>
      </c>
      <c r="D4554" s="12" t="inlineStr">
        <is>
          <t>Analog instrument to JB JB-Black-start genset-AI01: 20 x 1 pr (field cables)</t>
        </is>
      </c>
      <c r="E4554" s="12" t="inlineStr"/>
      <c r="F4554" s="12" t="inlineStr">
        <is>
          <t>Black-start genset (proposed; requires study)</t>
        </is>
      </c>
      <c r="G4554" s="12" t="inlineStr">
        <is>
          <t>JB-Black-start genset-AI01</t>
        </is>
      </c>
      <c r="H4554" s="12" t="inlineStr">
        <is>
          <t>Black-start genset (proposed; requires study)</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20</v>
      </c>
      <c r="O4554" s="12" t="n">
        <v>1</v>
      </c>
      <c r="P4554" s="12" t="n"/>
      <c r="Q4554" s="12" t="n"/>
      <c r="R4554" s="12" t="n"/>
      <c r="S4554" s="12" t="inlineStr">
        <is>
          <t>Tray / conduit</t>
        </is>
      </c>
      <c r="T4554" s="16" t="n">
        <v>59</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I-I-0006</t>
        </is>
      </c>
      <c r="B4555" s="12" t="inlineStr">
        <is>
          <t>I</t>
        </is>
      </c>
      <c r="C4555" s="12" t="inlineStr">
        <is>
          <t>Modular / portable power</t>
        </is>
      </c>
      <c r="D4555" s="12" t="inlineStr">
        <is>
          <t>Home run JB-Black-start genset-AI01 to the control / marshalling room</t>
        </is>
      </c>
      <c r="E4555" s="12" t="inlineStr"/>
      <c r="F4555" s="12" t="inlineStr">
        <is>
          <t>PCM: power control module</t>
        </is>
      </c>
      <c r="G4555" s="12" t="inlineStr">
        <is>
          <t>JB-Black-start genset-AI01</t>
        </is>
      </c>
      <c r="H4555" s="12" t="inlineStr">
        <is>
          <t>Black-start genset (proposed; requires study)</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624</v>
      </c>
      <c r="U4555" s="16" t="n">
        <v>32</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I-I-0007</t>
        </is>
      </c>
      <c r="B4556" s="12" t="inlineStr">
        <is>
          <t>I</t>
        </is>
      </c>
      <c r="C4556" s="12" t="inlineStr">
        <is>
          <t>Modular / portable power</t>
        </is>
      </c>
      <c r="D4556" s="12" t="inlineStr">
        <is>
          <t>Discrete device to JB JB-Black-start genset-DI01: 20 x 1 pr (field cables)</t>
        </is>
      </c>
      <c r="E4556" s="12" t="inlineStr"/>
      <c r="F4556" s="12" t="inlineStr">
        <is>
          <t>Black-start genset (proposed; requires study)</t>
        </is>
      </c>
      <c r="G4556" s="12" t="inlineStr">
        <is>
          <t>JB-Black-start genset-DI01</t>
        </is>
      </c>
      <c r="H4556" s="12" t="inlineStr">
        <is>
          <t>Black-start genset (proposed; requires study)</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20</v>
      </c>
      <c r="O4556" s="12" t="n">
        <v>1</v>
      </c>
      <c r="P4556" s="12" t="n"/>
      <c r="Q4556" s="12" t="n"/>
      <c r="R4556" s="12" t="n"/>
      <c r="S4556" s="12" t="inlineStr">
        <is>
          <t>Tray / conduit</t>
        </is>
      </c>
      <c r="T4556" s="16" t="n">
        <v>59</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I-I-0008</t>
        </is>
      </c>
      <c r="B4557" s="12" t="inlineStr">
        <is>
          <t>I</t>
        </is>
      </c>
      <c r="C4557" s="12" t="inlineStr">
        <is>
          <t>Modular / portable power</t>
        </is>
      </c>
      <c r="D4557" s="12" t="inlineStr">
        <is>
          <t>Home run JB-Black-start genset-DI01 to the control / marshalling room</t>
        </is>
      </c>
      <c r="E4557" s="12" t="inlineStr"/>
      <c r="F4557" s="12" t="inlineStr">
        <is>
          <t>PCM: power control module</t>
        </is>
      </c>
      <c r="G4557" s="12" t="inlineStr">
        <is>
          <t>JB-Black-start genset-DI01</t>
        </is>
      </c>
      <c r="H4557" s="12" t="inlineStr">
        <is>
          <t>Black-start genset (proposed; requires study)</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624</v>
      </c>
      <c r="U4557" s="16" t="n">
        <v>32</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I-I-0009</t>
        </is>
      </c>
      <c r="B4558" s="12" t="inlineStr">
        <is>
          <t>I</t>
        </is>
      </c>
      <c r="C4558" s="12" t="inlineStr">
        <is>
          <t>Modular / portable power</t>
        </is>
      </c>
      <c r="D4558" s="12" t="inlineStr">
        <is>
          <t>Analog instrument to JB JB-Black-start genset-AI01: 20 x 1 pr (field cables)</t>
        </is>
      </c>
      <c r="E4558" s="12" t="inlineStr"/>
      <c r="F4558" s="12" t="inlineStr">
        <is>
          <t>Black-start genset (proposed; requires study)</t>
        </is>
      </c>
      <c r="G4558" s="12" t="inlineStr">
        <is>
          <t>JB-Black-start genset-AI01</t>
        </is>
      </c>
      <c r="H4558" s="12" t="inlineStr">
        <is>
          <t>Black-start genset (proposed; requires study)</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20</v>
      </c>
      <c r="O4558" s="12" t="n">
        <v>1</v>
      </c>
      <c r="P4558" s="12" t="n"/>
      <c r="Q4558" s="12" t="n"/>
      <c r="R4558" s="12" t="n"/>
      <c r="S4558" s="12" t="inlineStr">
        <is>
          <t>Tray / conduit</t>
        </is>
      </c>
      <c r="T4558" s="16" t="n">
        <v>59</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I-I-0010</t>
        </is>
      </c>
      <c r="B4559" s="12" t="inlineStr">
        <is>
          <t>I</t>
        </is>
      </c>
      <c r="C4559" s="12" t="inlineStr">
        <is>
          <t>Modular / portable power</t>
        </is>
      </c>
      <c r="D4559" s="12" t="inlineStr">
        <is>
          <t>Home run JB-Black-start genset-AI01 to the control / marshalling room</t>
        </is>
      </c>
      <c r="E4559" s="12" t="inlineStr"/>
      <c r="F4559" s="12" t="inlineStr">
        <is>
          <t>PCM: power control module</t>
        </is>
      </c>
      <c r="G4559" s="12" t="inlineStr">
        <is>
          <t>JB-Black-start genset-AI01</t>
        </is>
      </c>
      <c r="H4559" s="12" t="inlineStr">
        <is>
          <t>Black-start genset (proposed; requires study)</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624</v>
      </c>
      <c r="U4559" s="16" t="n">
        <v>40</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I-I-0011</t>
        </is>
      </c>
      <c r="B4560" s="12" t="inlineStr">
        <is>
          <t>I</t>
        </is>
      </c>
      <c r="C4560" s="12" t="inlineStr">
        <is>
          <t>Modular / portable power</t>
        </is>
      </c>
      <c r="D4560" s="12" t="inlineStr">
        <is>
          <t>Discrete device to JB JB-Black-start genset-DI01: 20 x 1 pr (field cables)</t>
        </is>
      </c>
      <c r="E4560" s="12" t="inlineStr"/>
      <c r="F4560" s="12" t="inlineStr">
        <is>
          <t>Black-start genset (proposed; requires study)</t>
        </is>
      </c>
      <c r="G4560" s="12" t="inlineStr">
        <is>
          <t>JB-Black-start genset-DI01</t>
        </is>
      </c>
      <c r="H4560" s="12" t="inlineStr">
        <is>
          <t>Black-start genset (proposed; requires study)</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20</v>
      </c>
      <c r="O4560" s="12" t="n">
        <v>1</v>
      </c>
      <c r="P4560" s="12" t="n"/>
      <c r="Q4560" s="12" t="n"/>
      <c r="R4560" s="12" t="n"/>
      <c r="S4560" s="12" t="inlineStr">
        <is>
          <t>Tray / conduit</t>
        </is>
      </c>
      <c r="T4560" s="16" t="n">
        <v>59</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I-I-0012</t>
        </is>
      </c>
      <c r="B4561" s="12" t="inlineStr">
        <is>
          <t>I</t>
        </is>
      </c>
      <c r="C4561" s="12" t="inlineStr">
        <is>
          <t>Modular / portable power</t>
        </is>
      </c>
      <c r="D4561" s="12" t="inlineStr">
        <is>
          <t>Home run JB-Black-start genset-DI01 to the control / marshalling room</t>
        </is>
      </c>
      <c r="E4561" s="12" t="inlineStr"/>
      <c r="F4561" s="12" t="inlineStr">
        <is>
          <t>PCM: power control module</t>
        </is>
      </c>
      <c r="G4561" s="12" t="inlineStr">
        <is>
          <t>JB-Black-start genset-DI01</t>
        </is>
      </c>
      <c r="H4561" s="12" t="inlineStr">
        <is>
          <t>Black-start genset (proposed; requires study)</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624</v>
      </c>
      <c r="U4561" s="16" t="n">
        <v>40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I-I-0013</t>
        </is>
      </c>
      <c r="B4562" s="12" t="inlineStr">
        <is>
          <t>I</t>
        </is>
      </c>
      <c r="C4562" s="12" t="inlineStr">
        <is>
          <t>Modular / portable power</t>
        </is>
      </c>
      <c r="D4562" s="12" t="inlineStr">
        <is>
          <t>Instrumentation</t>
        </is>
      </c>
      <c r="E4562" s="12" t="inlineStr"/>
      <c r="F4562" s="12" t="inlineStr">
        <is>
          <t>PCM: power control module</t>
        </is>
      </c>
      <c r="G4562" s="12" t="inlineStr"/>
      <c r="H4562" s="12" t="inlineStr">
        <is>
          <t>CONDITIONAL: BESS black-start alternative</t>
        </is>
      </c>
      <c r="I4562" s="12" t="inlineStr">
        <is>
          <t>Instrumentation</t>
        </is>
      </c>
      <c r="J4562" s="12" t="inlineStr">
        <is>
          <t>Instrumentation PLTC / TC-ER 300 V, #18 twisted shielded pairs, overall shield</t>
        </is>
      </c>
      <c r="K4562" s="12" t="inlineStr">
        <is>
          <t>PLTC|4 pr|18</t>
        </is>
      </c>
      <c r="L4562" s="12" t="inlineStr">
        <is>
          <t>4 pr</t>
        </is>
      </c>
      <c r="M4562" s="12" t="inlineStr">
        <is>
          <t>18</t>
        </is>
      </c>
      <c r="N4562" s="12" t="n">
        <v>1</v>
      </c>
      <c r="O4562" s="12" t="n">
        <v>1</v>
      </c>
      <c r="P4562" s="12" t="n"/>
      <c r="Q4562" s="12" t="n"/>
      <c r="R4562" s="12" t="n"/>
      <c r="S4562" s="12" t="inlineStr">
        <is>
          <t>Duct bank</t>
        </is>
      </c>
      <c r="T4562" s="16" t="n">
        <v>550</v>
      </c>
      <c r="U4562" s="16" t="n">
        <v>32</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I-I-0014</t>
        </is>
      </c>
      <c r="B4563" s="12" t="inlineStr">
        <is>
          <t>I</t>
        </is>
      </c>
      <c r="C4563" s="12" t="inlineStr">
        <is>
          <t>Modular / portable power</t>
        </is>
      </c>
      <c r="D4563" s="12" t="inlineStr">
        <is>
          <t>Thermocouples</t>
        </is>
      </c>
      <c r="E4563" s="12" t="inlineStr"/>
      <c r="F4563" s="12" t="inlineStr">
        <is>
          <t>PCM: power control module</t>
        </is>
      </c>
      <c r="G4563" s="12" t="inlineStr"/>
      <c r="H4563" s="12" t="inlineStr">
        <is>
          <t>CONDITIONAL: BESS black-start alternative</t>
        </is>
      </c>
      <c r="I4563" s="12" t="inlineStr">
        <is>
          <t>Instrumentation</t>
        </is>
      </c>
      <c r="J4563" s="12" t="inlineStr">
        <is>
          <t>Thermocouple extension KX, #16 shielded pairs, PLTC</t>
        </is>
      </c>
      <c r="K4563" s="12" t="inlineStr">
        <is>
          <t>TCX|12 pr|16</t>
        </is>
      </c>
      <c r="L4563" s="12" t="inlineStr">
        <is>
          <t>12 pr</t>
        </is>
      </c>
      <c r="M4563" s="12" t="inlineStr">
        <is>
          <t>16</t>
        </is>
      </c>
      <c r="N4563" s="12" t="n">
        <v>1</v>
      </c>
      <c r="O4563" s="12" t="n">
        <v>1</v>
      </c>
      <c r="P4563" s="12" t="n"/>
      <c r="Q4563" s="12" t="n"/>
      <c r="R4563" s="12" t="n"/>
      <c r="S4563" s="12" t="inlineStr">
        <is>
          <t>Duct bank</t>
        </is>
      </c>
      <c r="T4563" s="16" t="n">
        <v>550</v>
      </c>
      <c r="U4563" s="16" t="n">
        <v>32</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I-I-0015</t>
        </is>
      </c>
      <c r="B4564" s="12" t="inlineStr">
        <is>
          <t>I</t>
        </is>
      </c>
      <c r="C4564" s="12" t="inlineStr">
        <is>
          <t>Modular / portable power</t>
        </is>
      </c>
      <c r="D4564" s="12" t="inlineStr">
        <is>
          <t>Thermocouples</t>
        </is>
      </c>
      <c r="E4564" s="12" t="inlineStr"/>
      <c r="F4564" s="12" t="inlineStr">
        <is>
          <t>PCM: power control module</t>
        </is>
      </c>
      <c r="G4564" s="12" t="inlineStr"/>
      <c r="H4564" s="12" t="inlineStr">
        <is>
          <t>CONDITIONAL: BESS black-start alternative</t>
        </is>
      </c>
      <c r="I4564" s="12" t="inlineStr">
        <is>
          <t>Instrumentation</t>
        </is>
      </c>
      <c r="J4564" s="12" t="inlineStr">
        <is>
          <t>Thermocouple extension KX, #16 shielded pairs, PLTC</t>
        </is>
      </c>
      <c r="K4564" s="12" t="inlineStr">
        <is>
          <t>TCX|12 pr|16</t>
        </is>
      </c>
      <c r="L4564" s="12" t="inlineStr">
        <is>
          <t>12 pr</t>
        </is>
      </c>
      <c r="M4564" s="12" t="inlineStr">
        <is>
          <t>16</t>
        </is>
      </c>
      <c r="N4564" s="12" t="n">
        <v>1</v>
      </c>
      <c r="O4564" s="12" t="n">
        <v>1</v>
      </c>
      <c r="P4564" s="12" t="n"/>
      <c r="Q4564" s="12" t="n"/>
      <c r="R4564" s="12" t="n"/>
      <c r="S4564" s="12" t="inlineStr">
        <is>
          <t>Duct bank</t>
        </is>
      </c>
      <c r="T4564" s="16" t="n">
        <v>550</v>
      </c>
      <c r="U4564" s="16" t="n">
        <v>32</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I-I-0016</t>
        </is>
      </c>
      <c r="B4565" s="12" t="inlineStr">
        <is>
          <t>I</t>
        </is>
      </c>
      <c r="C4565" s="12" t="inlineStr">
        <is>
          <t>Modular / portable power</t>
        </is>
      </c>
      <c r="D4565" s="12" t="inlineStr">
        <is>
          <t>Instrumentation</t>
        </is>
      </c>
      <c r="E4565" s="12" t="inlineStr"/>
      <c r="F4565" s="12" t="inlineStr">
        <is>
          <t>SC-1 PCM + 15 kV GCB</t>
        </is>
      </c>
      <c r="G4565" s="12" t="inlineStr"/>
      <c r="H4565" s="12" t="inlineStr">
        <is>
          <t>CONDITIONAL: SC-1 inlet chiller / evaporative cooler</t>
        </is>
      </c>
      <c r="I4565" s="12" t="inlineStr">
        <is>
          <t>Instrumentation</t>
        </is>
      </c>
      <c r="J4565" s="12" t="inlineStr">
        <is>
          <t>Instrumentation PLTC / TC-ER 300 V, #18 twisted shielded pairs, overall shield</t>
        </is>
      </c>
      <c r="K4565" s="12" t="inlineStr">
        <is>
          <t>PLTC|4 pr|18</t>
        </is>
      </c>
      <c r="L4565" s="12" t="inlineStr">
        <is>
          <t>4 pr</t>
        </is>
      </c>
      <c r="M4565" s="12" t="inlineStr">
        <is>
          <t>18</t>
        </is>
      </c>
      <c r="N4565" s="12" t="n">
        <v>1</v>
      </c>
      <c r="O4565" s="12" t="n">
        <v>1</v>
      </c>
      <c r="P4565" s="12" t="n"/>
      <c r="Q4565" s="12" t="n"/>
      <c r="R4565" s="12" t="n"/>
      <c r="S4565" s="12" t="inlineStr">
        <is>
          <t>Tray</t>
        </is>
      </c>
      <c r="T4565" s="16" t="n">
        <v>0</v>
      </c>
      <c r="U4565" s="16" t="n">
        <v>114</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I-I-0017</t>
        </is>
      </c>
      <c r="B4566" s="12" t="inlineStr">
        <is>
          <t>I</t>
        </is>
      </c>
      <c r="C4566" s="12" t="inlineStr">
        <is>
          <t>Modular / portable power</t>
        </is>
      </c>
      <c r="D4566" s="12" t="inlineStr">
        <is>
          <t>Thermocouples</t>
        </is>
      </c>
      <c r="E4566" s="12" t="inlineStr"/>
      <c r="F4566" s="12" t="inlineStr">
        <is>
          <t>SC-1 PCM + 15 kV GCB</t>
        </is>
      </c>
      <c r="G4566" s="12" t="inlineStr"/>
      <c r="H4566" s="12" t="inlineStr">
        <is>
          <t>CONDITIONAL: SC-1 inlet chiller / evaporative cooler</t>
        </is>
      </c>
      <c r="I4566" s="12" t="inlineStr">
        <is>
          <t>Instrumentation</t>
        </is>
      </c>
      <c r="J4566" s="12" t="inlineStr">
        <is>
          <t>Thermocouple extension KX, #16 shielded pairs, PLTC</t>
        </is>
      </c>
      <c r="K4566" s="12" t="inlineStr">
        <is>
          <t>TCX|12 pr|16</t>
        </is>
      </c>
      <c r="L4566" s="12" t="inlineStr">
        <is>
          <t>12 pr</t>
        </is>
      </c>
      <c r="M4566" s="12" t="inlineStr">
        <is>
          <t>16</t>
        </is>
      </c>
      <c r="N4566" s="12" t="n">
        <v>1</v>
      </c>
      <c r="O4566" s="12" t="n">
        <v>1</v>
      </c>
      <c r="P4566" s="12" t="n"/>
      <c r="Q4566" s="12" t="n"/>
      <c r="R4566" s="12" t="n"/>
      <c r="S4566" s="12" t="inlineStr">
        <is>
          <t>Tray</t>
        </is>
      </c>
      <c r="T4566" s="16" t="n">
        <v>0</v>
      </c>
      <c r="U4566" s="16" t="n">
        <v>114</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I-I-0018</t>
        </is>
      </c>
      <c r="B4567" s="12" t="inlineStr">
        <is>
          <t>I</t>
        </is>
      </c>
      <c r="C4567" s="12" t="inlineStr">
        <is>
          <t>Modular / portable power</t>
        </is>
      </c>
      <c r="D4567" s="12" t="inlineStr">
        <is>
          <t>Thermocouples</t>
        </is>
      </c>
      <c r="E4567" s="12" t="inlineStr"/>
      <c r="F4567" s="12" t="inlineStr">
        <is>
          <t>SC-1 PCM + 15 kV GCB</t>
        </is>
      </c>
      <c r="G4567" s="12" t="inlineStr"/>
      <c r="H4567" s="12" t="inlineStr">
        <is>
          <t>CONDITIONAL: SC-1 inlet chiller / evaporative cooler</t>
        </is>
      </c>
      <c r="I4567" s="12" t="inlineStr">
        <is>
          <t>Instrumentation</t>
        </is>
      </c>
      <c r="J4567" s="12" t="inlineStr">
        <is>
          <t>Thermocouple extension KX, #16 shielded pairs, PLTC</t>
        </is>
      </c>
      <c r="K4567" s="12" t="inlineStr">
        <is>
          <t>TCX|12 pr|16</t>
        </is>
      </c>
      <c r="L4567" s="12" t="inlineStr">
        <is>
          <t>12 pr</t>
        </is>
      </c>
      <c r="M4567" s="12" t="inlineStr">
        <is>
          <t>16</t>
        </is>
      </c>
      <c r="N4567" s="12" t="n">
        <v>1</v>
      </c>
      <c r="O4567" s="12" t="n">
        <v>1</v>
      </c>
      <c r="P4567" s="12" t="n"/>
      <c r="Q4567" s="12" t="n"/>
      <c r="R4567" s="12" t="n"/>
      <c r="S4567" s="12" t="inlineStr">
        <is>
          <t>Tray</t>
        </is>
      </c>
      <c r="T4567" s="16" t="n">
        <v>0</v>
      </c>
      <c r="U4567" s="16" t="n">
        <v>114</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I-I-0019</t>
        </is>
      </c>
      <c r="B4568" s="12" t="inlineStr">
        <is>
          <t>I</t>
        </is>
      </c>
      <c r="C4568" s="12" t="inlineStr">
        <is>
          <t>Modular / portable power</t>
        </is>
      </c>
      <c r="D4568" s="12" t="inlineStr">
        <is>
          <t>Instrumentation</t>
        </is>
      </c>
      <c r="E4568" s="12" t="inlineStr"/>
      <c r="F4568" s="12" t="inlineStr">
        <is>
          <t>SC-2 PCM + 15 kV GCB</t>
        </is>
      </c>
      <c r="G4568" s="12" t="inlineStr"/>
      <c r="H4568" s="12" t="inlineStr">
        <is>
          <t>CONDITIONAL: SC-2 inlet chiller / evaporative cooler</t>
        </is>
      </c>
      <c r="I4568" s="12" t="inlineStr">
        <is>
          <t>Instrumentation</t>
        </is>
      </c>
      <c r="J4568" s="12" t="inlineStr">
        <is>
          <t>Instrumentation PLTC / TC-ER 300 V, #18 twisted shielded pairs, overall shield</t>
        </is>
      </c>
      <c r="K4568" s="12" t="inlineStr">
        <is>
          <t>PLTC|4 pr|18</t>
        </is>
      </c>
      <c r="L4568" s="12" t="inlineStr">
        <is>
          <t>4 pr</t>
        </is>
      </c>
      <c r="M4568" s="12" t="inlineStr">
        <is>
          <t>18</t>
        </is>
      </c>
      <c r="N4568" s="12" t="n">
        <v>1</v>
      </c>
      <c r="O4568" s="12" t="n">
        <v>1</v>
      </c>
      <c r="P4568" s="12" t="n"/>
      <c r="Q4568" s="12" t="n"/>
      <c r="R4568" s="12" t="n"/>
      <c r="S4568" s="12" t="inlineStr">
        <is>
          <t>Duct bank</t>
        </is>
      </c>
      <c r="T4568" s="16" t="n">
        <v>75</v>
      </c>
      <c r="U4568" s="16" t="n">
        <v>32</v>
      </c>
      <c r="V4568" s="16">
        <f>ROUNDUP((T4568+U4568+2*'Read Me'!$B$13)*(1+'Read Me'!$B$12),-1)</f>
        <v/>
      </c>
      <c r="W4568" s="16">
        <f>V4568*N4568*O4568</f>
        <v/>
      </c>
      <c r="X4568" s="12">
        <f>IF(LEFT(I4568,2)="MV",2*N4568*IF(L4568="1/C",O4568,1),0)</f>
        <v/>
      </c>
      <c r="Y4568" s="12">
        <f>IF(OR(LEFT(K4568,4)="LVAX",LEFT(K4568,6)="MV15AX",LEFT(K4568,4)="CTAX",LEFT(K4568,2)="W|"),2*N4568*O4568,0)</f>
        <v/>
      </c>
      <c r="Z4568" s="12" t="inlineStr"/>
      <c r="AA4568" s="12">
        <f>N4568*O4568</f>
        <v/>
      </c>
    </row>
    <row r="4569">
      <c r="A4569" s="12" t="inlineStr">
        <is>
          <t>I-I-0020</t>
        </is>
      </c>
      <c r="B4569" s="12" t="inlineStr">
        <is>
          <t>I</t>
        </is>
      </c>
      <c r="C4569" s="12" t="inlineStr">
        <is>
          <t>Modular / portable power</t>
        </is>
      </c>
      <c r="D4569" s="12" t="inlineStr">
        <is>
          <t>Thermocouples</t>
        </is>
      </c>
      <c r="E4569" s="12" t="inlineStr"/>
      <c r="F4569" s="12" t="inlineStr">
        <is>
          <t>SC-2 PCM + 15 kV GCB</t>
        </is>
      </c>
      <c r="G4569" s="12" t="inlineStr"/>
      <c r="H4569" s="12" t="inlineStr">
        <is>
          <t>CONDITIONAL: SC-2 inlet chiller / evaporative cooler</t>
        </is>
      </c>
      <c r="I4569" s="12" t="inlineStr">
        <is>
          <t>Instrumentation</t>
        </is>
      </c>
      <c r="J4569" s="12" t="inlineStr">
        <is>
          <t>Thermocouple extension KX, #16 shielded pairs, PLTC</t>
        </is>
      </c>
      <c r="K4569" s="12" t="inlineStr">
        <is>
          <t>TCX|12 pr|16</t>
        </is>
      </c>
      <c r="L4569" s="12" t="inlineStr">
        <is>
          <t>12 pr</t>
        </is>
      </c>
      <c r="M4569" s="12" t="inlineStr">
        <is>
          <t>16</t>
        </is>
      </c>
      <c r="N4569" s="12" t="n">
        <v>1</v>
      </c>
      <c r="O4569" s="12" t="n">
        <v>1</v>
      </c>
      <c r="P4569" s="12" t="n"/>
      <c r="Q4569" s="12" t="n"/>
      <c r="R4569" s="12" t="n"/>
      <c r="S4569" s="12" t="inlineStr">
        <is>
          <t>Duct bank</t>
        </is>
      </c>
      <c r="T4569" s="16" t="n">
        <v>75</v>
      </c>
      <c r="U4569" s="16" t="n">
        <v>32</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I-I-0021</t>
        </is>
      </c>
      <c r="B4570" s="12" t="inlineStr">
        <is>
          <t>I</t>
        </is>
      </c>
      <c r="C4570" s="12" t="inlineStr">
        <is>
          <t>Modular / portable power</t>
        </is>
      </c>
      <c r="D4570" s="12" t="inlineStr">
        <is>
          <t>Thermocouples</t>
        </is>
      </c>
      <c r="E4570" s="12" t="inlineStr"/>
      <c r="F4570" s="12" t="inlineStr">
        <is>
          <t>SC-2 PCM + 15 kV GCB</t>
        </is>
      </c>
      <c r="G4570" s="12" t="inlineStr"/>
      <c r="H4570" s="12" t="inlineStr">
        <is>
          <t>CONDITIONAL: SC-2 inlet chiller / evaporative cooler</t>
        </is>
      </c>
      <c r="I4570" s="12" t="inlineStr">
        <is>
          <t>Instrumentation</t>
        </is>
      </c>
      <c r="J4570" s="12" t="inlineStr">
        <is>
          <t>Thermocouple extension KX, #16 shielded pairs, PLTC</t>
        </is>
      </c>
      <c r="K4570" s="12" t="inlineStr">
        <is>
          <t>TCX|12 pr|16</t>
        </is>
      </c>
      <c r="L4570" s="12" t="inlineStr">
        <is>
          <t>12 pr</t>
        </is>
      </c>
      <c r="M4570" s="12" t="inlineStr">
        <is>
          <t>16</t>
        </is>
      </c>
      <c r="N4570" s="12" t="n">
        <v>1</v>
      </c>
      <c r="O4570" s="12" t="n">
        <v>1</v>
      </c>
      <c r="P4570" s="12" t="n"/>
      <c r="Q4570" s="12" t="n"/>
      <c r="R4570" s="12" t="n"/>
      <c r="S4570" s="12" t="inlineStr">
        <is>
          <t>Duct bank</t>
        </is>
      </c>
      <c r="T4570" s="16" t="n">
        <v>75</v>
      </c>
      <c r="U4570" s="16" t="n">
        <v>32</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I-I-0022</t>
        </is>
      </c>
      <c r="B4571" s="12" t="inlineStr">
        <is>
          <t>I</t>
        </is>
      </c>
      <c r="C4571" s="12" t="inlineStr">
        <is>
          <t>Modular / portable power</t>
        </is>
      </c>
      <c r="D4571" s="12" t="inlineStr">
        <is>
          <t>Analog instrument to JB JB-CONT-1-AI01: 20 x 1 pr (field cables)</t>
        </is>
      </c>
      <c r="E4571" s="12" t="inlineStr">
        <is>
          <t>CONT-1</t>
        </is>
      </c>
      <c r="F4571" s="12" t="inlineStr">
        <is>
          <t>CONT-1: containerized genset 13.8 kV (40 ft)</t>
        </is>
      </c>
      <c r="G4571" s="12" t="inlineStr">
        <is>
          <t>JB-CONT-1-AI01</t>
        </is>
      </c>
      <c r="H4571" s="12" t="inlineStr">
        <is>
          <t>CONT-1: containerized genset 13.8 kV (40 ft)</t>
        </is>
      </c>
      <c r="I4571" s="12" t="inlineStr">
        <is>
          <t>Instrumentation</t>
        </is>
      </c>
      <c r="J4571" s="12" t="inlineStr">
        <is>
          <t>Instrumentation PLTC / TC-ER 300 V, #18 twisted shielded pairs, overall shield</t>
        </is>
      </c>
      <c r="K4571" s="12" t="inlineStr">
        <is>
          <t>PLTC|1 pr|16</t>
        </is>
      </c>
      <c r="L4571" s="12" t="inlineStr">
        <is>
          <t>1 pr</t>
        </is>
      </c>
      <c r="M4571" s="12" t="inlineStr">
        <is>
          <t>16</t>
        </is>
      </c>
      <c r="N4571" s="12" t="n">
        <v>20</v>
      </c>
      <c r="O4571" s="12" t="n">
        <v>1</v>
      </c>
      <c r="P4571" s="12" t="n"/>
      <c r="Q4571" s="12" t="n"/>
      <c r="R4571" s="12" t="n"/>
      <c r="S4571" s="12" t="inlineStr">
        <is>
          <t>Tray / conduit</t>
        </is>
      </c>
      <c r="T4571" s="16" t="n">
        <v>54</v>
      </c>
      <c r="U4571" s="16" t="n">
        <v>10</v>
      </c>
      <c r="V4571" s="16">
        <f>ROUNDUP((T4571+U4571+2*'Read Me'!$B$13)*(1+'Read Me'!$B$12),-1)</f>
        <v/>
      </c>
      <c r="W4571" s="16">
        <f>V4571*N4571*O4571</f>
        <v/>
      </c>
      <c r="X4571" s="12">
        <f>IF(LEFT(I4571,2)="MV",2*N4571*IF(L4571="1/C",O4571,1),0)</f>
        <v/>
      </c>
      <c r="Y4571" s="12">
        <f>IF(OR(LEFT(K4571,4)="LVAX",LEFT(K4571,6)="MV15AX",LEFT(K4571,4)="CTAX",LEFT(K4571,2)="W|"),2*N4571*O4571,0)</f>
        <v/>
      </c>
      <c r="Z4571" s="12" t="inlineStr">
        <is>
          <t>device-to-JB field wiring, one cable per device</t>
        </is>
      </c>
      <c r="AA4571" s="12">
        <f>N4571*O4571</f>
        <v/>
      </c>
    </row>
    <row r="4572">
      <c r="A4572" s="12" t="inlineStr">
        <is>
          <t>I-I-0023</t>
        </is>
      </c>
      <c r="B4572" s="12" t="inlineStr">
        <is>
          <t>I</t>
        </is>
      </c>
      <c r="C4572" s="12" t="inlineStr">
        <is>
          <t>Modular / portable power</t>
        </is>
      </c>
      <c r="D4572" s="12" t="inlineStr">
        <is>
          <t>Home run JB-CONT-1-AI01 to the control / marshalling room</t>
        </is>
      </c>
      <c r="E4572" s="12" t="inlineStr">
        <is>
          <t>PAD-EH</t>
        </is>
      </c>
      <c r="F4572" s="12" t="inlineStr">
        <is>
          <t>PAD-EH 13.8 kV switchgear e-house</t>
        </is>
      </c>
      <c r="G4572" s="12" t="inlineStr">
        <is>
          <t>JB-CONT-1-AI01</t>
        </is>
      </c>
      <c r="H4572" s="12" t="inlineStr">
        <is>
          <t>CONT-1: containerized genset 13.8 kV (40 ft)</t>
        </is>
      </c>
      <c r="I4572" s="12" t="inlineStr">
        <is>
          <t>Instrumentation</t>
        </is>
      </c>
      <c r="J4572" s="12" t="inlineStr">
        <is>
          <t>Instrumentation PLTC / TC-ER 300 V, #18 twisted shielded pairs, overall shield</t>
        </is>
      </c>
      <c r="K4572" s="12" t="inlineStr">
        <is>
          <t>PLTC|24 pr|18</t>
        </is>
      </c>
      <c r="L4572" s="12" t="inlineStr">
        <is>
          <t>24 pr</t>
        </is>
      </c>
      <c r="M4572" s="12" t="inlineStr">
        <is>
          <t>18</t>
        </is>
      </c>
      <c r="N4572" s="12" t="n">
        <v>1</v>
      </c>
      <c r="O4572" s="12" t="n">
        <v>1</v>
      </c>
      <c r="P4572" s="12" t="n"/>
      <c r="Q4572" s="12" t="n"/>
      <c r="R4572" s="12" t="n"/>
      <c r="S4572" s="12" t="inlineStr">
        <is>
          <t>Surface</t>
        </is>
      </c>
      <c r="T4572" s="16" t="n">
        <v>298</v>
      </c>
      <c r="U4572" s="16" t="n">
        <v>37</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I-I-0024</t>
        </is>
      </c>
      <c r="B4573" s="12" t="inlineStr">
        <is>
          <t>I</t>
        </is>
      </c>
      <c r="C4573" s="12" t="inlineStr">
        <is>
          <t>Modular / portable power</t>
        </is>
      </c>
      <c r="D4573" s="12" t="inlineStr">
        <is>
          <t>Discrete device to JB JB-CONT-1-DI01: 20 x 1 pr (field cables)</t>
        </is>
      </c>
      <c r="E4573" s="12" t="inlineStr">
        <is>
          <t>CONT-1</t>
        </is>
      </c>
      <c r="F4573" s="12" t="inlineStr">
        <is>
          <t>CONT-1: containerized genset 13.8 kV (40 ft)</t>
        </is>
      </c>
      <c r="G4573" s="12" t="inlineStr">
        <is>
          <t>JB-CONT-1-DI01</t>
        </is>
      </c>
      <c r="H4573" s="12" t="inlineStr">
        <is>
          <t>CONT-1: containerized genset 13.8 kV (40 ft)</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20</v>
      </c>
      <c r="O4573" s="12" t="n">
        <v>1</v>
      </c>
      <c r="P4573" s="12" t="n"/>
      <c r="Q4573" s="12" t="n"/>
      <c r="R4573" s="12" t="n"/>
      <c r="S4573" s="12" t="inlineStr">
        <is>
          <t>Tray / conduit</t>
        </is>
      </c>
      <c r="T4573" s="16" t="n">
        <v>54</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I-I-0025</t>
        </is>
      </c>
      <c r="B4574" s="12" t="inlineStr">
        <is>
          <t>I</t>
        </is>
      </c>
      <c r="C4574" s="12" t="inlineStr">
        <is>
          <t>Modular / portable power</t>
        </is>
      </c>
      <c r="D4574" s="12" t="inlineStr">
        <is>
          <t>Home run JB-CONT-1-DI01 to the control / marshalling room</t>
        </is>
      </c>
      <c r="E4574" s="12" t="inlineStr">
        <is>
          <t>PAD-EH</t>
        </is>
      </c>
      <c r="F4574" s="12" t="inlineStr">
        <is>
          <t>PAD-EH 13.8 kV switchgear e-house</t>
        </is>
      </c>
      <c r="G4574" s="12" t="inlineStr">
        <is>
          <t>JB-CONT-1-DI01</t>
        </is>
      </c>
      <c r="H4574" s="12" t="inlineStr">
        <is>
          <t>CONT-1: containerized genset 13.8 kV (40 ft)</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Surface</t>
        </is>
      </c>
      <c r="T4574" s="16" t="n">
        <v>298</v>
      </c>
      <c r="U4574" s="16" t="n">
        <v>37</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I-I-0026</t>
        </is>
      </c>
      <c r="B4575" s="12" t="inlineStr">
        <is>
          <t>I</t>
        </is>
      </c>
      <c r="C4575" s="12" t="inlineStr">
        <is>
          <t>Modular / portable power</t>
        </is>
      </c>
      <c r="D4575" s="12" t="inlineStr">
        <is>
          <t>Analog instrument to JB JB-CONT-2-AI01: 20 x 1 pr (field cables)</t>
        </is>
      </c>
      <c r="E4575" s="12" t="inlineStr">
        <is>
          <t>CONT-2</t>
        </is>
      </c>
      <c r="F4575" s="12" t="inlineStr">
        <is>
          <t>CONT-2: containerized genset 13.8 kV (40 ft)</t>
        </is>
      </c>
      <c r="G4575" s="12" t="inlineStr">
        <is>
          <t>JB-CONT-2-AI01</t>
        </is>
      </c>
      <c r="H4575" s="12" t="inlineStr">
        <is>
          <t>CONT-2: containerized genset 13.8 kV (40 ft)</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20</v>
      </c>
      <c r="O4575" s="12" t="n">
        <v>1</v>
      </c>
      <c r="P4575" s="12" t="n"/>
      <c r="Q4575" s="12" t="n"/>
      <c r="R4575" s="12" t="n"/>
      <c r="S4575" s="12" t="inlineStr">
        <is>
          <t>Tray / conduit</t>
        </is>
      </c>
      <c r="T4575" s="16" t="n">
        <v>54</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I-I-0027</t>
        </is>
      </c>
      <c r="B4576" s="12" t="inlineStr">
        <is>
          <t>I</t>
        </is>
      </c>
      <c r="C4576" s="12" t="inlineStr">
        <is>
          <t>Modular / portable power</t>
        </is>
      </c>
      <c r="D4576" s="12" t="inlineStr">
        <is>
          <t>Home run JB-CONT-2-AI01 to the control / marshalling room</t>
        </is>
      </c>
      <c r="E4576" s="12" t="inlineStr">
        <is>
          <t>PAD-EH</t>
        </is>
      </c>
      <c r="F4576" s="12" t="inlineStr">
        <is>
          <t>PAD-EH 13.8 kV switchgear e-house</t>
        </is>
      </c>
      <c r="G4576" s="12" t="inlineStr">
        <is>
          <t>JB-CONT-2-AI01</t>
        </is>
      </c>
      <c r="H4576" s="12" t="inlineStr">
        <is>
          <t>CONT-2: containerized genset 13.8 kV (40 ft)</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Surface</t>
        </is>
      </c>
      <c r="T4576" s="16" t="n">
        <v>267</v>
      </c>
      <c r="U4576" s="16" t="n">
        <v>37</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I-I-0028</t>
        </is>
      </c>
      <c r="B4577" s="12" t="inlineStr">
        <is>
          <t>I</t>
        </is>
      </c>
      <c r="C4577" s="12" t="inlineStr">
        <is>
          <t>Modular / portable power</t>
        </is>
      </c>
      <c r="D4577" s="12" t="inlineStr">
        <is>
          <t>Discrete device to JB JB-CONT-2-DI01: 20 x 1 pr (field cables)</t>
        </is>
      </c>
      <c r="E4577" s="12" t="inlineStr">
        <is>
          <t>CONT-2</t>
        </is>
      </c>
      <c r="F4577" s="12" t="inlineStr">
        <is>
          <t>CONT-2: containerized genset 13.8 kV (40 ft)</t>
        </is>
      </c>
      <c r="G4577" s="12" t="inlineStr">
        <is>
          <t>JB-CONT-2-DI01</t>
        </is>
      </c>
      <c r="H4577" s="12" t="inlineStr">
        <is>
          <t>CONT-2: containerized genset 13.8 kV (40 ft)</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20</v>
      </c>
      <c r="O4577" s="12" t="n">
        <v>1</v>
      </c>
      <c r="P4577" s="12" t="n"/>
      <c r="Q4577" s="12" t="n"/>
      <c r="R4577" s="12" t="n"/>
      <c r="S4577" s="12" t="inlineStr">
        <is>
          <t>Tray / conduit</t>
        </is>
      </c>
      <c r="T4577" s="16" t="n">
        <v>54</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I-I-0029</t>
        </is>
      </c>
      <c r="B4578" s="12" t="inlineStr">
        <is>
          <t>I</t>
        </is>
      </c>
      <c r="C4578" s="12" t="inlineStr">
        <is>
          <t>Modular / portable power</t>
        </is>
      </c>
      <c r="D4578" s="12" t="inlineStr">
        <is>
          <t>Home run JB-CONT-2-DI01 to the control / marshalling room</t>
        </is>
      </c>
      <c r="E4578" s="12" t="inlineStr">
        <is>
          <t>PAD-EH</t>
        </is>
      </c>
      <c r="F4578" s="12" t="inlineStr">
        <is>
          <t>PAD-EH 13.8 kV switchgear e-house</t>
        </is>
      </c>
      <c r="G4578" s="12" t="inlineStr">
        <is>
          <t>JB-CONT-2-DI01</t>
        </is>
      </c>
      <c r="H4578" s="12" t="inlineStr">
        <is>
          <t>CONT-2: containerized genset 13.8 kV (40 ft)</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Surface</t>
        </is>
      </c>
      <c r="T4578" s="16" t="n">
        <v>267</v>
      </c>
      <c r="U4578" s="16" t="n">
        <v>37</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I-I-0030</t>
        </is>
      </c>
      <c r="B4579" s="12" t="inlineStr">
        <is>
          <t>I</t>
        </is>
      </c>
      <c r="C4579" s="12" t="inlineStr">
        <is>
          <t>Modular / portable power</t>
        </is>
      </c>
      <c r="D4579" s="12" t="inlineStr">
        <is>
          <t>Analog instrument to JB JB-CONT-3-AI01: 20 x 1 pr (field cables)</t>
        </is>
      </c>
      <c r="E4579" s="12" t="inlineStr">
        <is>
          <t>CONT-3</t>
        </is>
      </c>
      <c r="F4579" s="12" t="inlineStr">
        <is>
          <t>CONT-3: containerized gas genset 13.8 kV (40 ft)</t>
        </is>
      </c>
      <c r="G4579" s="12" t="inlineStr">
        <is>
          <t>JB-CONT-3-AI01</t>
        </is>
      </c>
      <c r="H4579" s="12" t="inlineStr">
        <is>
          <t>CONT-3: containerized gas genset 13.8 kV (40 ft)</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20</v>
      </c>
      <c r="O4579" s="12" t="n">
        <v>1</v>
      </c>
      <c r="P4579" s="12" t="n"/>
      <c r="Q4579" s="12" t="n"/>
      <c r="R4579" s="12" t="n"/>
      <c r="S4579" s="12" t="inlineStr">
        <is>
          <t>Tray / conduit</t>
        </is>
      </c>
      <c r="T4579" s="16" t="n">
        <v>54</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I-I-0031</t>
        </is>
      </c>
      <c r="B4580" s="12" t="inlineStr">
        <is>
          <t>I</t>
        </is>
      </c>
      <c r="C4580" s="12" t="inlineStr">
        <is>
          <t>Modular / portable power</t>
        </is>
      </c>
      <c r="D4580" s="12" t="inlineStr">
        <is>
          <t>Home run JB-CONT-3-AI01 to the control / marshalling room</t>
        </is>
      </c>
      <c r="E4580" s="12" t="inlineStr">
        <is>
          <t>PAD-EH</t>
        </is>
      </c>
      <c r="F4580" s="12" t="inlineStr">
        <is>
          <t>PAD-EH 13.8 kV switchgear e-house</t>
        </is>
      </c>
      <c r="G4580" s="12" t="inlineStr">
        <is>
          <t>JB-CONT-3-AI01</t>
        </is>
      </c>
      <c r="H4580" s="12" t="inlineStr">
        <is>
          <t>CONT-3: containerized gas genset 13.8 kV (40 ft)</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Surface</t>
        </is>
      </c>
      <c r="T4580" s="16" t="n">
        <v>191</v>
      </c>
      <c r="U4580" s="16" t="n">
        <v>32</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I-I-0032</t>
        </is>
      </c>
      <c r="B4581" s="12" t="inlineStr">
        <is>
          <t>I</t>
        </is>
      </c>
      <c r="C4581" s="12" t="inlineStr">
        <is>
          <t>Modular / portable power</t>
        </is>
      </c>
      <c r="D4581" s="12" t="inlineStr">
        <is>
          <t>Discrete device to JB JB-CONT-3-DI01: 20 x 1 pr (field cables)</t>
        </is>
      </c>
      <c r="E4581" s="12" t="inlineStr">
        <is>
          <t>CONT-3</t>
        </is>
      </c>
      <c r="F4581" s="12" t="inlineStr">
        <is>
          <t>CONT-3: containerized gas genset 13.8 kV (40 ft)</t>
        </is>
      </c>
      <c r="G4581" s="12" t="inlineStr">
        <is>
          <t>JB-CONT-3-DI01</t>
        </is>
      </c>
      <c r="H4581" s="12" t="inlineStr">
        <is>
          <t>CONT-3: containerized gas genset 13.8 kV (40 ft)</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20</v>
      </c>
      <c r="O4581" s="12" t="n">
        <v>1</v>
      </c>
      <c r="P4581" s="12" t="n"/>
      <c r="Q4581" s="12" t="n"/>
      <c r="R4581" s="12" t="n"/>
      <c r="S4581" s="12" t="inlineStr">
        <is>
          <t>Tray / conduit</t>
        </is>
      </c>
      <c r="T4581" s="16" t="n">
        <v>54</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I-I-0033</t>
        </is>
      </c>
      <c r="B4582" s="12" t="inlineStr">
        <is>
          <t>I</t>
        </is>
      </c>
      <c r="C4582" s="12" t="inlineStr">
        <is>
          <t>Modular / portable power</t>
        </is>
      </c>
      <c r="D4582" s="12" t="inlineStr">
        <is>
          <t>Home run JB-CONT-3-DI01 to the control / marshalling room</t>
        </is>
      </c>
      <c r="E4582" s="12" t="inlineStr">
        <is>
          <t>PAD-EH</t>
        </is>
      </c>
      <c r="F4582" s="12" t="inlineStr">
        <is>
          <t>PAD-EH 13.8 kV switchgear e-house</t>
        </is>
      </c>
      <c r="G4582" s="12" t="inlineStr">
        <is>
          <t>JB-CONT-3-DI01</t>
        </is>
      </c>
      <c r="H4582" s="12" t="inlineStr">
        <is>
          <t>CONT-3: containerized gas genset 13.8 kV (40 ft)</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Surface</t>
        </is>
      </c>
      <c r="T4582" s="16" t="n">
        <v>191</v>
      </c>
      <c r="U4582" s="16" t="n">
        <v>32</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I-I-0034</t>
        </is>
      </c>
      <c r="B4583" s="12" t="inlineStr">
        <is>
          <t>I</t>
        </is>
      </c>
      <c r="C4583" s="12" t="inlineStr">
        <is>
          <t>Modular / portable power</t>
        </is>
      </c>
      <c r="D4583" s="12" t="inlineStr">
        <is>
          <t>Analog instrument to JB JB-CONT-4-AI01: 20 x 1 pr (field cables)</t>
        </is>
      </c>
      <c r="E4583" s="12" t="inlineStr">
        <is>
          <t>CONT-4</t>
        </is>
      </c>
      <c r="F4583" s="12" t="inlineStr">
        <is>
          <t>CONT-4: containerized gas genset 13.8 kV (40 ft)</t>
        </is>
      </c>
      <c r="G4583" s="12" t="inlineStr">
        <is>
          <t>JB-CONT-4-AI01</t>
        </is>
      </c>
      <c r="H4583" s="12" t="inlineStr">
        <is>
          <t>CONT-4: containerized gas genset 13.8 kV (40 ft)</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20</v>
      </c>
      <c r="O4583" s="12" t="n">
        <v>1</v>
      </c>
      <c r="P4583" s="12" t="n"/>
      <c r="Q4583" s="12" t="n"/>
      <c r="R4583" s="12" t="n"/>
      <c r="S4583" s="12" t="inlineStr">
        <is>
          <t>Tray / conduit</t>
        </is>
      </c>
      <c r="T4583" s="16" t="n">
        <v>54</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I-I-0035</t>
        </is>
      </c>
      <c r="B4584" s="12" t="inlineStr">
        <is>
          <t>I</t>
        </is>
      </c>
      <c r="C4584" s="12" t="inlineStr">
        <is>
          <t>Modular / portable power</t>
        </is>
      </c>
      <c r="D4584" s="12" t="inlineStr">
        <is>
          <t>Home run JB-CONT-4-AI01 to the control / marshalling room</t>
        </is>
      </c>
      <c r="E4584" s="12" t="inlineStr">
        <is>
          <t>PAD-EH</t>
        </is>
      </c>
      <c r="F4584" s="12" t="inlineStr">
        <is>
          <t>PAD-EH 13.8 kV switchgear e-house</t>
        </is>
      </c>
      <c r="G4584" s="12" t="inlineStr">
        <is>
          <t>JB-CONT-4-AI01</t>
        </is>
      </c>
      <c r="H4584" s="12" t="inlineStr">
        <is>
          <t>CONT-4: containerized gas genset 13.8 kV (40 ft)</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62</v>
      </c>
      <c r="U4584" s="16" t="n">
        <v>81</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I-I-0036</t>
        </is>
      </c>
      <c r="B4585" s="12" t="inlineStr">
        <is>
          <t>I</t>
        </is>
      </c>
      <c r="C4585" s="12" t="inlineStr">
        <is>
          <t>Modular / portable power</t>
        </is>
      </c>
      <c r="D4585" s="12" t="inlineStr">
        <is>
          <t>Discrete device to JB JB-CONT-4-DI01: 20 x 1 pr (field cables)</t>
        </is>
      </c>
      <c r="E4585" s="12" t="inlineStr">
        <is>
          <t>CONT-4</t>
        </is>
      </c>
      <c r="F4585" s="12" t="inlineStr">
        <is>
          <t>CONT-4: containerized gas genset 13.8 kV (40 ft)</t>
        </is>
      </c>
      <c r="G4585" s="12" t="inlineStr">
        <is>
          <t>JB-CONT-4-DI01</t>
        </is>
      </c>
      <c r="H4585" s="12" t="inlineStr">
        <is>
          <t>CONT-4: containerized gas genset 13.8 kV (40 ft)</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20</v>
      </c>
      <c r="O4585" s="12" t="n">
        <v>1</v>
      </c>
      <c r="P4585" s="12" t="n"/>
      <c r="Q4585" s="12" t="n"/>
      <c r="R4585" s="12" t="n"/>
      <c r="S4585" s="12" t="inlineStr">
        <is>
          <t>Tray / conduit</t>
        </is>
      </c>
      <c r="T4585" s="16" t="n">
        <v>54</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I-I-0037</t>
        </is>
      </c>
      <c r="B4586" s="12" t="inlineStr">
        <is>
          <t>I</t>
        </is>
      </c>
      <c r="C4586" s="12" t="inlineStr">
        <is>
          <t>Modular / portable power</t>
        </is>
      </c>
      <c r="D4586" s="12" t="inlineStr">
        <is>
          <t>Home run JB-CONT-4-DI01 to the control / marshalling room</t>
        </is>
      </c>
      <c r="E4586" s="12" t="inlineStr">
        <is>
          <t>PAD-EH</t>
        </is>
      </c>
      <c r="F4586" s="12" t="inlineStr">
        <is>
          <t>PAD-EH 13.8 kV switchgear e-house</t>
        </is>
      </c>
      <c r="G4586" s="12" t="inlineStr">
        <is>
          <t>JB-CONT-4-DI01</t>
        </is>
      </c>
      <c r="H4586" s="12" t="inlineStr">
        <is>
          <t>CONT-4: containerized gas genset 13.8 kV (40 ft)</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Duct bank</t>
        </is>
      </c>
      <c r="T4586" s="16" t="n">
        <v>62</v>
      </c>
      <c r="U4586" s="16" t="n">
        <v>81</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I-I-0038</t>
        </is>
      </c>
      <c r="B4587" s="12" t="inlineStr">
        <is>
          <t>I</t>
        </is>
      </c>
      <c r="C4587" s="12" t="inlineStr">
        <is>
          <t>Modular / portable power</t>
        </is>
      </c>
      <c r="D4587" s="12" t="inlineStr">
        <is>
          <t>Analog instrument to JB JB-CONT-5-AI01: 20 x 1 pr (field cables)</t>
        </is>
      </c>
      <c r="E4587" s="12" t="inlineStr">
        <is>
          <t>CONT-5</t>
        </is>
      </c>
      <c r="F4587" s="12" t="inlineStr">
        <is>
          <t>CONT-5: containerized gas genset 13.8 kV (40 ft)</t>
        </is>
      </c>
      <c r="G4587" s="12" t="inlineStr">
        <is>
          <t>JB-CONT-5-AI01</t>
        </is>
      </c>
      <c r="H4587" s="12" t="inlineStr">
        <is>
          <t>CONT-5: containerized gas genset 13.8 kV (40 ft)</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20</v>
      </c>
      <c r="O4587" s="12" t="n">
        <v>1</v>
      </c>
      <c r="P4587" s="12" t="n"/>
      <c r="Q4587" s="12" t="n"/>
      <c r="R4587" s="12" t="n"/>
      <c r="S4587" s="12" t="inlineStr">
        <is>
          <t>Tray / conduit</t>
        </is>
      </c>
      <c r="T4587" s="16" t="n">
        <v>54</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I-I-0039</t>
        </is>
      </c>
      <c r="B4588" s="12" t="inlineStr">
        <is>
          <t>I</t>
        </is>
      </c>
      <c r="C4588" s="12" t="inlineStr">
        <is>
          <t>Modular / portable power</t>
        </is>
      </c>
      <c r="D4588" s="12" t="inlineStr">
        <is>
          <t>Home run JB-CONT-5-AI01 to the control / marshalling room</t>
        </is>
      </c>
      <c r="E4588" s="12" t="inlineStr">
        <is>
          <t>PAD-EH</t>
        </is>
      </c>
      <c r="F4588" s="12" t="inlineStr">
        <is>
          <t>PAD-EH 13.8 kV switchgear e-house</t>
        </is>
      </c>
      <c r="G4588" s="12" t="inlineStr">
        <is>
          <t>JB-CONT-5-AI01</t>
        </is>
      </c>
      <c r="H4588" s="12" t="inlineStr">
        <is>
          <t>CONT-5: containerized gas genset 13.8 kV (40 ft)</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Duct bank</t>
        </is>
      </c>
      <c r="T4588" s="16" t="n">
        <v>25</v>
      </c>
      <c r="U4588" s="16" t="n">
        <v>58</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I-I-0040</t>
        </is>
      </c>
      <c r="B4589" s="12" t="inlineStr">
        <is>
          <t>I</t>
        </is>
      </c>
      <c r="C4589" s="12" t="inlineStr">
        <is>
          <t>Modular / portable power</t>
        </is>
      </c>
      <c r="D4589" s="12" t="inlineStr">
        <is>
          <t>Discrete device to JB JB-CONT-5-DI01: 20 x 1 pr (field cables)</t>
        </is>
      </c>
      <c r="E4589" s="12" t="inlineStr">
        <is>
          <t>CONT-5</t>
        </is>
      </c>
      <c r="F4589" s="12" t="inlineStr">
        <is>
          <t>CONT-5: containerized gas genset 13.8 kV (40 ft)</t>
        </is>
      </c>
      <c r="G4589" s="12" t="inlineStr">
        <is>
          <t>JB-CONT-5-DI01</t>
        </is>
      </c>
      <c r="H4589" s="12" t="inlineStr">
        <is>
          <t>CONT-5: containerized gas genset 13.8 kV (40 ft)</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20</v>
      </c>
      <c r="O4589" s="12" t="n">
        <v>1</v>
      </c>
      <c r="P4589" s="12" t="n"/>
      <c r="Q4589" s="12" t="n"/>
      <c r="R4589" s="12" t="n"/>
      <c r="S4589" s="12" t="inlineStr">
        <is>
          <t>Tray / conduit</t>
        </is>
      </c>
      <c r="T4589" s="16" t="n">
        <v>54</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I-I-0041</t>
        </is>
      </c>
      <c r="B4590" s="12" t="inlineStr">
        <is>
          <t>I</t>
        </is>
      </c>
      <c r="C4590" s="12" t="inlineStr">
        <is>
          <t>Modular / portable power</t>
        </is>
      </c>
      <c r="D4590" s="12" t="inlineStr">
        <is>
          <t>Home run JB-CONT-5-DI01 to the control / marshalling room</t>
        </is>
      </c>
      <c r="E4590" s="12" t="inlineStr">
        <is>
          <t>PAD-EH</t>
        </is>
      </c>
      <c r="F4590" s="12" t="inlineStr">
        <is>
          <t>PAD-EH 13.8 kV switchgear e-house</t>
        </is>
      </c>
      <c r="G4590" s="12" t="inlineStr">
        <is>
          <t>JB-CONT-5-DI01</t>
        </is>
      </c>
      <c r="H4590" s="12" t="inlineStr">
        <is>
          <t>CONT-5: containerized gas genset 13.8 kV (40 ft)</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Duct bank</t>
        </is>
      </c>
      <c r="T4590" s="16" t="n">
        <v>25</v>
      </c>
      <c r="U4590" s="16" t="n">
        <v>58</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I-I-0042</t>
        </is>
      </c>
      <c r="B4591" s="12" t="inlineStr">
        <is>
          <t>I</t>
        </is>
      </c>
      <c r="C4591" s="12" t="inlineStr">
        <is>
          <t>Modular / portable power</t>
        </is>
      </c>
      <c r="D4591" s="12" t="inlineStr">
        <is>
          <t>Analog instrument to JB JB-CONT-6-AI01: 20 x 1 pr (field cables)</t>
        </is>
      </c>
      <c r="E4591" s="12" t="inlineStr">
        <is>
          <t>CONT-6</t>
        </is>
      </c>
      <c r="F4591" s="12" t="inlineStr">
        <is>
          <t>CONT-6: containerized gas genset 13.8 kV (40 ft)</t>
        </is>
      </c>
      <c r="G4591" s="12" t="inlineStr">
        <is>
          <t>JB-CONT-6-AI01</t>
        </is>
      </c>
      <c r="H4591" s="12" t="inlineStr">
        <is>
          <t>CONT-6: containerized gas genset 13.8 kV (40 ft)</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20</v>
      </c>
      <c r="O4591" s="12" t="n">
        <v>1</v>
      </c>
      <c r="P4591" s="12" t="n"/>
      <c r="Q4591" s="12" t="n"/>
      <c r="R4591" s="12" t="n"/>
      <c r="S4591" s="12" t="inlineStr">
        <is>
          <t>Tray / conduit</t>
        </is>
      </c>
      <c r="T4591" s="16" t="n">
        <v>54</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I-I-0043</t>
        </is>
      </c>
      <c r="B4592" s="12" t="inlineStr">
        <is>
          <t>I</t>
        </is>
      </c>
      <c r="C4592" s="12" t="inlineStr">
        <is>
          <t>Modular / portable power</t>
        </is>
      </c>
      <c r="D4592" s="12" t="inlineStr">
        <is>
          <t>Home run JB-CONT-6-AI01 to the control / marshalling room</t>
        </is>
      </c>
      <c r="E4592" s="12" t="inlineStr">
        <is>
          <t>PAD-EH</t>
        </is>
      </c>
      <c r="F4592" s="12" t="inlineStr">
        <is>
          <t>PAD-EH 13.8 kV switchgear e-house</t>
        </is>
      </c>
      <c r="G4592" s="12" t="inlineStr">
        <is>
          <t>JB-CONT-6-AI01</t>
        </is>
      </c>
      <c r="H4592" s="12" t="inlineStr">
        <is>
          <t>CONT-6: containerized gas genset 13.8 kV (40 ft)</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Surface</t>
        </is>
      </c>
      <c r="T4592" s="16" t="n">
        <v>228</v>
      </c>
      <c r="U4592" s="16" t="n">
        <v>46</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I-I-0044</t>
        </is>
      </c>
      <c r="B4593" s="12" t="inlineStr">
        <is>
          <t>I</t>
        </is>
      </c>
      <c r="C4593" s="12" t="inlineStr">
        <is>
          <t>Modular / portable power</t>
        </is>
      </c>
      <c r="D4593" s="12" t="inlineStr">
        <is>
          <t>Discrete device to JB JB-CONT-6-DI01: 20 x 1 pr (field cables)</t>
        </is>
      </c>
      <c r="E4593" s="12" t="inlineStr">
        <is>
          <t>CONT-6</t>
        </is>
      </c>
      <c r="F4593" s="12" t="inlineStr">
        <is>
          <t>CONT-6: containerized gas genset 13.8 kV (40 ft)</t>
        </is>
      </c>
      <c r="G4593" s="12" t="inlineStr">
        <is>
          <t>JB-CONT-6-DI01</t>
        </is>
      </c>
      <c r="H4593" s="12" t="inlineStr">
        <is>
          <t>CONT-6: containerized gas genset 13.8 kV (40 ft)</t>
        </is>
      </c>
      <c r="I4593" s="12" t="inlineStr">
        <is>
          <t>Instrumentation</t>
        </is>
      </c>
      <c r="J4593" s="12" t="inlineStr">
        <is>
          <t>Instrumentation PLTC / TC-ER 300 V, #18 twisted shielded pairs, overall shield</t>
        </is>
      </c>
      <c r="K4593" s="12" t="inlineStr">
        <is>
          <t>PLTC|1 pr|16</t>
        </is>
      </c>
      <c r="L4593" s="12" t="inlineStr">
        <is>
          <t>1 pr</t>
        </is>
      </c>
      <c r="M4593" s="12" t="inlineStr">
        <is>
          <t>16</t>
        </is>
      </c>
      <c r="N4593" s="12" t="n">
        <v>20</v>
      </c>
      <c r="O4593" s="12" t="n">
        <v>1</v>
      </c>
      <c r="P4593" s="12" t="n"/>
      <c r="Q4593" s="12" t="n"/>
      <c r="R4593" s="12" t="n"/>
      <c r="S4593" s="12" t="inlineStr">
        <is>
          <t>Tray / conduit</t>
        </is>
      </c>
      <c r="T4593" s="16" t="n">
        <v>54</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I-I-0045</t>
        </is>
      </c>
      <c r="B4594" s="12" t="inlineStr">
        <is>
          <t>I</t>
        </is>
      </c>
      <c r="C4594" s="12" t="inlineStr">
        <is>
          <t>Modular / portable power</t>
        </is>
      </c>
      <c r="D4594" s="12" t="inlineStr">
        <is>
          <t>Home run JB-CONT-6-DI01 to the control / marshalling room</t>
        </is>
      </c>
      <c r="E4594" s="12" t="inlineStr">
        <is>
          <t>PAD-EH</t>
        </is>
      </c>
      <c r="F4594" s="12" t="inlineStr">
        <is>
          <t>PAD-EH 13.8 kV switchgear e-house</t>
        </is>
      </c>
      <c r="G4594" s="12" t="inlineStr">
        <is>
          <t>JB-CONT-6-DI01</t>
        </is>
      </c>
      <c r="H4594" s="12" t="inlineStr">
        <is>
          <t>CONT-6: containerized gas genset 13.8 kV (40 ft)</t>
        </is>
      </c>
      <c r="I4594" s="12" t="inlineStr">
        <is>
          <t>Instrumentation</t>
        </is>
      </c>
      <c r="J4594" s="12" t="inlineStr">
        <is>
          <t>Instrumentation PLTC / TC-ER 300 V, #18 twisted shielded pairs, overall shield</t>
        </is>
      </c>
      <c r="K4594" s="12" t="inlineStr">
        <is>
          <t>PLTC|24 pr|18</t>
        </is>
      </c>
      <c r="L4594" s="12" t="inlineStr">
        <is>
          <t>24 pr</t>
        </is>
      </c>
      <c r="M4594" s="12" t="inlineStr">
        <is>
          <t>18</t>
        </is>
      </c>
      <c r="N4594" s="12" t="n">
        <v>1</v>
      </c>
      <c r="O4594" s="12" t="n">
        <v>1</v>
      </c>
      <c r="P4594" s="12" t="n"/>
      <c r="Q4594" s="12" t="n"/>
      <c r="R4594" s="12" t="n"/>
      <c r="S4594" s="12" t="inlineStr">
        <is>
          <t>Surface</t>
        </is>
      </c>
      <c r="T4594" s="16" t="n">
        <v>228</v>
      </c>
      <c r="U4594" s="16" t="n">
        <v>46</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I-I-0046</t>
        </is>
      </c>
      <c r="B4595" s="12" t="inlineStr">
        <is>
          <t>I</t>
        </is>
      </c>
      <c r="C4595" s="12" t="inlineStr">
        <is>
          <t>Modular / portable power</t>
        </is>
      </c>
      <c r="D4595" s="12" t="inlineStr">
        <is>
          <t>Analog instrument to JB JB-CONT-7-AI01: 20 x 1 pr (field cables)</t>
        </is>
      </c>
      <c r="E4595" s="12" t="inlineStr">
        <is>
          <t>CONT-7</t>
        </is>
      </c>
      <c r="F4595" s="12" t="inlineStr">
        <is>
          <t>CONT-7: containerized gas genset 13.8 kV (40 ft)</t>
        </is>
      </c>
      <c r="G4595" s="12" t="inlineStr">
        <is>
          <t>JB-CONT-7-AI01</t>
        </is>
      </c>
      <c r="H4595" s="12" t="inlineStr">
        <is>
          <t>CONT-7: containerized gas genset 13.8 kV (40 ft)</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20</v>
      </c>
      <c r="O4595" s="12" t="n">
        <v>1</v>
      </c>
      <c r="P4595" s="12" t="n"/>
      <c r="Q4595" s="12" t="n"/>
      <c r="R4595" s="12" t="n"/>
      <c r="S4595" s="12" t="inlineStr">
        <is>
          <t>Tray / conduit</t>
        </is>
      </c>
      <c r="T4595" s="16" t="n">
        <v>54</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I-I-0047</t>
        </is>
      </c>
      <c r="B4596" s="12" t="inlineStr">
        <is>
          <t>I</t>
        </is>
      </c>
      <c r="C4596" s="12" t="inlineStr">
        <is>
          <t>Modular / portable power</t>
        </is>
      </c>
      <c r="D4596" s="12" t="inlineStr">
        <is>
          <t>Home run JB-CONT-7-AI01 to the control / marshalling room</t>
        </is>
      </c>
      <c r="E4596" s="12" t="inlineStr">
        <is>
          <t>PAD-EH</t>
        </is>
      </c>
      <c r="F4596" s="12" t="inlineStr">
        <is>
          <t>PAD-EH 13.8 kV switchgear e-house</t>
        </is>
      </c>
      <c r="G4596" s="12" t="inlineStr">
        <is>
          <t>JB-CONT-7-AI01</t>
        </is>
      </c>
      <c r="H4596" s="12" t="inlineStr">
        <is>
          <t>CONT-7: containerized gas genset 13.8 kV (40 ft)</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6" t="n">
        <v>228</v>
      </c>
      <c r="U4596" s="16" t="n">
        <v>46</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I-I-0048</t>
        </is>
      </c>
      <c r="B4597" s="12" t="inlineStr">
        <is>
          <t>I</t>
        </is>
      </c>
      <c r="C4597" s="12" t="inlineStr">
        <is>
          <t>Modular / portable power</t>
        </is>
      </c>
      <c r="D4597" s="12" t="inlineStr">
        <is>
          <t>Discrete device to JB JB-CONT-7-DI01: 20 x 1 pr (field cables)</t>
        </is>
      </c>
      <c r="E4597" s="12" t="inlineStr">
        <is>
          <t>CONT-7</t>
        </is>
      </c>
      <c r="F4597" s="12" t="inlineStr">
        <is>
          <t>CONT-7: containerized gas genset 13.8 kV (40 ft)</t>
        </is>
      </c>
      <c r="G4597" s="12" t="inlineStr">
        <is>
          <t>JB-CONT-7-DI01</t>
        </is>
      </c>
      <c r="H4597" s="12" t="inlineStr">
        <is>
          <t>CONT-7: containerized gas genset 13.8 kV (40 ft)</t>
        </is>
      </c>
      <c r="I4597" s="12" t="inlineStr">
        <is>
          <t>Instrumentation</t>
        </is>
      </c>
      <c r="J4597" s="12" t="inlineStr">
        <is>
          <t>Instrumentation PLTC / TC-ER 300 V, #18 twisted shielded pairs, overall shield</t>
        </is>
      </c>
      <c r="K4597" s="12" t="inlineStr">
        <is>
          <t>PLTC|1 pr|16</t>
        </is>
      </c>
      <c r="L4597" s="12" t="inlineStr">
        <is>
          <t>1 pr</t>
        </is>
      </c>
      <c r="M4597" s="12" t="inlineStr">
        <is>
          <t>16</t>
        </is>
      </c>
      <c r="N4597" s="12" t="n">
        <v>20</v>
      </c>
      <c r="O4597" s="12" t="n">
        <v>1</v>
      </c>
      <c r="P4597" s="12" t="n"/>
      <c r="Q4597" s="12" t="n"/>
      <c r="R4597" s="12" t="n"/>
      <c r="S4597" s="12" t="inlineStr">
        <is>
          <t>Tray / conduit</t>
        </is>
      </c>
      <c r="T4597" s="16" t="n">
        <v>54</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I-I-0049</t>
        </is>
      </c>
      <c r="B4598" s="12" t="inlineStr">
        <is>
          <t>I</t>
        </is>
      </c>
      <c r="C4598" s="12" t="inlineStr">
        <is>
          <t>Modular / portable power</t>
        </is>
      </c>
      <c r="D4598" s="12" t="inlineStr">
        <is>
          <t>Home run JB-CONT-7-DI01 to the control / marshalling room</t>
        </is>
      </c>
      <c r="E4598" s="12" t="inlineStr">
        <is>
          <t>PAD-EH</t>
        </is>
      </c>
      <c r="F4598" s="12" t="inlineStr">
        <is>
          <t>PAD-EH 13.8 kV switchgear e-house</t>
        </is>
      </c>
      <c r="G4598" s="12" t="inlineStr">
        <is>
          <t>JB-CONT-7-DI01</t>
        </is>
      </c>
      <c r="H4598" s="12" t="inlineStr">
        <is>
          <t>CONT-7: containerized gas genset 13.8 kV (40 ft)</t>
        </is>
      </c>
      <c r="I4598" s="12" t="inlineStr">
        <is>
          <t>Instrumentation</t>
        </is>
      </c>
      <c r="J4598" s="12" t="inlineStr">
        <is>
          <t>Instrumentation PLTC / TC-ER 300 V, #18 twisted shielded pairs, overall shield</t>
        </is>
      </c>
      <c r="K4598" s="12" t="inlineStr">
        <is>
          <t>PLTC|24 pr|18</t>
        </is>
      </c>
      <c r="L4598" s="12" t="inlineStr">
        <is>
          <t>24 pr</t>
        </is>
      </c>
      <c r="M4598" s="12" t="inlineStr">
        <is>
          <t>18</t>
        </is>
      </c>
      <c r="N4598" s="12" t="n">
        <v>1</v>
      </c>
      <c r="O4598" s="12" t="n">
        <v>1</v>
      </c>
      <c r="P4598" s="12" t="n"/>
      <c r="Q4598" s="12" t="n"/>
      <c r="R4598" s="12" t="n"/>
      <c r="S4598" s="12" t="inlineStr">
        <is>
          <t>Surface</t>
        </is>
      </c>
      <c r="T4598" s="16" t="n">
        <v>228</v>
      </c>
      <c r="U4598" s="16" t="n">
        <v>46</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I-I-0050</t>
        </is>
      </c>
      <c r="B4599" s="12" t="inlineStr">
        <is>
          <t>I</t>
        </is>
      </c>
      <c r="C4599" s="12" t="inlineStr">
        <is>
          <t>Modular / portable power</t>
        </is>
      </c>
      <c r="D4599" s="12" t="inlineStr">
        <is>
          <t>Analog instrument to JB JB-CONT-8-AI01: 20 x 1 pr (field cables)</t>
        </is>
      </c>
      <c r="E4599" s="12" t="inlineStr">
        <is>
          <t>CONT-8</t>
        </is>
      </c>
      <c r="F4599" s="12" t="inlineStr">
        <is>
          <t>CONT-8: containerized gas genset 13.8 kV (40 ft)</t>
        </is>
      </c>
      <c r="G4599" s="12" t="inlineStr">
        <is>
          <t>JB-CONT-8-AI01</t>
        </is>
      </c>
      <c r="H4599" s="12" t="inlineStr">
        <is>
          <t>CONT-8: containerized gas genset 13.8 kV (40 ft)</t>
        </is>
      </c>
      <c r="I4599" s="12" t="inlineStr">
        <is>
          <t>Instrumentation</t>
        </is>
      </c>
      <c r="J4599" s="12" t="inlineStr">
        <is>
          <t>Instrumentation PLTC / TC-ER 300 V, #18 twisted shielded pairs, overall shield</t>
        </is>
      </c>
      <c r="K4599" s="12" t="inlineStr">
        <is>
          <t>PLTC|1 pr|16</t>
        </is>
      </c>
      <c r="L4599" s="12" t="inlineStr">
        <is>
          <t>1 pr</t>
        </is>
      </c>
      <c r="M4599" s="12" t="inlineStr">
        <is>
          <t>16</t>
        </is>
      </c>
      <c r="N4599" s="12" t="n">
        <v>20</v>
      </c>
      <c r="O4599" s="12" t="n">
        <v>1</v>
      </c>
      <c r="P4599" s="12" t="n"/>
      <c r="Q4599" s="12" t="n"/>
      <c r="R4599" s="12" t="n"/>
      <c r="S4599" s="12" t="inlineStr">
        <is>
          <t>Tray / conduit</t>
        </is>
      </c>
      <c r="T4599" s="16" t="n">
        <v>54</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I-I-0051</t>
        </is>
      </c>
      <c r="B4600" s="12" t="inlineStr">
        <is>
          <t>I</t>
        </is>
      </c>
      <c r="C4600" s="12" t="inlineStr">
        <is>
          <t>Modular / portable power</t>
        </is>
      </c>
      <c r="D4600" s="12" t="inlineStr">
        <is>
          <t>Home run JB-CONT-8-AI01 to the control / marshalling room</t>
        </is>
      </c>
      <c r="E4600" s="12" t="inlineStr">
        <is>
          <t>PAD-EH</t>
        </is>
      </c>
      <c r="F4600" s="12" t="inlineStr">
        <is>
          <t>PAD-EH 13.8 kV switchgear e-house</t>
        </is>
      </c>
      <c r="G4600" s="12" t="inlineStr">
        <is>
          <t>JB-CONT-8-AI01</t>
        </is>
      </c>
      <c r="H4600" s="12" t="inlineStr">
        <is>
          <t>CONT-8: containerized gas genset 13.8 kV (40 ft)</t>
        </is>
      </c>
      <c r="I4600" s="12" t="inlineStr">
        <is>
          <t>Instrumentation</t>
        </is>
      </c>
      <c r="J4600" s="12" t="inlineStr">
        <is>
          <t>Instrumentation PLTC / TC-ER 300 V, #18 twisted shielded pairs, overall shield</t>
        </is>
      </c>
      <c r="K4600" s="12" t="inlineStr">
        <is>
          <t>PLTC|24 pr|18</t>
        </is>
      </c>
      <c r="L4600" s="12" t="inlineStr">
        <is>
          <t>24 pr</t>
        </is>
      </c>
      <c r="M4600" s="12" t="inlineStr">
        <is>
          <t>18</t>
        </is>
      </c>
      <c r="N4600" s="12" t="n">
        <v>1</v>
      </c>
      <c r="O4600" s="12" t="n">
        <v>1</v>
      </c>
      <c r="P4600" s="12" t="n"/>
      <c r="Q4600" s="12" t="n"/>
      <c r="R4600" s="12" t="n"/>
      <c r="S4600" s="12" t="inlineStr">
        <is>
          <t>Surface</t>
        </is>
      </c>
      <c r="T4600" s="16" t="n">
        <v>16</v>
      </c>
      <c r="U4600" s="16" t="n">
        <v>117</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I-I-0052</t>
        </is>
      </c>
      <c r="B4601" s="12" t="inlineStr">
        <is>
          <t>I</t>
        </is>
      </c>
      <c r="C4601" s="12" t="inlineStr">
        <is>
          <t>Modular / portable power</t>
        </is>
      </c>
      <c r="D4601" s="12" t="inlineStr">
        <is>
          <t>Discrete device to JB JB-CONT-8-DI01: 20 x 1 pr (field cables)</t>
        </is>
      </c>
      <c r="E4601" s="12" t="inlineStr">
        <is>
          <t>CONT-8</t>
        </is>
      </c>
      <c r="F4601" s="12" t="inlineStr">
        <is>
          <t>CONT-8: containerized gas genset 13.8 kV (40 ft)</t>
        </is>
      </c>
      <c r="G4601" s="12" t="inlineStr">
        <is>
          <t>JB-CONT-8-DI01</t>
        </is>
      </c>
      <c r="H4601" s="12" t="inlineStr">
        <is>
          <t>CONT-8: containerized gas genset 13.8 kV (40 ft)</t>
        </is>
      </c>
      <c r="I4601" s="12" t="inlineStr">
        <is>
          <t>Instrumentation</t>
        </is>
      </c>
      <c r="J4601" s="12" t="inlineStr">
        <is>
          <t>Instrumentation PLTC / TC-ER 300 V, #18 twisted shielded pairs, overall shield</t>
        </is>
      </c>
      <c r="K4601" s="12" t="inlineStr">
        <is>
          <t>PLTC|1 pr|16</t>
        </is>
      </c>
      <c r="L4601" s="12" t="inlineStr">
        <is>
          <t>1 pr</t>
        </is>
      </c>
      <c r="M4601" s="12" t="inlineStr">
        <is>
          <t>16</t>
        </is>
      </c>
      <c r="N4601" s="12" t="n">
        <v>20</v>
      </c>
      <c r="O4601" s="12" t="n">
        <v>1</v>
      </c>
      <c r="P4601" s="12" t="n"/>
      <c r="Q4601" s="12" t="n"/>
      <c r="R4601" s="12" t="n"/>
      <c r="S4601" s="12" t="inlineStr">
        <is>
          <t>Tray / conduit</t>
        </is>
      </c>
      <c r="T4601" s="16" t="n">
        <v>54</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I-I-0053</t>
        </is>
      </c>
      <c r="B4602" s="12" t="inlineStr">
        <is>
          <t>I</t>
        </is>
      </c>
      <c r="C4602" s="12" t="inlineStr">
        <is>
          <t>Modular / portable power</t>
        </is>
      </c>
      <c r="D4602" s="12" t="inlineStr">
        <is>
          <t>Home run JB-CONT-8-DI01 to the control / marshalling room</t>
        </is>
      </c>
      <c r="E4602" s="12" t="inlineStr">
        <is>
          <t>PAD-EH</t>
        </is>
      </c>
      <c r="F4602" s="12" t="inlineStr">
        <is>
          <t>PAD-EH 13.8 kV switchgear e-house</t>
        </is>
      </c>
      <c r="G4602" s="12" t="inlineStr">
        <is>
          <t>JB-CONT-8-DI01</t>
        </is>
      </c>
      <c r="H4602" s="12" t="inlineStr">
        <is>
          <t>CONT-8: containerized gas genset 13.8 kV (40 ft)</t>
        </is>
      </c>
      <c r="I4602" s="12" t="inlineStr">
        <is>
          <t>Instrumentation</t>
        </is>
      </c>
      <c r="J4602" s="12" t="inlineStr">
        <is>
          <t>Instrumentation PLTC / TC-ER 300 V, #18 twisted shielded pairs, overall shield</t>
        </is>
      </c>
      <c r="K4602" s="12" t="inlineStr">
        <is>
          <t>PLTC|24 pr|18</t>
        </is>
      </c>
      <c r="L4602" s="12" t="inlineStr">
        <is>
          <t>24 pr</t>
        </is>
      </c>
      <c r="M4602" s="12" t="inlineStr">
        <is>
          <t>18</t>
        </is>
      </c>
      <c r="N4602" s="12" t="n">
        <v>1</v>
      </c>
      <c r="O4602" s="12" t="n">
        <v>1</v>
      </c>
      <c r="P4602" s="12" t="n"/>
      <c r="Q4602" s="12" t="n"/>
      <c r="R4602" s="12" t="n"/>
      <c r="S4602" s="12" t="inlineStr">
        <is>
          <t>Surface</t>
        </is>
      </c>
      <c r="T4602" s="16" t="n">
        <v>16</v>
      </c>
      <c r="U4602" s="16" t="n">
        <v>117</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I-I-0054</t>
        </is>
      </c>
      <c r="B4603" s="12" t="inlineStr">
        <is>
          <t>I</t>
        </is>
      </c>
      <c r="C4603" s="12" t="inlineStr">
        <is>
          <t>Modular / portable power</t>
        </is>
      </c>
      <c r="D4603" s="12" t="inlineStr">
        <is>
          <t>Analog instrument to JB JB-Demin tank + trail-AI01: 4 x 1 pr (field cables)</t>
        </is>
      </c>
      <c r="E4603" s="12" t="inlineStr"/>
      <c r="F4603" s="12" t="inlineStr">
        <is>
          <t>Demin tank + trailer pad</t>
        </is>
      </c>
      <c r="G4603" s="12" t="inlineStr">
        <is>
          <t>JB-Demin tank + trail-AI01</t>
        </is>
      </c>
      <c r="H4603" s="12" t="inlineStr">
        <is>
          <t>Demin tank + trailer pad</t>
        </is>
      </c>
      <c r="I4603" s="12" t="inlineStr">
        <is>
          <t>Instrumentation</t>
        </is>
      </c>
      <c r="J4603" s="12" t="inlineStr">
        <is>
          <t>Instrumentation PLTC / TC-ER 300 V, #18 twisted shielded pairs, overall shield</t>
        </is>
      </c>
      <c r="K4603" s="12" t="inlineStr">
        <is>
          <t>PLTC|1 pr|16</t>
        </is>
      </c>
      <c r="L4603" s="12" t="inlineStr">
        <is>
          <t>1 pr</t>
        </is>
      </c>
      <c r="M4603" s="12" t="inlineStr">
        <is>
          <t>16</t>
        </is>
      </c>
      <c r="N4603" s="12" t="n">
        <v>4</v>
      </c>
      <c r="O4603" s="12" t="n">
        <v>1</v>
      </c>
      <c r="P4603" s="12" t="n"/>
      <c r="Q4603" s="12" t="n"/>
      <c r="R4603" s="12" t="n"/>
      <c r="S4603" s="12" t="inlineStr">
        <is>
          <t>Tray / conduit</t>
        </is>
      </c>
      <c r="T4603" s="16" t="n">
        <v>78</v>
      </c>
      <c r="U4603" s="16" t="n">
        <v>10</v>
      </c>
      <c r="V4603" s="16">
        <f>ROUNDUP((T4603+U4603+2*'Read Me'!$B$13)*(1+'Read Me'!$B$12),-1)</f>
        <v/>
      </c>
      <c r="W4603" s="16">
        <f>V4603*N4603*O4603</f>
        <v/>
      </c>
      <c r="X4603" s="12">
        <f>IF(LEFT(I4603,2)="MV",2*N4603*IF(L4603="1/C",O4603,1),0)</f>
        <v/>
      </c>
      <c r="Y4603" s="12">
        <f>IF(OR(LEFT(K4603,4)="LVAX",LEFT(K4603,6)="MV15AX",LEFT(K4603,4)="CTAX",LEFT(K4603,2)="W|"),2*N4603*O4603,0)</f>
        <v/>
      </c>
      <c r="Z4603" s="12" t="inlineStr">
        <is>
          <t>device-to-JB field wiring, one cable per device</t>
        </is>
      </c>
      <c r="AA4603" s="12">
        <f>N4603*O4603</f>
        <v/>
      </c>
    </row>
    <row r="4604">
      <c r="A4604" s="12" t="inlineStr">
        <is>
          <t>I-I-0055</t>
        </is>
      </c>
      <c r="B4604" s="12" t="inlineStr">
        <is>
          <t>I</t>
        </is>
      </c>
      <c r="C4604" s="12" t="inlineStr">
        <is>
          <t>Modular / portable power</t>
        </is>
      </c>
      <c r="D4604" s="12" t="inlineStr">
        <is>
          <t>Home run JB-Demin tank + trail-AI01 to the control / marshalling room</t>
        </is>
      </c>
      <c r="E4604" s="12" t="inlineStr"/>
      <c r="F4604" s="12" t="inlineStr">
        <is>
          <t>SC-2 PCM + 15 kV GCB</t>
        </is>
      </c>
      <c r="G4604" s="12" t="inlineStr">
        <is>
          <t>JB-Demin tank + trail-AI01</t>
        </is>
      </c>
      <c r="H4604" s="12" t="inlineStr">
        <is>
          <t>Demin tank + trailer pad</t>
        </is>
      </c>
      <c r="I4604" s="12" t="inlineStr">
        <is>
          <t>Instrumentation</t>
        </is>
      </c>
      <c r="J4604" s="12" t="inlineStr">
        <is>
          <t>Instrumentation PLTC / TC-ER 300 V, #18 twisted shielded pairs, overall shield</t>
        </is>
      </c>
      <c r="K4604" s="12" t="inlineStr">
        <is>
          <t>PLTC|24 pr|18</t>
        </is>
      </c>
      <c r="L4604" s="12" t="inlineStr">
        <is>
          <t>24 pr</t>
        </is>
      </c>
      <c r="M4604" s="12" t="inlineStr">
        <is>
          <t>18</t>
        </is>
      </c>
      <c r="N4604" s="12" t="n">
        <v>1</v>
      </c>
      <c r="O4604" s="12" t="n">
        <v>1</v>
      </c>
      <c r="P4604" s="12" t="n"/>
      <c r="Q4604" s="12" t="n"/>
      <c r="R4604" s="12" t="n"/>
      <c r="S4604" s="12" t="inlineStr">
        <is>
          <t>Duct bank</t>
        </is>
      </c>
      <c r="T4604" s="16" t="n">
        <v>8</v>
      </c>
      <c r="U4604" s="16" t="n">
        <v>64</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I-I-0056</t>
        </is>
      </c>
      <c r="B4605" s="12" t="inlineStr">
        <is>
          <t>I</t>
        </is>
      </c>
      <c r="C4605" s="12" t="inlineStr">
        <is>
          <t>Modular / portable power</t>
        </is>
      </c>
      <c r="D4605" s="12" t="inlineStr">
        <is>
          <t>Discrete device to JB JB-Demin tank + trail-DI01: 4 x 1 pr (field cables)</t>
        </is>
      </c>
      <c r="E4605" s="12" t="inlineStr"/>
      <c r="F4605" s="12" t="inlineStr">
        <is>
          <t>Demin tank + trailer pad</t>
        </is>
      </c>
      <c r="G4605" s="12" t="inlineStr">
        <is>
          <t>JB-Demin tank + trail-DI01</t>
        </is>
      </c>
      <c r="H4605" s="12" t="inlineStr">
        <is>
          <t>Demin tank + trailer pad</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4</v>
      </c>
      <c r="O4605" s="12" t="n">
        <v>1</v>
      </c>
      <c r="P4605" s="12" t="n"/>
      <c r="Q4605" s="12" t="n"/>
      <c r="R4605" s="12" t="n"/>
      <c r="S4605" s="12" t="inlineStr">
        <is>
          <t>Tray / conduit</t>
        </is>
      </c>
      <c r="T4605" s="16" t="n">
        <v>78</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I-I-0057</t>
        </is>
      </c>
      <c r="B4606" s="12" t="inlineStr">
        <is>
          <t>I</t>
        </is>
      </c>
      <c r="C4606" s="12" t="inlineStr">
        <is>
          <t>Modular / portable power</t>
        </is>
      </c>
      <c r="D4606" s="12" t="inlineStr">
        <is>
          <t>Home run JB-Demin tank + trail-DI01 to the control / marshalling room</t>
        </is>
      </c>
      <c r="E4606" s="12" t="inlineStr"/>
      <c r="F4606" s="12" t="inlineStr">
        <is>
          <t>SC-2 PCM + 15 kV GCB</t>
        </is>
      </c>
      <c r="G4606" s="12" t="inlineStr">
        <is>
          <t>JB-Demin tank + trail-DI01</t>
        </is>
      </c>
      <c r="H4606" s="12" t="inlineStr">
        <is>
          <t>Demin tank + trailer pad</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Duct bank</t>
        </is>
      </c>
      <c r="T4606" s="16" t="n">
        <v>8</v>
      </c>
      <c r="U4606" s="16" t="n">
        <v>64</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I-I-0058</t>
        </is>
      </c>
      <c r="B4607" s="12" t="inlineStr">
        <is>
          <t>I</t>
        </is>
      </c>
      <c r="C4607" s="12" t="inlineStr">
        <is>
          <t>Modular / portable power</t>
        </is>
      </c>
      <c r="D4607" s="12" t="inlineStr">
        <is>
          <t>Analog instrument to JB JB-FC-10-AI01: 10 x 1 pr (field cables)</t>
        </is>
      </c>
      <c r="E4607" s="12" t="inlineStr">
        <is>
          <t>FC-10</t>
        </is>
      </c>
      <c r="F4607" s="12" t="inlineStr">
        <is>
          <t>FC-10: SOFC module (Bloom ES5 class, 200-300 kW)</t>
        </is>
      </c>
      <c r="G4607" s="12" t="inlineStr">
        <is>
          <t>JB-FC-10-AI01</t>
        </is>
      </c>
      <c r="H4607" s="12" t="inlineStr">
        <is>
          <t>FC-10: SOFC module (Bloom ES5 class, 200-300 kW)</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10</v>
      </c>
      <c r="O4607" s="12" t="n">
        <v>1</v>
      </c>
      <c r="P4607" s="12" t="n"/>
      <c r="Q4607" s="12" t="n"/>
      <c r="R4607" s="12" t="n"/>
      <c r="S4607" s="12" t="inlineStr">
        <is>
          <t>Tray / conduit</t>
        </is>
      </c>
      <c r="T4607" s="16" t="n">
        <v>45</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I-I-0059</t>
        </is>
      </c>
      <c r="B4608" s="12" t="inlineStr">
        <is>
          <t>I</t>
        </is>
      </c>
      <c r="C4608" s="12" t="inlineStr">
        <is>
          <t>Modular / portable power</t>
        </is>
      </c>
      <c r="D4608" s="12" t="inlineStr">
        <is>
          <t>Home run JB-FC-10-AI01 to the control / marshalling room</t>
        </is>
      </c>
      <c r="E4608" s="12" t="inlineStr">
        <is>
          <t>PAD-EH</t>
        </is>
      </c>
      <c r="F4608" s="12" t="inlineStr">
        <is>
          <t>PAD-EH 13.8 kV switchgear e-house</t>
        </is>
      </c>
      <c r="G4608" s="12" t="inlineStr">
        <is>
          <t>JB-FC-10-AI01</t>
        </is>
      </c>
      <c r="H4608" s="12" t="inlineStr">
        <is>
          <t>FC-10: SOFC module (Bloom ES5 class, 200-300 kW)</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Duct bank</t>
        </is>
      </c>
      <c r="T4608" s="16" t="n">
        <v>286</v>
      </c>
      <c r="U4608" s="16" t="n">
        <v>50</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I-I-0060</t>
        </is>
      </c>
      <c r="B4609" s="12" t="inlineStr">
        <is>
          <t>I</t>
        </is>
      </c>
      <c r="C4609" s="12" t="inlineStr">
        <is>
          <t>Modular / portable power</t>
        </is>
      </c>
      <c r="D4609" s="12" t="inlineStr">
        <is>
          <t>Discrete device to JB JB-FC-10-DI01: 10 x 1 pr (field cables)</t>
        </is>
      </c>
      <c r="E4609" s="12" t="inlineStr">
        <is>
          <t>FC-10</t>
        </is>
      </c>
      <c r="F4609" s="12" t="inlineStr">
        <is>
          <t>FC-10: SOFC module (Bloom ES5 class, 200-300 kW)</t>
        </is>
      </c>
      <c r="G4609" s="12" t="inlineStr">
        <is>
          <t>JB-FC-10-DI01</t>
        </is>
      </c>
      <c r="H4609" s="12" t="inlineStr">
        <is>
          <t>FC-10: SOFC module (Bloom ES5 class, 200-300 kW)</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10</v>
      </c>
      <c r="O4609" s="12" t="n">
        <v>1</v>
      </c>
      <c r="P4609" s="12" t="n"/>
      <c r="Q4609" s="12" t="n"/>
      <c r="R4609" s="12" t="n"/>
      <c r="S4609" s="12" t="inlineStr">
        <is>
          <t>Tray / conduit</t>
        </is>
      </c>
      <c r="T4609" s="16" t="n">
        <v>45</v>
      </c>
      <c r="U4609" s="16" t="n">
        <v>10</v>
      </c>
      <c r="V4609" s="16">
        <f>ROUNDUP((T4609+U4609+2*'Read Me'!$B$13)*(1+'Read Me'!$B$12),-1)</f>
        <v/>
      </c>
      <c r="W4609" s="16">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I-I-0061</t>
        </is>
      </c>
      <c r="B4610" s="12" t="inlineStr">
        <is>
          <t>I</t>
        </is>
      </c>
      <c r="C4610" s="12" t="inlineStr">
        <is>
          <t>Modular / portable power</t>
        </is>
      </c>
      <c r="D4610" s="12" t="inlineStr">
        <is>
          <t>Home run JB-FC-10-DI01 to the control / marshalling room</t>
        </is>
      </c>
      <c r="E4610" s="12" t="inlineStr">
        <is>
          <t>PAD-EH</t>
        </is>
      </c>
      <c r="F4610" s="12" t="inlineStr">
        <is>
          <t>PAD-EH 13.8 kV switchgear e-house</t>
        </is>
      </c>
      <c r="G4610" s="12" t="inlineStr">
        <is>
          <t>JB-FC-10-DI01</t>
        </is>
      </c>
      <c r="H4610" s="12" t="inlineStr">
        <is>
          <t>FC-10: SOFC module (Bloom ES5 class, 200-300 kW)</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Duct bank</t>
        </is>
      </c>
      <c r="T4610" s="16" t="n">
        <v>286</v>
      </c>
      <c r="U4610" s="16" t="n">
        <v>50</v>
      </c>
      <c r="V4610" s="16">
        <f>ROUNDUP((T4610+U4610+2*'Read Me'!$B$13)*(1+'Read Me'!$B$12),-1)</f>
        <v/>
      </c>
      <c r="W4610" s="16">
        <f>V4610*N4610*O4610</f>
        <v/>
      </c>
      <c r="X4610" s="12">
        <f>IF(LEFT(I4610,2)="MV",2*N4610*IF(L4610="1/C",O4610,1),0)</f>
        <v/>
      </c>
      <c r="Y4610" s="12">
        <f>IF(OR(LEFT(K4610,4)="LVAX",LEFT(K4610,6)="MV15AX",LEFT(K4610,4)="CTAX",LEFT(K4610,2)="W|"),2*N4610*O4610,0)</f>
        <v/>
      </c>
      <c r="Z4610" s="12" t="inlineStr"/>
      <c r="AA4610" s="12">
        <f>N4610*O4610</f>
        <v/>
      </c>
    </row>
    <row r="4611">
      <c r="A4611" s="12" t="inlineStr">
        <is>
          <t>I-I-0062</t>
        </is>
      </c>
      <c r="B4611" s="12" t="inlineStr">
        <is>
          <t>I</t>
        </is>
      </c>
      <c r="C4611" s="12" t="inlineStr">
        <is>
          <t>Modular / portable power</t>
        </is>
      </c>
      <c r="D4611" s="12" t="inlineStr">
        <is>
          <t>Analog instrument to JB JB-FC-11-AI01: 10 x 1 pr (field cables)</t>
        </is>
      </c>
      <c r="E4611" s="12" t="inlineStr">
        <is>
          <t>FC-11</t>
        </is>
      </c>
      <c r="F4611" s="12" t="inlineStr">
        <is>
          <t>FC-11: SOFC module (Bloom ES5 class, 200-300 kW)</t>
        </is>
      </c>
      <c r="G4611" s="12" t="inlineStr">
        <is>
          <t>JB-FC-11-AI01</t>
        </is>
      </c>
      <c r="H4611" s="12" t="inlineStr">
        <is>
          <t>FC-11: SOFC module (Bloom ES5 class, 200-300 kW)</t>
        </is>
      </c>
      <c r="I4611" s="12" t="inlineStr">
        <is>
          <t>Instrumentation</t>
        </is>
      </c>
      <c r="J4611" s="12" t="inlineStr">
        <is>
          <t>Instrumentation PLTC / TC-ER 300 V, #18 twisted shielded pairs, overall shield</t>
        </is>
      </c>
      <c r="K4611" s="12" t="inlineStr">
        <is>
          <t>PLTC|1 pr|16</t>
        </is>
      </c>
      <c r="L4611" s="12" t="inlineStr">
        <is>
          <t>1 pr</t>
        </is>
      </c>
      <c r="M4611" s="12" t="inlineStr">
        <is>
          <t>16</t>
        </is>
      </c>
      <c r="N4611" s="12" t="n">
        <v>10</v>
      </c>
      <c r="O4611" s="12" t="n">
        <v>1</v>
      </c>
      <c r="P4611" s="12" t="n"/>
      <c r="Q4611" s="12" t="n"/>
      <c r="R4611" s="12" t="n"/>
      <c r="S4611" s="12" t="inlineStr">
        <is>
          <t>Tray / conduit</t>
        </is>
      </c>
      <c r="T4611" s="16" t="n">
        <v>45</v>
      </c>
      <c r="U4611" s="16" t="n">
        <v>10</v>
      </c>
      <c r="V4611" s="16">
        <f>ROUNDUP((T4611+U4611+2*'Read Me'!$B$13)*(1+'Read Me'!$B$12),-1)</f>
        <v/>
      </c>
      <c r="W4611" s="16">
        <f>V4611*N4611*O4611</f>
        <v/>
      </c>
      <c r="X4611" s="12">
        <f>IF(LEFT(I4611,2)="MV",2*N4611*IF(L4611="1/C",O4611,1),0)</f>
        <v/>
      </c>
      <c r="Y4611" s="12">
        <f>IF(OR(LEFT(K4611,4)="LVAX",LEFT(K4611,6)="MV15AX",LEFT(K4611,4)="CTAX",LEFT(K4611,2)="W|"),2*N4611*O4611,0)</f>
        <v/>
      </c>
      <c r="Z4611" s="12" t="inlineStr">
        <is>
          <t>device-to-JB field wiring, one cable per device</t>
        </is>
      </c>
      <c r="AA4611" s="12">
        <f>N4611*O4611</f>
        <v/>
      </c>
    </row>
    <row r="4612">
      <c r="A4612" s="12" t="inlineStr">
        <is>
          <t>I-I-0063</t>
        </is>
      </c>
      <c r="B4612" s="12" t="inlineStr">
        <is>
          <t>I</t>
        </is>
      </c>
      <c r="C4612" s="12" t="inlineStr">
        <is>
          <t>Modular / portable power</t>
        </is>
      </c>
      <c r="D4612" s="12" t="inlineStr">
        <is>
          <t>Home run JB-FC-11-AI01 to the control / marshalling room</t>
        </is>
      </c>
      <c r="E4612" s="12" t="inlineStr">
        <is>
          <t>PAD-EH</t>
        </is>
      </c>
      <c r="F4612" s="12" t="inlineStr">
        <is>
          <t>PAD-EH 13.8 kV switchgear e-house</t>
        </is>
      </c>
      <c r="G4612" s="12" t="inlineStr">
        <is>
          <t>JB-FC-11-AI01</t>
        </is>
      </c>
      <c r="H4612" s="12" t="inlineStr">
        <is>
          <t>FC-11: SOFC module (Bloom ES5 class, 200-300 kW)</t>
        </is>
      </c>
      <c r="I4612" s="12" t="inlineStr">
        <is>
          <t>Instrumentation</t>
        </is>
      </c>
      <c r="J4612" s="12" t="inlineStr">
        <is>
          <t>Instrumentation PLTC / TC-ER 300 V, #18 twisted shielded pairs, overall shield</t>
        </is>
      </c>
      <c r="K4612" s="12" t="inlineStr">
        <is>
          <t>PLTC|24 pr|18</t>
        </is>
      </c>
      <c r="L4612" s="12" t="inlineStr">
        <is>
          <t>24 pr</t>
        </is>
      </c>
      <c r="M4612" s="12" t="inlineStr">
        <is>
          <t>18</t>
        </is>
      </c>
      <c r="N4612" s="12" t="n">
        <v>1</v>
      </c>
      <c r="O4612" s="12" t="n">
        <v>1</v>
      </c>
      <c r="P4612" s="12" t="n"/>
      <c r="Q4612" s="12" t="n"/>
      <c r="R4612" s="12" t="n"/>
      <c r="S4612" s="12" t="inlineStr">
        <is>
          <t>Duct bank</t>
        </is>
      </c>
      <c r="T4612" s="16" t="n">
        <v>272</v>
      </c>
      <c r="U4612" s="16" t="n">
        <v>50</v>
      </c>
      <c r="V4612" s="16">
        <f>ROUNDUP((T4612+U4612+2*'Read Me'!$B$13)*(1+'Read Me'!$B$12),-1)</f>
        <v/>
      </c>
      <c r="W4612" s="16">
        <f>V4612*N4612*O4612</f>
        <v/>
      </c>
      <c r="X4612" s="12">
        <f>IF(LEFT(I4612,2)="MV",2*N4612*IF(L4612="1/C",O4612,1),0)</f>
        <v/>
      </c>
      <c r="Y4612" s="12">
        <f>IF(OR(LEFT(K4612,4)="LVAX",LEFT(K4612,6)="MV15AX",LEFT(K4612,4)="CTAX",LEFT(K4612,2)="W|"),2*N4612*O4612,0)</f>
        <v/>
      </c>
      <c r="Z4612" s="12" t="inlineStr"/>
      <c r="AA4612" s="12">
        <f>N4612*O4612</f>
        <v/>
      </c>
    </row>
    <row r="4613">
      <c r="A4613" s="12" t="inlineStr">
        <is>
          <t>I-I-0064</t>
        </is>
      </c>
      <c r="B4613" s="12" t="inlineStr">
        <is>
          <t>I</t>
        </is>
      </c>
      <c r="C4613" s="12" t="inlineStr">
        <is>
          <t>Modular / portable power</t>
        </is>
      </c>
      <c r="D4613" s="12" t="inlineStr">
        <is>
          <t>Discrete device to JB JB-FC-11-DI01: 10 x 1 pr (field cables)</t>
        </is>
      </c>
      <c r="E4613" s="12" t="inlineStr">
        <is>
          <t>FC-11</t>
        </is>
      </c>
      <c r="F4613" s="12" t="inlineStr">
        <is>
          <t>FC-11: SOFC module (Bloom ES5 class, 200-300 kW)</t>
        </is>
      </c>
      <c r="G4613" s="12" t="inlineStr">
        <is>
          <t>JB-FC-11-DI01</t>
        </is>
      </c>
      <c r="H4613" s="12" t="inlineStr">
        <is>
          <t>FC-11: SOFC module (Bloom ES5 class, 200-300 kW)</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10</v>
      </c>
      <c r="O4613" s="12" t="n">
        <v>1</v>
      </c>
      <c r="P4613" s="12" t="n"/>
      <c r="Q4613" s="12" t="n"/>
      <c r="R4613" s="12" t="n"/>
      <c r="S4613" s="12" t="inlineStr">
        <is>
          <t>Tray / conduit</t>
        </is>
      </c>
      <c r="T4613" s="16" t="n">
        <v>45</v>
      </c>
      <c r="U4613" s="16" t="n">
        <v>10</v>
      </c>
      <c r="V4613" s="16">
        <f>ROUNDUP((T4613+U4613+2*'Read Me'!$B$13)*(1+'Read Me'!$B$12),-1)</f>
        <v/>
      </c>
      <c r="W4613" s="16">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I-I-0065</t>
        </is>
      </c>
      <c r="B4614" s="12" t="inlineStr">
        <is>
          <t>I</t>
        </is>
      </c>
      <c r="C4614" s="12" t="inlineStr">
        <is>
          <t>Modular / portable power</t>
        </is>
      </c>
      <c r="D4614" s="12" t="inlineStr">
        <is>
          <t>Home run JB-FC-11-DI01 to the control / marshalling room</t>
        </is>
      </c>
      <c r="E4614" s="12" t="inlineStr">
        <is>
          <t>PAD-EH</t>
        </is>
      </c>
      <c r="F4614" s="12" t="inlineStr">
        <is>
          <t>PAD-EH 13.8 kV switchgear e-house</t>
        </is>
      </c>
      <c r="G4614" s="12" t="inlineStr">
        <is>
          <t>JB-FC-11-DI01</t>
        </is>
      </c>
      <c r="H4614" s="12" t="inlineStr">
        <is>
          <t>FC-11: SOFC module (Bloom ES5 class, 200-300 kW)</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Duct bank</t>
        </is>
      </c>
      <c r="T4614" s="16" t="n">
        <v>272</v>
      </c>
      <c r="U4614" s="16" t="n">
        <v>50</v>
      </c>
      <c r="V4614" s="16">
        <f>ROUNDUP((T4614+U4614+2*'Read Me'!$B$13)*(1+'Read Me'!$B$12),-1)</f>
        <v/>
      </c>
      <c r="W4614" s="16">
        <f>V4614*N4614*O4614</f>
        <v/>
      </c>
      <c r="X4614" s="12">
        <f>IF(LEFT(I4614,2)="MV",2*N4614*IF(L4614="1/C",O4614,1),0)</f>
        <v/>
      </c>
      <c r="Y4614" s="12">
        <f>IF(OR(LEFT(K4614,4)="LVAX",LEFT(K4614,6)="MV15AX",LEFT(K4614,4)="CTAX",LEFT(K4614,2)="W|"),2*N4614*O4614,0)</f>
        <v/>
      </c>
      <c r="Z4614" s="12" t="inlineStr"/>
      <c r="AA4614" s="12">
        <f>N4614*O4614</f>
        <v/>
      </c>
    </row>
    <row r="4615">
      <c r="A4615" s="12" t="inlineStr">
        <is>
          <t>I-I-0066</t>
        </is>
      </c>
      <c r="B4615" s="12" t="inlineStr">
        <is>
          <t>I</t>
        </is>
      </c>
      <c r="C4615" s="12" t="inlineStr">
        <is>
          <t>Modular / portable power</t>
        </is>
      </c>
      <c r="D4615" s="12" t="inlineStr">
        <is>
          <t>Analog instrument to JB JB-FC-12-AI01: 10 x 1 pr (field cables)</t>
        </is>
      </c>
      <c r="E4615" s="12" t="inlineStr">
        <is>
          <t>FC-12</t>
        </is>
      </c>
      <c r="F4615" s="12" t="inlineStr">
        <is>
          <t>FC-12: SOFC module (Bloom ES5 class, 200-300 kW)</t>
        </is>
      </c>
      <c r="G4615" s="12" t="inlineStr">
        <is>
          <t>JB-FC-12-AI01</t>
        </is>
      </c>
      <c r="H4615" s="12" t="inlineStr">
        <is>
          <t>FC-12: SOFC module (Bloom ES5 class, 200-300 kW)</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10</v>
      </c>
      <c r="O4615" s="12" t="n">
        <v>1</v>
      </c>
      <c r="P4615" s="12" t="n"/>
      <c r="Q4615" s="12" t="n"/>
      <c r="R4615" s="12" t="n"/>
      <c r="S4615" s="12" t="inlineStr">
        <is>
          <t>Tray / conduit</t>
        </is>
      </c>
      <c r="T4615" s="16" t="n">
        <v>45</v>
      </c>
      <c r="U4615" s="16" t="n">
        <v>10</v>
      </c>
      <c r="V4615" s="16">
        <f>ROUNDUP((T4615+U4615+2*'Read Me'!$B$13)*(1+'Read Me'!$B$12),-1)</f>
        <v/>
      </c>
      <c r="W4615" s="16">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I-I-0067</t>
        </is>
      </c>
      <c r="B4616" s="12" t="inlineStr">
        <is>
          <t>I</t>
        </is>
      </c>
      <c r="C4616" s="12" t="inlineStr">
        <is>
          <t>Modular / portable power</t>
        </is>
      </c>
      <c r="D4616" s="12" t="inlineStr">
        <is>
          <t>Home run JB-FC-12-AI01 to the control / marshalling room</t>
        </is>
      </c>
      <c r="E4616" s="12" t="inlineStr">
        <is>
          <t>PAD-EH</t>
        </is>
      </c>
      <c r="F4616" s="12" t="inlineStr">
        <is>
          <t>PAD-EH 13.8 kV switchgear e-house</t>
        </is>
      </c>
      <c r="G4616" s="12" t="inlineStr">
        <is>
          <t>JB-FC-12-AI01</t>
        </is>
      </c>
      <c r="H4616" s="12" t="inlineStr">
        <is>
          <t>FC-12: SOFC module (Bloom ES5 class, 200-300 kW)</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Duct bank</t>
        </is>
      </c>
      <c r="T4616" s="16" t="n">
        <v>272</v>
      </c>
      <c r="U4616" s="16" t="n">
        <v>41</v>
      </c>
      <c r="V4616" s="16">
        <f>ROUNDUP((T4616+U4616+2*'Read Me'!$B$13)*(1+'Read Me'!$B$12),-1)</f>
        <v/>
      </c>
      <c r="W4616" s="16">
        <f>V4616*N4616*O4616</f>
        <v/>
      </c>
      <c r="X4616" s="12">
        <f>IF(LEFT(I4616,2)="MV",2*N4616*IF(L4616="1/C",O4616,1),0)</f>
        <v/>
      </c>
      <c r="Y4616" s="12">
        <f>IF(OR(LEFT(K4616,4)="LVAX",LEFT(K4616,6)="MV15AX",LEFT(K4616,4)="CTAX",LEFT(K4616,2)="W|"),2*N4616*O4616,0)</f>
        <v/>
      </c>
      <c r="Z4616" s="12" t="inlineStr"/>
      <c r="AA4616" s="12">
        <f>N4616*O4616</f>
        <v/>
      </c>
    </row>
    <row r="4617">
      <c r="A4617" s="12" t="inlineStr">
        <is>
          <t>I-I-0068</t>
        </is>
      </c>
      <c r="B4617" s="12" t="inlineStr">
        <is>
          <t>I</t>
        </is>
      </c>
      <c r="C4617" s="12" t="inlineStr">
        <is>
          <t>Modular / portable power</t>
        </is>
      </c>
      <c r="D4617" s="12" t="inlineStr">
        <is>
          <t>Discrete device to JB JB-FC-12-DI01: 10 x 1 pr (field cables)</t>
        </is>
      </c>
      <c r="E4617" s="12" t="inlineStr">
        <is>
          <t>FC-12</t>
        </is>
      </c>
      <c r="F4617" s="12" t="inlineStr">
        <is>
          <t>FC-12: SOFC module (Bloom ES5 class, 200-300 kW)</t>
        </is>
      </c>
      <c r="G4617" s="12" t="inlineStr">
        <is>
          <t>JB-FC-12-DI01</t>
        </is>
      </c>
      <c r="H4617" s="12" t="inlineStr">
        <is>
          <t>FC-12: SOFC module (Bloom ES5 class, 200-300 kW)</t>
        </is>
      </c>
      <c r="I4617" s="12" t="inlineStr">
        <is>
          <t>Instrumentation</t>
        </is>
      </c>
      <c r="J4617" s="12" t="inlineStr">
        <is>
          <t>Instrumentation PLTC / TC-ER 300 V, #18 twisted shielded pairs, overall shield</t>
        </is>
      </c>
      <c r="K4617" s="12" t="inlineStr">
        <is>
          <t>PLTC|1 pr|16</t>
        </is>
      </c>
      <c r="L4617" s="12" t="inlineStr">
        <is>
          <t>1 pr</t>
        </is>
      </c>
      <c r="M4617" s="12" t="inlineStr">
        <is>
          <t>16</t>
        </is>
      </c>
      <c r="N4617" s="12" t="n">
        <v>10</v>
      </c>
      <c r="O4617" s="12" t="n">
        <v>1</v>
      </c>
      <c r="P4617" s="12" t="n"/>
      <c r="Q4617" s="12" t="n"/>
      <c r="R4617" s="12" t="n"/>
      <c r="S4617" s="12" t="inlineStr">
        <is>
          <t>Tray / conduit</t>
        </is>
      </c>
      <c r="T4617" s="16" t="n">
        <v>45</v>
      </c>
      <c r="U4617" s="16" t="n">
        <v>10</v>
      </c>
      <c r="V4617" s="16">
        <f>ROUNDUP((T4617+U4617+2*'Read Me'!$B$13)*(1+'Read Me'!$B$12),-1)</f>
        <v/>
      </c>
      <c r="W4617" s="16">
        <f>V4617*N4617*O4617</f>
        <v/>
      </c>
      <c r="X4617" s="12">
        <f>IF(LEFT(I4617,2)="MV",2*N4617*IF(L4617="1/C",O4617,1),0)</f>
        <v/>
      </c>
      <c r="Y4617" s="12">
        <f>IF(OR(LEFT(K4617,4)="LVAX",LEFT(K4617,6)="MV15AX",LEFT(K4617,4)="CTAX",LEFT(K4617,2)="W|"),2*N4617*O4617,0)</f>
        <v/>
      </c>
      <c r="Z4617" s="12" t="inlineStr">
        <is>
          <t>device-to-JB field wiring, one cable per device</t>
        </is>
      </c>
      <c r="AA4617" s="12">
        <f>N4617*O4617</f>
        <v/>
      </c>
    </row>
    <row r="4618">
      <c r="A4618" s="12" t="inlineStr">
        <is>
          <t>I-I-0069</t>
        </is>
      </c>
      <c r="B4618" s="12" t="inlineStr">
        <is>
          <t>I</t>
        </is>
      </c>
      <c r="C4618" s="12" t="inlineStr">
        <is>
          <t>Modular / portable power</t>
        </is>
      </c>
      <c r="D4618" s="12" t="inlineStr">
        <is>
          <t>Home run JB-FC-12-DI01 to the control / marshalling room</t>
        </is>
      </c>
      <c r="E4618" s="12" t="inlineStr">
        <is>
          <t>PAD-EH</t>
        </is>
      </c>
      <c r="F4618" s="12" t="inlineStr">
        <is>
          <t>PAD-EH 13.8 kV switchgear e-house</t>
        </is>
      </c>
      <c r="G4618" s="12" t="inlineStr">
        <is>
          <t>JB-FC-12-DI01</t>
        </is>
      </c>
      <c r="H4618" s="12" t="inlineStr">
        <is>
          <t>FC-12: SOFC module (Bloom ES5 class, 200-300 kW)</t>
        </is>
      </c>
      <c r="I4618" s="12" t="inlineStr">
        <is>
          <t>Instrumentation</t>
        </is>
      </c>
      <c r="J4618" s="12" t="inlineStr">
        <is>
          <t>Instrumentation PLTC / TC-ER 300 V, #18 twisted shielded pairs, overall shield</t>
        </is>
      </c>
      <c r="K4618" s="12" t="inlineStr">
        <is>
          <t>PLTC|24 pr|18</t>
        </is>
      </c>
      <c r="L4618" s="12" t="inlineStr">
        <is>
          <t>24 pr</t>
        </is>
      </c>
      <c r="M4618" s="12" t="inlineStr">
        <is>
          <t>18</t>
        </is>
      </c>
      <c r="N4618" s="12" t="n">
        <v>1</v>
      </c>
      <c r="O4618" s="12" t="n">
        <v>1</v>
      </c>
      <c r="P4618" s="12" t="n"/>
      <c r="Q4618" s="12" t="n"/>
      <c r="R4618" s="12" t="n"/>
      <c r="S4618" s="12" t="inlineStr">
        <is>
          <t>Duct bank</t>
        </is>
      </c>
      <c r="T4618" s="16" t="n">
        <v>272</v>
      </c>
      <c r="U4618" s="16" t="n">
        <v>41</v>
      </c>
      <c r="V4618" s="16">
        <f>ROUNDUP((T4618+U4618+2*'Read Me'!$B$13)*(1+'Read Me'!$B$12),-1)</f>
        <v/>
      </c>
      <c r="W4618" s="16">
        <f>V4618*N4618*O4618</f>
        <v/>
      </c>
      <c r="X4618" s="12">
        <f>IF(LEFT(I4618,2)="MV",2*N4618*IF(L4618="1/C",O4618,1),0)</f>
        <v/>
      </c>
      <c r="Y4618" s="12">
        <f>IF(OR(LEFT(K4618,4)="LVAX",LEFT(K4618,6)="MV15AX",LEFT(K4618,4)="CTAX",LEFT(K4618,2)="W|"),2*N4618*O4618,0)</f>
        <v/>
      </c>
      <c r="Z4618" s="12" t="inlineStr"/>
      <c r="AA4618" s="12">
        <f>N4618*O4618</f>
        <v/>
      </c>
    </row>
    <row r="4619">
      <c r="A4619" s="12" t="inlineStr">
        <is>
          <t>I-I-0070</t>
        </is>
      </c>
      <c r="B4619" s="12" t="inlineStr">
        <is>
          <t>I</t>
        </is>
      </c>
      <c r="C4619" s="12" t="inlineStr">
        <is>
          <t>Modular / portable power</t>
        </is>
      </c>
      <c r="D4619" s="12" t="inlineStr">
        <is>
          <t>Instrumentation</t>
        </is>
      </c>
      <c r="E4619" s="12" t="inlineStr">
        <is>
          <t>PAD-EH</t>
        </is>
      </c>
      <c r="F4619" s="12" t="inlineStr">
        <is>
          <t>PAD-EH 13.8 kV switchgear e-house</t>
        </is>
      </c>
      <c r="G4619" s="12" t="inlineStr"/>
      <c r="H4619" s="12" t="inlineStr">
        <is>
          <t>FC-5..12 inverter / AC cabinet / desulfurizer</t>
        </is>
      </c>
      <c r="I4619" s="12" t="inlineStr">
        <is>
          <t>Instrumentation</t>
        </is>
      </c>
      <c r="J4619" s="12" t="inlineStr">
        <is>
          <t>Instrumentation PLTC / TC-ER 300 V, #18 twisted shielded pairs, overall shield</t>
        </is>
      </c>
      <c r="K4619" s="12" t="inlineStr">
        <is>
          <t>PLTC|4 pr|18</t>
        </is>
      </c>
      <c r="L4619" s="12" t="inlineStr">
        <is>
          <t>4 pr</t>
        </is>
      </c>
      <c r="M4619" s="12" t="inlineStr">
        <is>
          <t>18</t>
        </is>
      </c>
      <c r="N4619" s="12" t="n">
        <v>1</v>
      </c>
      <c r="O4619" s="12" t="n">
        <v>1</v>
      </c>
      <c r="P4619" s="12" t="n"/>
      <c r="Q4619" s="12" t="n"/>
      <c r="R4619" s="12" t="n"/>
      <c r="S4619" s="12" t="inlineStr">
        <is>
          <t>Surface</t>
        </is>
      </c>
      <c r="T4619" s="16" t="n">
        <v>202</v>
      </c>
      <c r="U4619" s="16" t="n">
        <v>37</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I-I-0071</t>
        </is>
      </c>
      <c r="B4620" s="12" t="inlineStr">
        <is>
          <t>I</t>
        </is>
      </c>
      <c r="C4620" s="12" t="inlineStr">
        <is>
          <t>Modular / portable power</t>
        </is>
      </c>
      <c r="D4620" s="12" t="inlineStr">
        <is>
          <t>Thermocouples</t>
        </is>
      </c>
      <c r="E4620" s="12" t="inlineStr">
        <is>
          <t>PAD-EH</t>
        </is>
      </c>
      <c r="F4620" s="12" t="inlineStr">
        <is>
          <t>PAD-EH 13.8 kV switchgear e-house</t>
        </is>
      </c>
      <c r="G4620" s="12" t="inlineStr"/>
      <c r="H4620" s="12" t="inlineStr">
        <is>
          <t>FC-5..12 inverter / AC cabinet / desulfurizer</t>
        </is>
      </c>
      <c r="I4620" s="12" t="inlineStr">
        <is>
          <t>Instrumentation</t>
        </is>
      </c>
      <c r="J4620" s="12" t="inlineStr">
        <is>
          <t>Thermocouple extension KX, #16 shielded pairs, PLTC</t>
        </is>
      </c>
      <c r="K4620" s="12" t="inlineStr">
        <is>
          <t>TCX|12 pr|16</t>
        </is>
      </c>
      <c r="L4620" s="12" t="inlineStr">
        <is>
          <t>12 pr</t>
        </is>
      </c>
      <c r="M4620" s="12" t="inlineStr">
        <is>
          <t>16</t>
        </is>
      </c>
      <c r="N4620" s="12" t="n">
        <v>1</v>
      </c>
      <c r="O4620" s="12" t="n">
        <v>1</v>
      </c>
      <c r="P4620" s="12" t="n"/>
      <c r="Q4620" s="12" t="n"/>
      <c r="R4620" s="12" t="n"/>
      <c r="S4620" s="12" t="inlineStr">
        <is>
          <t>Surface</t>
        </is>
      </c>
      <c r="T4620" s="16" t="n">
        <v>202</v>
      </c>
      <c r="U4620" s="16" t="n">
        <v>37</v>
      </c>
      <c r="V4620" s="16">
        <f>ROUNDUP((T4620+U4620+2*'Read Me'!$B$13)*(1+'Read Me'!$B$12),-1)</f>
        <v/>
      </c>
      <c r="W4620" s="16">
        <f>V4620*N4620*O4620</f>
        <v/>
      </c>
      <c r="X4620" s="12">
        <f>IF(LEFT(I4620,2)="MV",2*N4620*IF(L4620="1/C",O4620,1),0)</f>
        <v/>
      </c>
      <c r="Y4620" s="12">
        <f>IF(OR(LEFT(K4620,4)="LVAX",LEFT(K4620,6)="MV15AX",LEFT(K4620,4)="CTAX",LEFT(K4620,2)="W|"),2*N4620*O4620,0)</f>
        <v/>
      </c>
      <c r="Z4620" s="12" t="inlineStr"/>
      <c r="AA4620" s="12">
        <f>N4620*O4620</f>
        <v/>
      </c>
    </row>
    <row r="4621">
      <c r="A4621" s="12" t="inlineStr">
        <is>
          <t>I-I-0072</t>
        </is>
      </c>
      <c r="B4621" s="12" t="inlineStr">
        <is>
          <t>I</t>
        </is>
      </c>
      <c r="C4621" s="12" t="inlineStr">
        <is>
          <t>Modular / portable power</t>
        </is>
      </c>
      <c r="D4621" s="12" t="inlineStr">
        <is>
          <t>Thermocouples</t>
        </is>
      </c>
      <c r="E4621" s="12" t="inlineStr">
        <is>
          <t>PAD-EH</t>
        </is>
      </c>
      <c r="F4621" s="12" t="inlineStr">
        <is>
          <t>PAD-EH 13.8 kV switchgear e-house</t>
        </is>
      </c>
      <c r="G4621" s="12" t="inlineStr"/>
      <c r="H4621" s="12" t="inlineStr">
        <is>
          <t>FC-5..12 inverter / AC cabinet / desulfurizer</t>
        </is>
      </c>
      <c r="I4621" s="12" t="inlineStr">
        <is>
          <t>Instrumentation</t>
        </is>
      </c>
      <c r="J4621" s="12" t="inlineStr">
        <is>
          <t>Thermocouple extension KX, #16 shielded pairs, PLTC</t>
        </is>
      </c>
      <c r="K4621" s="12" t="inlineStr">
        <is>
          <t>TCX|12 pr|16</t>
        </is>
      </c>
      <c r="L4621" s="12" t="inlineStr">
        <is>
          <t>12 pr</t>
        </is>
      </c>
      <c r="M4621" s="12" t="inlineStr">
        <is>
          <t>16</t>
        </is>
      </c>
      <c r="N4621" s="12" t="n">
        <v>1</v>
      </c>
      <c r="O4621" s="12" t="n">
        <v>1</v>
      </c>
      <c r="P4621" s="12" t="n"/>
      <c r="Q4621" s="12" t="n"/>
      <c r="R4621" s="12" t="n"/>
      <c r="S4621" s="12" t="inlineStr">
        <is>
          <t>Surface</t>
        </is>
      </c>
      <c r="T4621" s="16" t="n">
        <v>202</v>
      </c>
      <c r="U4621" s="16" t="n">
        <v>37</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I-I-0073</t>
        </is>
      </c>
      <c r="B4622" s="12" t="inlineStr">
        <is>
          <t>I</t>
        </is>
      </c>
      <c r="C4622" s="12" t="inlineStr">
        <is>
          <t>Modular / portable power</t>
        </is>
      </c>
      <c r="D4622" s="12" t="inlineStr">
        <is>
          <t>Analog instrument to JB JB-FC-5-AI01: 10 x 1 pr (field cables)</t>
        </is>
      </c>
      <c r="E4622" s="12" t="inlineStr">
        <is>
          <t>FC-5</t>
        </is>
      </c>
      <c r="F4622" s="12" t="inlineStr">
        <is>
          <t>FC-5: SOFC module (Bloom ES5 class, 200-300 kW)</t>
        </is>
      </c>
      <c r="G4622" s="12" t="inlineStr">
        <is>
          <t>JB-FC-5-AI01</t>
        </is>
      </c>
      <c r="H4622" s="12" t="inlineStr">
        <is>
          <t>FC-5: SOFC module (Bloom ES5 class, 200-300 kW)</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10</v>
      </c>
      <c r="O4622" s="12" t="n">
        <v>1</v>
      </c>
      <c r="P4622" s="12" t="n"/>
      <c r="Q4622" s="12" t="n"/>
      <c r="R4622" s="12" t="n"/>
      <c r="S4622" s="12" t="inlineStr">
        <is>
          <t>Tray / conduit</t>
        </is>
      </c>
      <c r="T4622" s="16" t="n">
        <v>45</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I-I-0074</t>
        </is>
      </c>
      <c r="B4623" s="12" t="inlineStr">
        <is>
          <t>I</t>
        </is>
      </c>
      <c r="C4623" s="12" t="inlineStr">
        <is>
          <t>Modular / portable power</t>
        </is>
      </c>
      <c r="D4623" s="12" t="inlineStr">
        <is>
          <t>Home run JB-FC-5-AI01 to the control / marshalling room</t>
        </is>
      </c>
      <c r="E4623" s="12" t="inlineStr">
        <is>
          <t>PAD-EH</t>
        </is>
      </c>
      <c r="F4623" s="12" t="inlineStr">
        <is>
          <t>PAD-EH 13.8 kV switchgear e-house</t>
        </is>
      </c>
      <c r="G4623" s="12" t="inlineStr">
        <is>
          <t>JB-FC-5-AI01</t>
        </is>
      </c>
      <c r="H4623" s="12" t="inlineStr">
        <is>
          <t>FC-5: SOFC module (Bloom ES5 class, 200-300 kW)</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356</v>
      </c>
      <c r="U4623" s="16" t="n">
        <v>50</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I-I-0075</t>
        </is>
      </c>
      <c r="B4624" s="12" t="inlineStr">
        <is>
          <t>I</t>
        </is>
      </c>
      <c r="C4624" s="12" t="inlineStr">
        <is>
          <t>Modular / portable power</t>
        </is>
      </c>
      <c r="D4624" s="12" t="inlineStr">
        <is>
          <t>Discrete device to JB JB-FC-5-DI01: 10 x 1 pr (field cables)</t>
        </is>
      </c>
      <c r="E4624" s="12" t="inlineStr">
        <is>
          <t>FC-5</t>
        </is>
      </c>
      <c r="F4624" s="12" t="inlineStr">
        <is>
          <t>FC-5: SOFC module (Bloom ES5 class, 200-300 kW)</t>
        </is>
      </c>
      <c r="G4624" s="12" t="inlineStr">
        <is>
          <t>JB-FC-5-DI01</t>
        </is>
      </c>
      <c r="H4624" s="12" t="inlineStr">
        <is>
          <t>FC-5: SOFC module (Bloom ES5 class, 200-300 kW)</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10</v>
      </c>
      <c r="O4624" s="12" t="n">
        <v>1</v>
      </c>
      <c r="P4624" s="12" t="n"/>
      <c r="Q4624" s="12" t="n"/>
      <c r="R4624" s="12" t="n"/>
      <c r="S4624" s="12" t="inlineStr">
        <is>
          <t>Tray / conduit</t>
        </is>
      </c>
      <c r="T4624" s="16" t="n">
        <v>45</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I-I-0076</t>
        </is>
      </c>
      <c r="B4625" s="12" t="inlineStr">
        <is>
          <t>I</t>
        </is>
      </c>
      <c r="C4625" s="12" t="inlineStr">
        <is>
          <t>Modular / portable power</t>
        </is>
      </c>
      <c r="D4625" s="12" t="inlineStr">
        <is>
          <t>Home run JB-FC-5-DI01 to the control / marshalling room</t>
        </is>
      </c>
      <c r="E4625" s="12" t="inlineStr">
        <is>
          <t>PAD-EH</t>
        </is>
      </c>
      <c r="F4625" s="12" t="inlineStr">
        <is>
          <t>PAD-EH 13.8 kV switchgear e-house</t>
        </is>
      </c>
      <c r="G4625" s="12" t="inlineStr">
        <is>
          <t>JB-FC-5-DI01</t>
        </is>
      </c>
      <c r="H4625" s="12" t="inlineStr">
        <is>
          <t>FC-5: SOFC module (Bloom ES5 class, 200-300 kW)</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356</v>
      </c>
      <c r="U4625" s="16" t="n">
        <v>50</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I-I-0077</t>
        </is>
      </c>
      <c r="B4626" s="12" t="inlineStr">
        <is>
          <t>I</t>
        </is>
      </c>
      <c r="C4626" s="12" t="inlineStr">
        <is>
          <t>Modular / portable power</t>
        </is>
      </c>
      <c r="D4626" s="12" t="inlineStr">
        <is>
          <t>Analog instrument to JB JB-FC-6-AI01: 10 x 1 pr (field cables)</t>
        </is>
      </c>
      <c r="E4626" s="12" t="inlineStr">
        <is>
          <t>FC-6</t>
        </is>
      </c>
      <c r="F4626" s="12" t="inlineStr">
        <is>
          <t>FC-6: SOFC module (Bloom ES5 class, 200-300 kW)</t>
        </is>
      </c>
      <c r="G4626" s="12" t="inlineStr">
        <is>
          <t>JB-FC-6-AI01</t>
        </is>
      </c>
      <c r="H4626" s="12" t="inlineStr">
        <is>
          <t>FC-6: SOFC module (Bloom ES5 class, 200-300 kW)</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10</v>
      </c>
      <c r="O4626" s="12" t="n">
        <v>1</v>
      </c>
      <c r="P4626" s="12" t="n"/>
      <c r="Q4626" s="12" t="n"/>
      <c r="R4626" s="12" t="n"/>
      <c r="S4626" s="12" t="inlineStr">
        <is>
          <t>Tray / conduit</t>
        </is>
      </c>
      <c r="T4626" s="16" t="n">
        <v>45</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I-I-0078</t>
        </is>
      </c>
      <c r="B4627" s="12" t="inlineStr">
        <is>
          <t>I</t>
        </is>
      </c>
      <c r="C4627" s="12" t="inlineStr">
        <is>
          <t>Modular / portable power</t>
        </is>
      </c>
      <c r="D4627" s="12" t="inlineStr">
        <is>
          <t>Home run JB-FC-6-AI01 to the control / marshalling room</t>
        </is>
      </c>
      <c r="E4627" s="12" t="inlineStr">
        <is>
          <t>PAD-EH</t>
        </is>
      </c>
      <c r="F4627" s="12" t="inlineStr">
        <is>
          <t>PAD-EH 13.8 kV switchgear e-house</t>
        </is>
      </c>
      <c r="G4627" s="12" t="inlineStr">
        <is>
          <t>JB-FC-6-AI01</t>
        </is>
      </c>
      <c r="H4627" s="12" t="inlineStr">
        <is>
          <t>FC-6: SOFC module (Bloom ES5 class, 200-300 kW)</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342</v>
      </c>
      <c r="U4627" s="16" t="n">
        <v>50</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I-I-0079</t>
        </is>
      </c>
      <c r="B4628" s="12" t="inlineStr">
        <is>
          <t>I</t>
        </is>
      </c>
      <c r="C4628" s="12" t="inlineStr">
        <is>
          <t>Modular / portable power</t>
        </is>
      </c>
      <c r="D4628" s="12" t="inlineStr">
        <is>
          <t>Discrete device to JB JB-FC-6-DI01: 10 x 1 pr (field cables)</t>
        </is>
      </c>
      <c r="E4628" s="12" t="inlineStr">
        <is>
          <t>FC-6</t>
        </is>
      </c>
      <c r="F4628" s="12" t="inlineStr">
        <is>
          <t>FC-6: SOFC module (Bloom ES5 class, 200-300 kW)</t>
        </is>
      </c>
      <c r="G4628" s="12" t="inlineStr">
        <is>
          <t>JB-FC-6-DI01</t>
        </is>
      </c>
      <c r="H4628" s="12" t="inlineStr">
        <is>
          <t>FC-6: SOFC module (Bloom ES5 class, 200-300 kW)</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10</v>
      </c>
      <c r="O4628" s="12" t="n">
        <v>1</v>
      </c>
      <c r="P4628" s="12" t="n"/>
      <c r="Q4628" s="12" t="n"/>
      <c r="R4628" s="12" t="n"/>
      <c r="S4628" s="12" t="inlineStr">
        <is>
          <t>Tray / conduit</t>
        </is>
      </c>
      <c r="T4628" s="16" t="n">
        <v>45</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I-I-0080</t>
        </is>
      </c>
      <c r="B4629" s="12" t="inlineStr">
        <is>
          <t>I</t>
        </is>
      </c>
      <c r="C4629" s="12" t="inlineStr">
        <is>
          <t>Modular / portable power</t>
        </is>
      </c>
      <c r="D4629" s="12" t="inlineStr">
        <is>
          <t>Home run JB-FC-6-DI01 to the control / marshalling room</t>
        </is>
      </c>
      <c r="E4629" s="12" t="inlineStr">
        <is>
          <t>PAD-EH</t>
        </is>
      </c>
      <c r="F4629" s="12" t="inlineStr">
        <is>
          <t>PAD-EH 13.8 kV switchgear e-house</t>
        </is>
      </c>
      <c r="G4629" s="12" t="inlineStr">
        <is>
          <t>JB-FC-6-DI01</t>
        </is>
      </c>
      <c r="H4629" s="12" t="inlineStr">
        <is>
          <t>FC-6: SOFC module (Bloom ES5 class, 200-300 kW)</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342</v>
      </c>
      <c r="U4629" s="16" t="n">
        <v>50</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I-I-0081</t>
        </is>
      </c>
      <c r="B4630" s="12" t="inlineStr">
        <is>
          <t>I</t>
        </is>
      </c>
      <c r="C4630" s="12" t="inlineStr">
        <is>
          <t>Modular / portable power</t>
        </is>
      </c>
      <c r="D4630" s="12" t="inlineStr">
        <is>
          <t>Analog instrument to JB JB-FC-7-AI01: 10 x 1 pr (field cables)</t>
        </is>
      </c>
      <c r="E4630" s="12" t="inlineStr">
        <is>
          <t>FC-7</t>
        </is>
      </c>
      <c r="F4630" s="12" t="inlineStr">
        <is>
          <t>FC-7: SOFC module (Bloom ES5 class, 200-300 kW)</t>
        </is>
      </c>
      <c r="G4630" s="12" t="inlineStr">
        <is>
          <t>JB-FC-7-AI01</t>
        </is>
      </c>
      <c r="H4630" s="12" t="inlineStr">
        <is>
          <t>FC-7: SOFC module (Bloom ES5 class, 200-300 kW)</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45</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I-I-0082</t>
        </is>
      </c>
      <c r="B4631" s="12" t="inlineStr">
        <is>
          <t>I</t>
        </is>
      </c>
      <c r="C4631" s="12" t="inlineStr">
        <is>
          <t>Modular / portable power</t>
        </is>
      </c>
      <c r="D4631" s="12" t="inlineStr">
        <is>
          <t>Home run JB-FC-7-AI01 to the control / marshalling room</t>
        </is>
      </c>
      <c r="E4631" s="12" t="inlineStr">
        <is>
          <t>PAD-EH</t>
        </is>
      </c>
      <c r="F4631" s="12" t="inlineStr">
        <is>
          <t>PAD-EH 13.8 kV switchgear e-house</t>
        </is>
      </c>
      <c r="G4631" s="12" t="inlineStr">
        <is>
          <t>JB-FC-7-AI01</t>
        </is>
      </c>
      <c r="H4631" s="12" t="inlineStr">
        <is>
          <t>FC-7: SOFC module (Bloom ES5 class, 200-300 kW)</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328</v>
      </c>
      <c r="U4631" s="16" t="n">
        <v>50</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I-I-0083</t>
        </is>
      </c>
      <c r="B4632" s="12" t="inlineStr">
        <is>
          <t>I</t>
        </is>
      </c>
      <c r="C4632" s="12" t="inlineStr">
        <is>
          <t>Modular / portable power</t>
        </is>
      </c>
      <c r="D4632" s="12" t="inlineStr">
        <is>
          <t>Discrete device to JB JB-FC-7-DI01: 10 x 1 pr (field cables)</t>
        </is>
      </c>
      <c r="E4632" s="12" t="inlineStr">
        <is>
          <t>FC-7</t>
        </is>
      </c>
      <c r="F4632" s="12" t="inlineStr">
        <is>
          <t>FC-7: SOFC module (Bloom ES5 class, 200-300 kW)</t>
        </is>
      </c>
      <c r="G4632" s="12" t="inlineStr">
        <is>
          <t>JB-FC-7-DI01</t>
        </is>
      </c>
      <c r="H4632" s="12" t="inlineStr">
        <is>
          <t>FC-7: SOFC module (Bloom ES5 class, 200-300 kW)</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10</v>
      </c>
      <c r="O4632" s="12" t="n">
        <v>1</v>
      </c>
      <c r="P4632" s="12" t="n"/>
      <c r="Q4632" s="12" t="n"/>
      <c r="R4632" s="12" t="n"/>
      <c r="S4632" s="12" t="inlineStr">
        <is>
          <t>Tray / conduit</t>
        </is>
      </c>
      <c r="T4632" s="16" t="n">
        <v>45</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I-I-0084</t>
        </is>
      </c>
      <c r="B4633" s="12" t="inlineStr">
        <is>
          <t>I</t>
        </is>
      </c>
      <c r="C4633" s="12" t="inlineStr">
        <is>
          <t>Modular / portable power</t>
        </is>
      </c>
      <c r="D4633" s="12" t="inlineStr">
        <is>
          <t>Home run JB-FC-7-DI01 to the control / marshalling room</t>
        </is>
      </c>
      <c r="E4633" s="12" t="inlineStr">
        <is>
          <t>PAD-EH</t>
        </is>
      </c>
      <c r="F4633" s="12" t="inlineStr">
        <is>
          <t>PAD-EH 13.8 kV switchgear e-house</t>
        </is>
      </c>
      <c r="G4633" s="12" t="inlineStr">
        <is>
          <t>JB-FC-7-DI01</t>
        </is>
      </c>
      <c r="H4633" s="12" t="inlineStr">
        <is>
          <t>FC-7: SOFC module (Bloom ES5 class, 200-300 kW)</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328</v>
      </c>
      <c r="U4633" s="16" t="n">
        <v>50</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I-I-0085</t>
        </is>
      </c>
      <c r="B4634" s="12" t="inlineStr">
        <is>
          <t>I</t>
        </is>
      </c>
      <c r="C4634" s="12" t="inlineStr">
        <is>
          <t>Modular / portable power</t>
        </is>
      </c>
      <c r="D4634" s="12" t="inlineStr">
        <is>
          <t>Analog instrument to JB JB-FC-8-AI01: 10 x 1 pr (field cables)</t>
        </is>
      </c>
      <c r="E4634" s="12" t="inlineStr">
        <is>
          <t>FC-8</t>
        </is>
      </c>
      <c r="F4634" s="12" t="inlineStr">
        <is>
          <t>FC-8: SOFC module (Bloom ES5 class, 200-300 kW)</t>
        </is>
      </c>
      <c r="G4634" s="12" t="inlineStr">
        <is>
          <t>JB-FC-8-AI01</t>
        </is>
      </c>
      <c r="H4634" s="12" t="inlineStr">
        <is>
          <t>FC-8: SOFC module (Bloom ES5 class, 200-300 kW)</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10</v>
      </c>
      <c r="O4634" s="12" t="n">
        <v>1</v>
      </c>
      <c r="P4634" s="12" t="n"/>
      <c r="Q4634" s="12" t="n"/>
      <c r="R4634" s="12" t="n"/>
      <c r="S4634" s="12" t="inlineStr">
        <is>
          <t>Tray / conduit</t>
        </is>
      </c>
      <c r="T4634" s="16" t="n">
        <v>45</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I-I-0086</t>
        </is>
      </c>
      <c r="B4635" s="12" t="inlineStr">
        <is>
          <t>I</t>
        </is>
      </c>
      <c r="C4635" s="12" t="inlineStr">
        <is>
          <t>Modular / portable power</t>
        </is>
      </c>
      <c r="D4635" s="12" t="inlineStr">
        <is>
          <t>Home run JB-FC-8-AI01 to the control / marshalling room</t>
        </is>
      </c>
      <c r="E4635" s="12" t="inlineStr">
        <is>
          <t>PAD-EH</t>
        </is>
      </c>
      <c r="F4635" s="12" t="inlineStr">
        <is>
          <t>PAD-EH 13.8 kV switchgear e-house</t>
        </is>
      </c>
      <c r="G4635" s="12" t="inlineStr">
        <is>
          <t>JB-FC-8-AI01</t>
        </is>
      </c>
      <c r="H4635" s="12" t="inlineStr">
        <is>
          <t>FC-8: SOFC module (Bloom ES5 class, 200-300 kW)</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314</v>
      </c>
      <c r="U4635" s="16" t="n">
        <v>50</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I-I-0087</t>
        </is>
      </c>
      <c r="B4636" s="12" t="inlineStr">
        <is>
          <t>I</t>
        </is>
      </c>
      <c r="C4636" s="12" t="inlineStr">
        <is>
          <t>Modular / portable power</t>
        </is>
      </c>
      <c r="D4636" s="12" t="inlineStr">
        <is>
          <t>Discrete device to JB JB-FC-8-DI01: 10 x 1 pr (field cables)</t>
        </is>
      </c>
      <c r="E4636" s="12" t="inlineStr">
        <is>
          <t>FC-8</t>
        </is>
      </c>
      <c r="F4636" s="12" t="inlineStr">
        <is>
          <t>FC-8: SOFC module (Bloom ES5 class, 200-300 kW)</t>
        </is>
      </c>
      <c r="G4636" s="12" t="inlineStr">
        <is>
          <t>JB-FC-8-DI01</t>
        </is>
      </c>
      <c r="H4636" s="12" t="inlineStr">
        <is>
          <t>FC-8: SOFC module (Bloom ES5 class, 200-300 kW)</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45</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I-I-0088</t>
        </is>
      </c>
      <c r="B4637" s="12" t="inlineStr">
        <is>
          <t>I</t>
        </is>
      </c>
      <c r="C4637" s="12" t="inlineStr">
        <is>
          <t>Modular / portable power</t>
        </is>
      </c>
      <c r="D4637" s="12" t="inlineStr">
        <is>
          <t>Home run JB-FC-8-DI01 to the control / marshalling room</t>
        </is>
      </c>
      <c r="E4637" s="12" t="inlineStr">
        <is>
          <t>PAD-EH</t>
        </is>
      </c>
      <c r="F4637" s="12" t="inlineStr">
        <is>
          <t>PAD-EH 13.8 kV switchgear e-house</t>
        </is>
      </c>
      <c r="G4637" s="12" t="inlineStr">
        <is>
          <t>JB-FC-8-DI01</t>
        </is>
      </c>
      <c r="H4637" s="12" t="inlineStr">
        <is>
          <t>FC-8: SOFC module (Bloom ES5 class, 200-300 kW)</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314</v>
      </c>
      <c r="U4637" s="16" t="n">
        <v>50</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I-I-0089</t>
        </is>
      </c>
      <c r="B4638" s="12" t="inlineStr">
        <is>
          <t>I</t>
        </is>
      </c>
      <c r="C4638" s="12" t="inlineStr">
        <is>
          <t>Modular / portable power</t>
        </is>
      </c>
      <c r="D4638" s="12" t="inlineStr">
        <is>
          <t>Analog instrument to JB JB-FC-9-AI01: 10 x 1 pr (field cables)</t>
        </is>
      </c>
      <c r="E4638" s="12" t="inlineStr">
        <is>
          <t>FC-9</t>
        </is>
      </c>
      <c r="F4638" s="12" t="inlineStr">
        <is>
          <t>FC-9: SOFC module (Bloom ES5 class, 200-300 kW)</t>
        </is>
      </c>
      <c r="G4638" s="12" t="inlineStr">
        <is>
          <t>JB-FC-9-AI01</t>
        </is>
      </c>
      <c r="H4638" s="12" t="inlineStr">
        <is>
          <t>FC-9: SOFC module (Bloom ES5 class, 200-300 kW)</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45</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I-I-0090</t>
        </is>
      </c>
      <c r="B4639" s="12" t="inlineStr">
        <is>
          <t>I</t>
        </is>
      </c>
      <c r="C4639" s="12" t="inlineStr">
        <is>
          <t>Modular / portable power</t>
        </is>
      </c>
      <c r="D4639" s="12" t="inlineStr">
        <is>
          <t>Home run JB-FC-9-AI01 to the control / marshalling room</t>
        </is>
      </c>
      <c r="E4639" s="12" t="inlineStr">
        <is>
          <t>PAD-EH</t>
        </is>
      </c>
      <c r="F4639" s="12" t="inlineStr">
        <is>
          <t>PAD-EH 13.8 kV switchgear e-house</t>
        </is>
      </c>
      <c r="G4639" s="12" t="inlineStr">
        <is>
          <t>JB-FC-9-AI01</t>
        </is>
      </c>
      <c r="H4639" s="12" t="inlineStr">
        <is>
          <t>FC-9: SOFC module (Bloom ES5 class, 200-300 kW)</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300</v>
      </c>
      <c r="U4639" s="16" t="n">
        <v>50</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I-I-0091</t>
        </is>
      </c>
      <c r="B4640" s="12" t="inlineStr">
        <is>
          <t>I</t>
        </is>
      </c>
      <c r="C4640" s="12" t="inlineStr">
        <is>
          <t>Modular / portable power</t>
        </is>
      </c>
      <c r="D4640" s="12" t="inlineStr">
        <is>
          <t>Discrete device to JB JB-FC-9-DI01: 10 x 1 pr (field cables)</t>
        </is>
      </c>
      <c r="E4640" s="12" t="inlineStr">
        <is>
          <t>FC-9</t>
        </is>
      </c>
      <c r="F4640" s="12" t="inlineStr">
        <is>
          <t>FC-9: SOFC module (Bloom ES5 class, 200-300 kW)</t>
        </is>
      </c>
      <c r="G4640" s="12" t="inlineStr">
        <is>
          <t>JB-FC-9-DI01</t>
        </is>
      </c>
      <c r="H4640" s="12" t="inlineStr">
        <is>
          <t>FC-9: SOFC module (Bloom ES5 class, 200-300 kW)</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10</v>
      </c>
      <c r="O4640" s="12" t="n">
        <v>1</v>
      </c>
      <c r="P4640" s="12" t="n"/>
      <c r="Q4640" s="12" t="n"/>
      <c r="R4640" s="12" t="n"/>
      <c r="S4640" s="12" t="inlineStr">
        <is>
          <t>Tray / conduit</t>
        </is>
      </c>
      <c r="T4640" s="16" t="n">
        <v>45</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I-I-0092</t>
        </is>
      </c>
      <c r="B4641" s="12" t="inlineStr">
        <is>
          <t>I</t>
        </is>
      </c>
      <c r="C4641" s="12" t="inlineStr">
        <is>
          <t>Modular / portable power</t>
        </is>
      </c>
      <c r="D4641" s="12" t="inlineStr">
        <is>
          <t>Home run JB-FC-9-DI01 to the control / marshalling room</t>
        </is>
      </c>
      <c r="E4641" s="12" t="inlineStr">
        <is>
          <t>PAD-EH</t>
        </is>
      </c>
      <c r="F4641" s="12" t="inlineStr">
        <is>
          <t>PAD-EH 13.8 kV switchgear e-house</t>
        </is>
      </c>
      <c r="G4641" s="12" t="inlineStr">
        <is>
          <t>JB-FC-9-DI01</t>
        </is>
      </c>
      <c r="H4641" s="12" t="inlineStr">
        <is>
          <t>FC-9: SOFC module (Bloom ES5 class, 200-300 kW)</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300</v>
      </c>
      <c r="U4641" s="16" t="n">
        <v>50</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I-I-0093</t>
        </is>
      </c>
      <c r="B4642" s="12" t="inlineStr">
        <is>
          <t>I</t>
        </is>
      </c>
      <c r="C4642" s="12" t="inlineStr">
        <is>
          <t>Modular / portable power</t>
        </is>
      </c>
      <c r="D4642" s="12" t="inlineStr">
        <is>
          <t>Analog instrument to JB JB-Fuel-gas compresso-AI01: 20 x 1 pr (field cables)</t>
        </is>
      </c>
      <c r="E4642" s="12" t="inlineStr"/>
      <c r="F4642" s="12" t="inlineStr">
        <is>
          <t>Fuel-gas compressors 3 x 100% electric</t>
        </is>
      </c>
      <c r="G4642" s="12" t="inlineStr">
        <is>
          <t>JB-Fuel-gas compresso-AI01</t>
        </is>
      </c>
      <c r="H4642" s="12" t="inlineStr">
        <is>
          <t>Fuel-gas compressors 3 x 100% electric</t>
        </is>
      </c>
      <c r="I4642" s="12" t="inlineStr">
        <is>
          <t>Instrumentation</t>
        </is>
      </c>
      <c r="J4642" s="12" t="inlineStr">
        <is>
          <t>Instrumentation ITC / PLTC, IS, #18 shielded pairs, blue jacket</t>
        </is>
      </c>
      <c r="K4642" s="12" t="inlineStr">
        <is>
          <t>ITC|1 pr|16</t>
        </is>
      </c>
      <c r="L4642" s="12" t="inlineStr">
        <is>
          <t>1 pr</t>
        </is>
      </c>
      <c r="M4642" s="12" t="inlineStr">
        <is>
          <t>16</t>
        </is>
      </c>
      <c r="N4642" s="12" t="n">
        <v>20</v>
      </c>
      <c r="O4642" s="12" t="n">
        <v>1</v>
      </c>
      <c r="P4642" s="12" t="n"/>
      <c r="Q4642" s="12" t="n"/>
      <c r="R4642" s="12" t="n"/>
      <c r="S4642" s="12" t="inlineStr">
        <is>
          <t>Tray / conduit</t>
        </is>
      </c>
      <c r="T4642" s="16" t="n">
        <v>103</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I-I-0094</t>
        </is>
      </c>
      <c r="B4643" s="12" t="inlineStr">
        <is>
          <t>I</t>
        </is>
      </c>
      <c r="C4643" s="12" t="inlineStr">
        <is>
          <t>Modular / portable power</t>
        </is>
      </c>
      <c r="D4643" s="12" t="inlineStr">
        <is>
          <t>Home run JB-Fuel-gas compresso-AI01 to the control / marshalling room</t>
        </is>
      </c>
      <c r="E4643" s="12" t="inlineStr"/>
      <c r="F4643" s="12" t="inlineStr">
        <is>
          <t>SC-2 PCM + 15 kV GCB</t>
        </is>
      </c>
      <c r="G4643" s="12" t="inlineStr">
        <is>
          <t>JB-Fuel-gas compresso-AI01</t>
        </is>
      </c>
      <c r="H4643" s="12" t="inlineStr">
        <is>
          <t>Fuel-gas compressors 3 x 100% electric</t>
        </is>
      </c>
      <c r="I4643" s="12" t="inlineStr">
        <is>
          <t>Instrumentation</t>
        </is>
      </c>
      <c r="J4643" s="12" t="inlineStr">
        <is>
          <t>Instrumentation ITC / PLTC, IS, #18 shielded pairs, blue jacket</t>
        </is>
      </c>
      <c r="K4643" s="12" t="inlineStr">
        <is>
          <t>ITC|24 pr|18</t>
        </is>
      </c>
      <c r="L4643" s="12" t="inlineStr">
        <is>
          <t>24 pr</t>
        </is>
      </c>
      <c r="M4643" s="12" t="inlineStr">
        <is>
          <t>18</t>
        </is>
      </c>
      <c r="N4643" s="12" t="n">
        <v>1</v>
      </c>
      <c r="O4643" s="12" t="n">
        <v>1</v>
      </c>
      <c r="P4643" s="12" t="n"/>
      <c r="Q4643" s="12" t="n"/>
      <c r="R4643" s="12" t="n"/>
      <c r="S4643" s="12" t="inlineStr">
        <is>
          <t>Duct bank</t>
        </is>
      </c>
      <c r="T4643" s="16" t="n">
        <v>8</v>
      </c>
      <c r="U4643" s="16" t="n">
        <v>108</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I-I-0095</t>
        </is>
      </c>
      <c r="B4644" s="12" t="inlineStr">
        <is>
          <t>I</t>
        </is>
      </c>
      <c r="C4644" s="12" t="inlineStr">
        <is>
          <t>Modular / portable power</t>
        </is>
      </c>
      <c r="D4644" s="12" t="inlineStr">
        <is>
          <t>Analog instrument to JB JB-Fuel-gas compresso-AI02: 10 x 1 pr (field cables)</t>
        </is>
      </c>
      <c r="E4644" s="12" t="inlineStr"/>
      <c r="F4644" s="12" t="inlineStr">
        <is>
          <t>Fuel-gas compressors 3 x 100% electric</t>
        </is>
      </c>
      <c r="G4644" s="12" t="inlineStr">
        <is>
          <t>JB-Fuel-gas compresso-AI02</t>
        </is>
      </c>
      <c r="H4644" s="12" t="inlineStr">
        <is>
          <t>Fuel-gas compressors 3 x 100% electric</t>
        </is>
      </c>
      <c r="I4644" s="12" t="inlineStr">
        <is>
          <t>Instrumentation</t>
        </is>
      </c>
      <c r="J4644" s="12" t="inlineStr">
        <is>
          <t>Instrumentation ITC / PLTC, IS, #18 shielded pairs, blue jacket</t>
        </is>
      </c>
      <c r="K4644" s="12" t="inlineStr">
        <is>
          <t>ITC|1 pr|16</t>
        </is>
      </c>
      <c r="L4644" s="12" t="inlineStr">
        <is>
          <t>1 pr</t>
        </is>
      </c>
      <c r="M4644" s="12" t="inlineStr">
        <is>
          <t>16</t>
        </is>
      </c>
      <c r="N4644" s="12" t="n">
        <v>10</v>
      </c>
      <c r="O4644" s="12" t="n">
        <v>1</v>
      </c>
      <c r="P4644" s="12" t="n"/>
      <c r="Q4644" s="12" t="n"/>
      <c r="R4644" s="12" t="n"/>
      <c r="S4644" s="12" t="inlineStr">
        <is>
          <t>Tray / conduit</t>
        </is>
      </c>
      <c r="T4644" s="16" t="n">
        <v>103</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I-I-0096</t>
        </is>
      </c>
      <c r="B4645" s="12" t="inlineStr">
        <is>
          <t>I</t>
        </is>
      </c>
      <c r="C4645" s="12" t="inlineStr">
        <is>
          <t>Modular / portable power</t>
        </is>
      </c>
      <c r="D4645" s="12" t="inlineStr">
        <is>
          <t>Home run JB-Fuel-gas compresso-AI02 to the control / marshalling room</t>
        </is>
      </c>
      <c r="E4645" s="12" t="inlineStr"/>
      <c r="F4645" s="12" t="inlineStr">
        <is>
          <t>SC-2 PCM + 15 kV GCB</t>
        </is>
      </c>
      <c r="G4645" s="12" t="inlineStr">
        <is>
          <t>JB-Fuel-gas compresso-AI02</t>
        </is>
      </c>
      <c r="H4645" s="12" t="inlineStr">
        <is>
          <t>Fuel-gas compressors 3 x 100% electric</t>
        </is>
      </c>
      <c r="I4645" s="12" t="inlineStr">
        <is>
          <t>Instrumentation</t>
        </is>
      </c>
      <c r="J4645" s="12" t="inlineStr">
        <is>
          <t>Instrumentation ITC / PLTC, IS, #18 shielded pairs, blue jacket</t>
        </is>
      </c>
      <c r="K4645" s="12" t="inlineStr">
        <is>
          <t>ITC|24 pr|18</t>
        </is>
      </c>
      <c r="L4645" s="12" t="inlineStr">
        <is>
          <t>24 pr</t>
        </is>
      </c>
      <c r="M4645" s="12" t="inlineStr">
        <is>
          <t>18</t>
        </is>
      </c>
      <c r="N4645" s="12" t="n">
        <v>1</v>
      </c>
      <c r="O4645" s="12" t="n">
        <v>1</v>
      </c>
      <c r="P4645" s="12" t="n"/>
      <c r="Q4645" s="12" t="n"/>
      <c r="R4645" s="12" t="n"/>
      <c r="S4645" s="12" t="inlineStr">
        <is>
          <t>Duct bank</t>
        </is>
      </c>
      <c r="T4645" s="16" t="n">
        <v>8</v>
      </c>
      <c r="U4645" s="16" t="n">
        <v>108</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I-I-0097</t>
        </is>
      </c>
      <c r="B4646" s="12" t="inlineStr">
        <is>
          <t>I</t>
        </is>
      </c>
      <c r="C4646" s="12" t="inlineStr">
        <is>
          <t>Modular / portable power</t>
        </is>
      </c>
      <c r="D4646" s="12" t="inlineStr">
        <is>
          <t>Discrete device to JB JB-Fuel-gas compresso-DI01: 20 x 1 pr (field cables)</t>
        </is>
      </c>
      <c r="E4646" s="12" t="inlineStr"/>
      <c r="F4646" s="12" t="inlineStr">
        <is>
          <t>Fuel-gas compressors 3 x 100% electric</t>
        </is>
      </c>
      <c r="G4646" s="12" t="inlineStr">
        <is>
          <t>JB-Fuel-gas compresso-DI01</t>
        </is>
      </c>
      <c r="H4646" s="12" t="inlineStr">
        <is>
          <t>Fuel-gas compressors 3 x 100% electric</t>
        </is>
      </c>
      <c r="I4646" s="12" t="inlineStr">
        <is>
          <t>Instrumentation</t>
        </is>
      </c>
      <c r="J4646" s="12" t="inlineStr">
        <is>
          <t>Instrumentation ITC / PLTC, IS, #18 shielded pairs, blue jacket</t>
        </is>
      </c>
      <c r="K4646" s="12" t="inlineStr">
        <is>
          <t>ITC|1 pr|16</t>
        </is>
      </c>
      <c r="L4646" s="12" t="inlineStr">
        <is>
          <t>1 pr</t>
        </is>
      </c>
      <c r="M4646" s="12" t="inlineStr">
        <is>
          <t>16</t>
        </is>
      </c>
      <c r="N4646" s="12" t="n">
        <v>20</v>
      </c>
      <c r="O4646" s="12" t="n">
        <v>1</v>
      </c>
      <c r="P4646" s="12" t="n"/>
      <c r="Q4646" s="12" t="n"/>
      <c r="R4646" s="12" t="n"/>
      <c r="S4646" s="12" t="inlineStr">
        <is>
          <t>Tray / conduit</t>
        </is>
      </c>
      <c r="T4646" s="16" t="n">
        <v>103</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I-I-0098</t>
        </is>
      </c>
      <c r="B4647" s="12" t="inlineStr">
        <is>
          <t>I</t>
        </is>
      </c>
      <c r="C4647" s="12" t="inlineStr">
        <is>
          <t>Modular / portable power</t>
        </is>
      </c>
      <c r="D4647" s="12" t="inlineStr">
        <is>
          <t>Home run JB-Fuel-gas compresso-DI01 to the control / marshalling room</t>
        </is>
      </c>
      <c r="E4647" s="12" t="inlineStr"/>
      <c r="F4647" s="12" t="inlineStr">
        <is>
          <t>SC-2 PCM + 15 kV GCB</t>
        </is>
      </c>
      <c r="G4647" s="12" t="inlineStr">
        <is>
          <t>JB-Fuel-gas compresso-DI01</t>
        </is>
      </c>
      <c r="H4647" s="12" t="inlineStr">
        <is>
          <t>Fuel-gas compressors 3 x 100% electric</t>
        </is>
      </c>
      <c r="I4647" s="12" t="inlineStr">
        <is>
          <t>Instrumentation</t>
        </is>
      </c>
      <c r="J4647" s="12" t="inlineStr">
        <is>
          <t>Instrumentation ITC / PLTC, IS, #18 shielded pairs, blue jacket</t>
        </is>
      </c>
      <c r="K4647" s="12" t="inlineStr">
        <is>
          <t>ITC|24 pr|18</t>
        </is>
      </c>
      <c r="L4647" s="12" t="inlineStr">
        <is>
          <t>24 pr</t>
        </is>
      </c>
      <c r="M4647" s="12" t="inlineStr">
        <is>
          <t>18</t>
        </is>
      </c>
      <c r="N4647" s="12" t="n">
        <v>1</v>
      </c>
      <c r="O4647" s="12" t="n">
        <v>1</v>
      </c>
      <c r="P4647" s="12" t="n"/>
      <c r="Q4647" s="12" t="n"/>
      <c r="R4647" s="12" t="n"/>
      <c r="S4647" s="12" t="inlineStr">
        <is>
          <t>Duct bank</t>
        </is>
      </c>
      <c r="T4647" s="16" t="n">
        <v>8</v>
      </c>
      <c r="U4647" s="16" t="n">
        <v>108</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I-I-0099</t>
        </is>
      </c>
      <c r="B4648" s="12" t="inlineStr">
        <is>
          <t>I</t>
        </is>
      </c>
      <c r="C4648" s="12" t="inlineStr">
        <is>
          <t>Modular / portable power</t>
        </is>
      </c>
      <c r="D4648" s="12" t="inlineStr">
        <is>
          <t>RTD to JB JB-Fuel-gas compresso-RTD01: 10 x 1 tri (field cables)</t>
        </is>
      </c>
      <c r="E4648" s="12" t="inlineStr"/>
      <c r="F4648" s="12" t="inlineStr">
        <is>
          <t>Fuel-gas compressors 3 x 100% electric</t>
        </is>
      </c>
      <c r="G4648" s="12" t="inlineStr">
        <is>
          <t>JB-Fuel-gas compresso-RTD01</t>
        </is>
      </c>
      <c r="H4648" s="12" t="inlineStr">
        <is>
          <t>Fuel-gas compressors 3 x 100% electric</t>
        </is>
      </c>
      <c r="I4648" s="12" t="inlineStr">
        <is>
          <t>Instrumentation</t>
        </is>
      </c>
      <c r="J4648" s="12" t="inlineStr">
        <is>
          <t>RTD cable, #18 shielded triads, PLTC</t>
        </is>
      </c>
      <c r="K4648" s="12" t="inlineStr">
        <is>
          <t>RTD|1 tri|18</t>
        </is>
      </c>
      <c r="L4648" s="12" t="inlineStr">
        <is>
          <t>1 tri</t>
        </is>
      </c>
      <c r="M4648" s="12" t="inlineStr">
        <is>
          <t>18</t>
        </is>
      </c>
      <c r="N4648" s="12" t="n">
        <v>10</v>
      </c>
      <c r="O4648" s="12" t="n">
        <v>1</v>
      </c>
      <c r="P4648" s="12" t="n"/>
      <c r="Q4648" s="12" t="n"/>
      <c r="R4648" s="12" t="n"/>
      <c r="S4648" s="12" t="inlineStr">
        <is>
          <t>Tray / conduit</t>
        </is>
      </c>
      <c r="T4648" s="16" t="n">
        <v>103</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I-I-0100</t>
        </is>
      </c>
      <c r="B4649" s="12" t="inlineStr">
        <is>
          <t>I</t>
        </is>
      </c>
      <c r="C4649" s="12" t="inlineStr">
        <is>
          <t>Modular / portable power</t>
        </is>
      </c>
      <c r="D4649" s="12" t="inlineStr">
        <is>
          <t>Home run JB-Fuel-gas compresso-RTD01 to the control / marshalling room</t>
        </is>
      </c>
      <c r="E4649" s="12" t="inlineStr"/>
      <c r="F4649" s="12" t="inlineStr">
        <is>
          <t>SC-2 PCM + 15 kV GCB</t>
        </is>
      </c>
      <c r="G4649" s="12" t="inlineStr">
        <is>
          <t>JB-Fuel-gas compresso-RTD01</t>
        </is>
      </c>
      <c r="H4649" s="12" t="inlineStr">
        <is>
          <t>Fuel-gas compressors 3 x 100% electric</t>
        </is>
      </c>
      <c r="I4649" s="12" t="inlineStr">
        <is>
          <t>Instrumentation</t>
        </is>
      </c>
      <c r="J4649" s="12" t="inlineStr">
        <is>
          <t>RTD cable, #18 shielded triads, PLTC</t>
        </is>
      </c>
      <c r="K4649" s="12" t="inlineStr">
        <is>
          <t>RTD|12 tri|18</t>
        </is>
      </c>
      <c r="L4649" s="12" t="inlineStr">
        <is>
          <t>12 tri</t>
        </is>
      </c>
      <c r="M4649" s="12" t="inlineStr">
        <is>
          <t>18</t>
        </is>
      </c>
      <c r="N4649" s="12" t="n">
        <v>1</v>
      </c>
      <c r="O4649" s="12" t="n">
        <v>1</v>
      </c>
      <c r="P4649" s="12" t="n"/>
      <c r="Q4649" s="12" t="n"/>
      <c r="R4649" s="12" t="n"/>
      <c r="S4649" s="12" t="inlineStr">
        <is>
          <t>Duct bank</t>
        </is>
      </c>
      <c r="T4649" s="16" t="n">
        <v>8</v>
      </c>
      <c r="U4649" s="16" t="n">
        <v>108</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I-I-0101</t>
        </is>
      </c>
      <c r="B4650" s="12" t="inlineStr">
        <is>
          <t>I</t>
        </is>
      </c>
      <c r="C4650" s="12" t="inlineStr">
        <is>
          <t>Modular / portable power</t>
        </is>
      </c>
      <c r="D4650" s="12" t="inlineStr">
        <is>
          <t>RTD to JB JB-Fuel-gas compresso-RTD02: 2 x 1 tri (field cables)</t>
        </is>
      </c>
      <c r="E4650" s="12" t="inlineStr"/>
      <c r="F4650" s="12" t="inlineStr">
        <is>
          <t>Fuel-gas compressors 3 x 100% electric</t>
        </is>
      </c>
      <c r="G4650" s="12" t="inlineStr">
        <is>
          <t>JB-Fuel-gas compresso-RTD02</t>
        </is>
      </c>
      <c r="H4650" s="12" t="inlineStr">
        <is>
          <t>Fuel-gas compressors 3 x 100% electric</t>
        </is>
      </c>
      <c r="I4650" s="12" t="inlineStr">
        <is>
          <t>Instrumentation</t>
        </is>
      </c>
      <c r="J4650" s="12" t="inlineStr">
        <is>
          <t>RTD cable, #18 shielded triads, PLTC</t>
        </is>
      </c>
      <c r="K4650" s="12" t="inlineStr">
        <is>
          <t>RTD|1 tri|18</t>
        </is>
      </c>
      <c r="L4650" s="12" t="inlineStr">
        <is>
          <t>1 tri</t>
        </is>
      </c>
      <c r="M4650" s="12" t="inlineStr">
        <is>
          <t>18</t>
        </is>
      </c>
      <c r="N4650" s="12" t="n">
        <v>2</v>
      </c>
      <c r="O4650" s="12" t="n">
        <v>1</v>
      </c>
      <c r="P4650" s="12" t="n"/>
      <c r="Q4650" s="12" t="n"/>
      <c r="R4650" s="12" t="n"/>
      <c r="S4650" s="12" t="inlineStr">
        <is>
          <t>Tray / conduit</t>
        </is>
      </c>
      <c r="T4650" s="16" t="n">
        <v>103</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I-I-0102</t>
        </is>
      </c>
      <c r="B4651" s="12" t="inlineStr">
        <is>
          <t>I</t>
        </is>
      </c>
      <c r="C4651" s="12" t="inlineStr">
        <is>
          <t>Modular / portable power</t>
        </is>
      </c>
      <c r="D4651" s="12" t="inlineStr">
        <is>
          <t>Home run JB-Fuel-gas compresso-RTD02 to the control / marshalling room</t>
        </is>
      </c>
      <c r="E4651" s="12" t="inlineStr"/>
      <c r="F4651" s="12" t="inlineStr">
        <is>
          <t>SC-2 PCM + 15 kV GCB</t>
        </is>
      </c>
      <c r="G4651" s="12" t="inlineStr">
        <is>
          <t>JB-Fuel-gas compresso-RTD02</t>
        </is>
      </c>
      <c r="H4651" s="12" t="inlineStr">
        <is>
          <t>Fuel-gas compressors 3 x 100% electric</t>
        </is>
      </c>
      <c r="I4651" s="12" t="inlineStr">
        <is>
          <t>Instrumentation</t>
        </is>
      </c>
      <c r="J4651" s="12" t="inlineStr">
        <is>
          <t>RTD cable, #18 shielded triads, PLTC</t>
        </is>
      </c>
      <c r="K4651" s="12" t="inlineStr">
        <is>
          <t>RTD|12 tri|18</t>
        </is>
      </c>
      <c r="L4651" s="12" t="inlineStr">
        <is>
          <t>12 tri</t>
        </is>
      </c>
      <c r="M4651" s="12" t="inlineStr">
        <is>
          <t>18</t>
        </is>
      </c>
      <c r="N4651" s="12" t="n">
        <v>1</v>
      </c>
      <c r="O4651" s="12" t="n">
        <v>1</v>
      </c>
      <c r="P4651" s="12" t="n"/>
      <c r="Q4651" s="12" t="n"/>
      <c r="R4651" s="12" t="n"/>
      <c r="S4651" s="12" t="inlineStr">
        <is>
          <t>Duct bank</t>
        </is>
      </c>
      <c r="T4651" s="16" t="n">
        <v>8</v>
      </c>
      <c r="U4651" s="16" t="n">
        <v>108</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I-I-0103</t>
        </is>
      </c>
      <c r="B4652" s="12" t="inlineStr">
        <is>
          <t>I</t>
        </is>
      </c>
      <c r="C4652" s="12" t="inlineStr">
        <is>
          <t>Modular / portable power</t>
        </is>
      </c>
      <c r="D4652" s="12" t="inlineStr">
        <is>
          <t>L7 GB-1.1 instrumentation: gas pressure, temperatures</t>
        </is>
      </c>
      <c r="E4652" s="12" t="inlineStr">
        <is>
          <t>GB-1.1</t>
        </is>
      </c>
      <c r="F4652" s="12" t="inlineStr">
        <is>
          <t>GB-1.1: modular gas genset 500 kW, 480 V (block GB-1, unit 1 of 5)</t>
        </is>
      </c>
      <c r="G4652" s="12" t="inlineStr">
        <is>
          <t>GBC-1</t>
        </is>
      </c>
      <c r="H4652" s="12" t="inlineStr">
        <is>
          <t xml:space="preserve">GBC-1: block GB-1 generator collector box, 480 V outdoor switchboard, </t>
        </is>
      </c>
      <c r="I4652" s="12" t="inlineStr">
        <is>
          <t>Instrumentation</t>
        </is>
      </c>
      <c r="J4652" s="12" t="inlineStr">
        <is>
          <t>Instrumentation ITC / PLTC, IS, #18 shielded pairs, blue jacket</t>
        </is>
      </c>
      <c r="K4652" s="12" t="inlineStr">
        <is>
          <t>ITC|4 pr|18</t>
        </is>
      </c>
      <c r="L4652" s="12" t="inlineStr">
        <is>
          <t>4 pr</t>
        </is>
      </c>
      <c r="M4652" s="12" t="inlineStr">
        <is>
          <t>18</t>
        </is>
      </c>
      <c r="N4652" s="12" t="n">
        <v>1</v>
      </c>
      <c r="O4652" s="12" t="n">
        <v>1</v>
      </c>
      <c r="P4652" s="12" t="n"/>
      <c r="Q4652" s="12" t="n"/>
      <c r="R4652" s="12" t="n"/>
      <c r="S4652" s="12" t="inlineStr">
        <is>
          <t>Surface</t>
        </is>
      </c>
      <c r="T4652" s="16" t="n">
        <v>44</v>
      </c>
      <c r="U4652" s="16" t="n">
        <v>28</v>
      </c>
      <c r="V4652" s="16">
        <f>ROUNDUP((T4652+U4652+2*'Read Me'!$B$13)*(1+'Read Me'!$B$12),-1)</f>
        <v/>
      </c>
      <c r="W4652" s="16">
        <f>V4652*N4652*O4652</f>
        <v/>
      </c>
      <c r="X4652" s="12">
        <f>IF(LEFT(I4652,2)="MV",2*N4652*IF(L4652="1/C",O4652,1),0)</f>
        <v/>
      </c>
      <c r="Y4652" s="12">
        <f>IF(OR(LEFT(K4652,4)="LVAX",LEFT(K4652,6)="MV15AX",LEFT(K4652,4)="CTAX",LEFT(K4652,2)="W|"),2*N4652*O4652,0)</f>
        <v/>
      </c>
      <c r="Z4652" s="12" t="inlineStr"/>
      <c r="AA4652" s="12">
        <f>N4652*O4652</f>
        <v/>
      </c>
    </row>
    <row r="4653">
      <c r="A4653" s="12" t="inlineStr">
        <is>
          <t>I-I-0104</t>
        </is>
      </c>
      <c r="B4653" s="12" t="inlineStr">
        <is>
          <t>I</t>
        </is>
      </c>
      <c r="C4653" s="12" t="inlineStr">
        <is>
          <t>Modular / portable power</t>
        </is>
      </c>
      <c r="D4653" s="12" t="inlineStr">
        <is>
          <t>L7 GB-1.2 instrumentation: gas pressure, temperatures</t>
        </is>
      </c>
      <c r="E4653" s="12" t="inlineStr">
        <is>
          <t>GB-1.2</t>
        </is>
      </c>
      <c r="F4653" s="12" t="inlineStr">
        <is>
          <t>GB-1.2: modular gas genset 500 kW, 480 V (block GB-1, unit 2 of 5)</t>
        </is>
      </c>
      <c r="G4653" s="12" t="inlineStr">
        <is>
          <t>GBC-1</t>
        </is>
      </c>
      <c r="H4653" s="12" t="inlineStr">
        <is>
          <t xml:space="preserve">GBC-1: block GB-1 generator collector box, 480 V outdoor switchboard, </t>
        </is>
      </c>
      <c r="I4653" s="12" t="inlineStr">
        <is>
          <t>Instrumentation</t>
        </is>
      </c>
      <c r="J4653" s="12" t="inlineStr">
        <is>
          <t>Instrumentation ITC / PLTC, IS, #18 shielded pairs, blue jacket</t>
        </is>
      </c>
      <c r="K4653" s="12" t="inlineStr">
        <is>
          <t>ITC|4 pr|18</t>
        </is>
      </c>
      <c r="L4653" s="12" t="inlineStr">
        <is>
          <t>4 pr</t>
        </is>
      </c>
      <c r="M4653" s="12" t="inlineStr">
        <is>
          <t>18</t>
        </is>
      </c>
      <c r="N4653" s="12" t="n">
        <v>1</v>
      </c>
      <c r="O4653" s="12" t="n">
        <v>1</v>
      </c>
      <c r="P4653" s="12" t="n"/>
      <c r="Q4653" s="12" t="n"/>
      <c r="R4653" s="12" t="n"/>
      <c r="S4653" s="12" t="inlineStr">
        <is>
          <t>Surface</t>
        </is>
      </c>
      <c r="T4653" s="16" t="n">
        <v>34</v>
      </c>
      <c r="U4653" s="16" t="n">
        <v>28</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I-I-0105</t>
        </is>
      </c>
      <c r="B4654" s="12" t="inlineStr">
        <is>
          <t>I</t>
        </is>
      </c>
      <c r="C4654" s="12" t="inlineStr">
        <is>
          <t>Modular / portable power</t>
        </is>
      </c>
      <c r="D4654" s="12" t="inlineStr">
        <is>
          <t>L7 GB-1.3 instrumentation: gas pressure, temperatures</t>
        </is>
      </c>
      <c r="E4654" s="12" t="inlineStr">
        <is>
          <t>GB-1.3</t>
        </is>
      </c>
      <c r="F4654" s="12" t="inlineStr">
        <is>
          <t>GB-1.3: modular gas genset 500 kW, 480 V (block GB-1, unit 3 of 5)</t>
        </is>
      </c>
      <c r="G4654" s="12" t="inlineStr">
        <is>
          <t>GBC-1</t>
        </is>
      </c>
      <c r="H4654" s="12" t="inlineStr">
        <is>
          <t xml:space="preserve">GBC-1: block GB-1 generator collector box, 480 V outdoor switchboard, </t>
        </is>
      </c>
      <c r="I4654" s="12" t="inlineStr">
        <is>
          <t>Instrumentation</t>
        </is>
      </c>
      <c r="J4654" s="12" t="inlineStr">
        <is>
          <t>Instrumentation ITC / PLTC, IS, #18 shielded pairs, blue jacket</t>
        </is>
      </c>
      <c r="K4654" s="12" t="inlineStr">
        <is>
          <t>ITC|4 pr|18</t>
        </is>
      </c>
      <c r="L4654" s="12" t="inlineStr">
        <is>
          <t>4 pr</t>
        </is>
      </c>
      <c r="M4654" s="12" t="inlineStr">
        <is>
          <t>18</t>
        </is>
      </c>
      <c r="N4654" s="12" t="n">
        <v>1</v>
      </c>
      <c r="O4654" s="12" t="n">
        <v>1</v>
      </c>
      <c r="P4654" s="12" t="n"/>
      <c r="Q4654" s="12" t="n"/>
      <c r="R4654" s="12" t="n"/>
      <c r="S4654" s="12" t="inlineStr">
        <is>
          <t>Surface</t>
        </is>
      </c>
      <c r="T4654" s="16" t="n">
        <v>24</v>
      </c>
      <c r="U4654" s="16" t="n">
        <v>28</v>
      </c>
      <c r="V4654" s="16">
        <f>ROUNDUP((T4654+U4654+2*'Read Me'!$B$13)*(1+'Read Me'!$B$12),-1)</f>
        <v/>
      </c>
      <c r="W4654" s="16">
        <f>V4654*N4654*O4654</f>
        <v/>
      </c>
      <c r="X4654" s="12">
        <f>IF(LEFT(I4654,2)="MV",2*N4654*IF(L4654="1/C",O4654,1),0)</f>
        <v/>
      </c>
      <c r="Y4654" s="12">
        <f>IF(OR(LEFT(K4654,4)="LVAX",LEFT(K4654,6)="MV15AX",LEFT(K4654,4)="CTAX",LEFT(K4654,2)="W|"),2*N4654*O4654,0)</f>
        <v/>
      </c>
      <c r="Z4654" s="12" t="inlineStr"/>
      <c r="AA4654" s="12">
        <f>N4654*O4654</f>
        <v/>
      </c>
    </row>
    <row r="4655">
      <c r="A4655" s="12" t="inlineStr">
        <is>
          <t>I-I-0106</t>
        </is>
      </c>
      <c r="B4655" s="12" t="inlineStr">
        <is>
          <t>I</t>
        </is>
      </c>
      <c r="C4655" s="12" t="inlineStr">
        <is>
          <t>Modular / portable power</t>
        </is>
      </c>
      <c r="D4655" s="12" t="inlineStr">
        <is>
          <t>L7 GB-1.4 instrumentation: gas pressure, temperatures</t>
        </is>
      </c>
      <c r="E4655" s="12" t="inlineStr">
        <is>
          <t>GB-1.4</t>
        </is>
      </c>
      <c r="F4655" s="12" t="inlineStr">
        <is>
          <t>GB-1.4: modular gas genset 500 kW, 480 V (block GB-1, unit 4 of 5)</t>
        </is>
      </c>
      <c r="G4655" s="12" t="inlineStr">
        <is>
          <t>GBC-1</t>
        </is>
      </c>
      <c r="H4655" s="12" t="inlineStr">
        <is>
          <t xml:space="preserve">GBC-1: block GB-1 generator collector box, 480 V outdoor switchboard, </t>
        </is>
      </c>
      <c r="I4655" s="12" t="inlineStr">
        <is>
          <t>Instrumentation</t>
        </is>
      </c>
      <c r="J4655" s="12" t="inlineStr">
        <is>
          <t>Instrumentation ITC / PLTC, IS, #18 shielded pairs, blue jacket</t>
        </is>
      </c>
      <c r="K4655" s="12" t="inlineStr">
        <is>
          <t>ITC|4 pr|18</t>
        </is>
      </c>
      <c r="L4655" s="12" t="inlineStr">
        <is>
          <t>4 pr</t>
        </is>
      </c>
      <c r="M4655" s="12" t="inlineStr">
        <is>
          <t>18</t>
        </is>
      </c>
      <c r="N4655" s="12" t="n">
        <v>1</v>
      </c>
      <c r="O4655" s="12" t="n">
        <v>1</v>
      </c>
      <c r="P4655" s="12" t="n"/>
      <c r="Q4655" s="12" t="n"/>
      <c r="R4655" s="12" t="n"/>
      <c r="S4655" s="12" t="inlineStr">
        <is>
          <t>Surface</t>
        </is>
      </c>
      <c r="T4655" s="16" t="n">
        <v>14</v>
      </c>
      <c r="U4655" s="16" t="n">
        <v>28</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I-I-0107</t>
        </is>
      </c>
      <c r="B4656" s="12" t="inlineStr">
        <is>
          <t>I</t>
        </is>
      </c>
      <c r="C4656" s="12" t="inlineStr">
        <is>
          <t>Modular / portable power</t>
        </is>
      </c>
      <c r="D4656" s="12" t="inlineStr">
        <is>
          <t>L7 GB-1.5 instrumentation: gas pressure, temperatures</t>
        </is>
      </c>
      <c r="E4656" s="12" t="inlineStr">
        <is>
          <t>GB-1.5</t>
        </is>
      </c>
      <c r="F4656" s="12" t="inlineStr">
        <is>
          <t>GB-1.5: modular gas genset 500 kW, 480 V (block GB-1, unit 5 of 5)</t>
        </is>
      </c>
      <c r="G4656" s="12" t="inlineStr">
        <is>
          <t>GBC-1</t>
        </is>
      </c>
      <c r="H4656" s="12" t="inlineStr">
        <is>
          <t xml:space="preserve">GBC-1: block GB-1 generator collector box, 480 V outdoor switchboard, </t>
        </is>
      </c>
      <c r="I4656" s="12" t="inlineStr">
        <is>
          <t>Instrumentation</t>
        </is>
      </c>
      <c r="J4656" s="12" t="inlineStr">
        <is>
          <t>Instrumentation ITC / PLTC, IS, #18 shielded pairs, blue jacket</t>
        </is>
      </c>
      <c r="K4656" s="12" t="inlineStr">
        <is>
          <t>ITC|4 pr|18</t>
        </is>
      </c>
      <c r="L4656" s="12" t="inlineStr">
        <is>
          <t>4 pr</t>
        </is>
      </c>
      <c r="M4656" s="12" t="inlineStr">
        <is>
          <t>18</t>
        </is>
      </c>
      <c r="N4656" s="12" t="n">
        <v>1</v>
      </c>
      <c r="O4656" s="12" t="n">
        <v>1</v>
      </c>
      <c r="P4656" s="12" t="n"/>
      <c r="Q4656" s="12" t="n"/>
      <c r="R4656" s="12" t="n"/>
      <c r="S4656" s="12" t="inlineStr">
        <is>
          <t>Riser</t>
        </is>
      </c>
      <c r="T4656" s="16" t="n">
        <v>2</v>
      </c>
      <c r="U4656" s="16" t="n">
        <v>28</v>
      </c>
      <c r="V4656" s="16">
        <f>ROUNDUP((T4656+U4656+2*'Read Me'!$B$13)*(1+'Read Me'!$B$12),-1)</f>
        <v/>
      </c>
      <c r="W4656" s="16">
        <f>V4656*N4656*O4656</f>
        <v/>
      </c>
      <c r="X4656" s="12">
        <f>IF(LEFT(I4656,2)="MV",2*N4656*IF(L4656="1/C",O4656,1),0)</f>
        <v/>
      </c>
      <c r="Y4656" s="12">
        <f>IF(OR(LEFT(K4656,4)="LVAX",LEFT(K4656,6)="MV15AX",LEFT(K4656,4)="CTAX",LEFT(K4656,2)="W|"),2*N4656*O4656,0)</f>
        <v/>
      </c>
      <c r="Z4656" s="12" t="inlineStr"/>
      <c r="AA4656" s="12">
        <f>N4656*O4656</f>
        <v/>
      </c>
    </row>
    <row r="4657">
      <c r="A4657" s="12" t="inlineStr">
        <is>
          <t>I-I-0108</t>
        </is>
      </c>
      <c r="B4657" s="12" t="inlineStr">
        <is>
          <t>I</t>
        </is>
      </c>
      <c r="C4657" s="12" t="inlineStr">
        <is>
          <t>Modular / portable power</t>
        </is>
      </c>
      <c r="D4657" s="12" t="inlineStr">
        <is>
          <t>L7 GB-2.1 instrumentation: gas pressure, temperatures</t>
        </is>
      </c>
      <c r="E4657" s="12" t="inlineStr">
        <is>
          <t>GB-2.1</t>
        </is>
      </c>
      <c r="F4657" s="12" t="inlineStr">
        <is>
          <t>GB-2.1: modular gas genset 500 kW, 480 V (block GB-2, unit 1 of 5)</t>
        </is>
      </c>
      <c r="G4657" s="12" t="inlineStr">
        <is>
          <t>GBC-2</t>
        </is>
      </c>
      <c r="H4657" s="12" t="inlineStr">
        <is>
          <t xml:space="preserve">GBC-2: block GB-2 generator collector box, 480 V outdoor switchboard, </t>
        </is>
      </c>
      <c r="I4657" s="12" t="inlineStr">
        <is>
          <t>Instrumentation</t>
        </is>
      </c>
      <c r="J4657" s="12" t="inlineStr">
        <is>
          <t>Instrumentation ITC / PLTC, IS, #18 shielded pairs, blue jacket</t>
        </is>
      </c>
      <c r="K4657" s="12" t="inlineStr">
        <is>
          <t>ITC|4 pr|18</t>
        </is>
      </c>
      <c r="L4657" s="12" t="inlineStr">
        <is>
          <t>4 pr</t>
        </is>
      </c>
      <c r="M4657" s="12" t="inlineStr">
        <is>
          <t>18</t>
        </is>
      </c>
      <c r="N4657" s="12" t="n">
        <v>1</v>
      </c>
      <c r="O4657" s="12" t="n">
        <v>1</v>
      </c>
      <c r="P4657" s="12" t="n"/>
      <c r="Q4657" s="12" t="n"/>
      <c r="R4657" s="12" t="n"/>
      <c r="S4657" s="12" t="inlineStr">
        <is>
          <t>Surface</t>
        </is>
      </c>
      <c r="T4657" s="16" t="n">
        <v>44</v>
      </c>
      <c r="U4657" s="16" t="n">
        <v>28</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I-I-0109</t>
        </is>
      </c>
      <c r="B4658" s="12" t="inlineStr">
        <is>
          <t>I</t>
        </is>
      </c>
      <c r="C4658" s="12" t="inlineStr">
        <is>
          <t>Modular / portable power</t>
        </is>
      </c>
      <c r="D4658" s="12" t="inlineStr">
        <is>
          <t>L7 GB-2.2 instrumentation: gas pressure, temperatures</t>
        </is>
      </c>
      <c r="E4658" s="12" t="inlineStr">
        <is>
          <t>GB-2.2</t>
        </is>
      </c>
      <c r="F4658" s="12" t="inlineStr">
        <is>
          <t>GB-2.2: modular gas genset 500 kW, 480 V (block GB-2, unit 2 of 5)</t>
        </is>
      </c>
      <c r="G4658" s="12" t="inlineStr">
        <is>
          <t>GBC-2</t>
        </is>
      </c>
      <c r="H4658" s="12" t="inlineStr">
        <is>
          <t xml:space="preserve">GBC-2: block GB-2 generator collector box, 480 V outdoor switchboard, </t>
        </is>
      </c>
      <c r="I4658" s="12" t="inlineStr">
        <is>
          <t>Instrumentation</t>
        </is>
      </c>
      <c r="J4658" s="12" t="inlineStr">
        <is>
          <t>Instrumentation ITC / PLTC, IS, #18 shielded pairs, blue jacket</t>
        </is>
      </c>
      <c r="K4658" s="12" t="inlineStr">
        <is>
          <t>ITC|4 pr|18</t>
        </is>
      </c>
      <c r="L4658" s="12" t="inlineStr">
        <is>
          <t>4 pr</t>
        </is>
      </c>
      <c r="M4658" s="12" t="inlineStr">
        <is>
          <t>18</t>
        </is>
      </c>
      <c r="N4658" s="12" t="n">
        <v>1</v>
      </c>
      <c r="O4658" s="12" t="n">
        <v>1</v>
      </c>
      <c r="P4658" s="12" t="n"/>
      <c r="Q4658" s="12" t="n"/>
      <c r="R4658" s="12" t="n"/>
      <c r="S4658" s="12" t="inlineStr">
        <is>
          <t>Surface</t>
        </is>
      </c>
      <c r="T4658" s="16" t="n">
        <v>34</v>
      </c>
      <c r="U4658" s="16" t="n">
        <v>28</v>
      </c>
      <c r="V4658" s="16">
        <f>ROUNDUP((T4658+U4658+2*'Read Me'!$B$13)*(1+'Read Me'!$B$12),-1)</f>
        <v/>
      </c>
      <c r="W4658" s="16">
        <f>V4658*N4658*O4658</f>
        <v/>
      </c>
      <c r="X4658" s="12">
        <f>IF(LEFT(I4658,2)="MV",2*N4658*IF(L4658="1/C",O4658,1),0)</f>
        <v/>
      </c>
      <c r="Y4658" s="12">
        <f>IF(OR(LEFT(K4658,4)="LVAX",LEFT(K4658,6)="MV15AX",LEFT(K4658,4)="CTAX",LEFT(K4658,2)="W|"),2*N4658*O4658,0)</f>
        <v/>
      </c>
      <c r="Z4658" s="12" t="inlineStr"/>
      <c r="AA4658" s="12">
        <f>N4658*O4658</f>
        <v/>
      </c>
    </row>
    <row r="4659">
      <c r="A4659" s="12" t="inlineStr">
        <is>
          <t>I-I-0110</t>
        </is>
      </c>
      <c r="B4659" s="12" t="inlineStr">
        <is>
          <t>I</t>
        </is>
      </c>
      <c r="C4659" s="12" t="inlineStr">
        <is>
          <t>Modular / portable power</t>
        </is>
      </c>
      <c r="D4659" s="12" t="inlineStr">
        <is>
          <t>L7 GB-2.3 instrumentation: gas pressure, temperatures</t>
        </is>
      </c>
      <c r="E4659" s="12" t="inlineStr">
        <is>
          <t>GB-2.3</t>
        </is>
      </c>
      <c r="F4659" s="12" t="inlineStr">
        <is>
          <t>GB-2.3: modular gas genset 500 kW, 480 V (block GB-2, unit 3 of 5)</t>
        </is>
      </c>
      <c r="G4659" s="12" t="inlineStr">
        <is>
          <t>GBC-2</t>
        </is>
      </c>
      <c r="H4659" s="12" t="inlineStr">
        <is>
          <t xml:space="preserve">GBC-2: block GB-2 generator collector box, 480 V outdoor switchboard, </t>
        </is>
      </c>
      <c r="I4659" s="12" t="inlineStr">
        <is>
          <t>Instrumentation</t>
        </is>
      </c>
      <c r="J4659" s="12" t="inlineStr">
        <is>
          <t>Instrumentation ITC / PLTC, IS, #18 shielded pairs, blue jacket</t>
        </is>
      </c>
      <c r="K4659" s="12" t="inlineStr">
        <is>
          <t>ITC|4 pr|18</t>
        </is>
      </c>
      <c r="L4659" s="12" t="inlineStr">
        <is>
          <t>4 pr</t>
        </is>
      </c>
      <c r="M4659" s="12" t="inlineStr">
        <is>
          <t>18</t>
        </is>
      </c>
      <c r="N4659" s="12" t="n">
        <v>1</v>
      </c>
      <c r="O4659" s="12" t="n">
        <v>1</v>
      </c>
      <c r="P4659" s="12" t="n"/>
      <c r="Q4659" s="12" t="n"/>
      <c r="R4659" s="12" t="n"/>
      <c r="S4659" s="12" t="inlineStr">
        <is>
          <t>Surface</t>
        </is>
      </c>
      <c r="T4659" s="16" t="n">
        <v>24</v>
      </c>
      <c r="U4659" s="16" t="n">
        <v>28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I-I-0111</t>
        </is>
      </c>
      <c r="B4660" s="12" t="inlineStr">
        <is>
          <t>I</t>
        </is>
      </c>
      <c r="C4660" s="12" t="inlineStr">
        <is>
          <t>Modular / portable power</t>
        </is>
      </c>
      <c r="D4660" s="12" t="inlineStr">
        <is>
          <t>L7 GB-2.4 instrumentation: gas pressure, temperatures</t>
        </is>
      </c>
      <c r="E4660" s="12" t="inlineStr">
        <is>
          <t>GB-2.4</t>
        </is>
      </c>
      <c r="F4660" s="12" t="inlineStr">
        <is>
          <t>GB-2.4: modular gas genset 500 kW, 480 V (block GB-2, unit 4 of 5)</t>
        </is>
      </c>
      <c r="G4660" s="12" t="inlineStr">
        <is>
          <t>GBC-2</t>
        </is>
      </c>
      <c r="H4660" s="12" t="inlineStr">
        <is>
          <t xml:space="preserve">GBC-2: block GB-2 generator collector box, 480 V outdoor switchboard, </t>
        </is>
      </c>
      <c r="I4660" s="12" t="inlineStr">
        <is>
          <t>Instrumentation</t>
        </is>
      </c>
      <c r="J4660" s="12" t="inlineStr">
        <is>
          <t>Instrumentation ITC / PLTC, IS, #18 shielded pairs, blue jacket</t>
        </is>
      </c>
      <c r="K4660" s="12" t="inlineStr">
        <is>
          <t>ITC|4 pr|18</t>
        </is>
      </c>
      <c r="L4660" s="12" t="inlineStr">
        <is>
          <t>4 pr</t>
        </is>
      </c>
      <c r="M4660" s="12" t="inlineStr">
        <is>
          <t>18</t>
        </is>
      </c>
      <c r="N4660" s="12" t="n">
        <v>1</v>
      </c>
      <c r="O4660" s="12" t="n">
        <v>1</v>
      </c>
      <c r="P4660" s="12" t="n"/>
      <c r="Q4660" s="12" t="n"/>
      <c r="R4660" s="12" t="n"/>
      <c r="S4660" s="12" t="inlineStr">
        <is>
          <t>Surface</t>
        </is>
      </c>
      <c r="T4660" s="16" t="n">
        <v>14</v>
      </c>
      <c r="U4660" s="16" t="n">
        <v>28</v>
      </c>
      <c r="V4660" s="16">
        <f>ROUNDUP((T4660+U4660+2*'Read Me'!$B$13)*(1+'Read Me'!$B$12),-1)</f>
        <v/>
      </c>
      <c r="W4660" s="16">
        <f>V4660*N4660*O4660</f>
        <v/>
      </c>
      <c r="X4660" s="12">
        <f>IF(LEFT(I4660,2)="MV",2*N4660*IF(L4660="1/C",O4660,1),0)</f>
        <v/>
      </c>
      <c r="Y4660" s="12">
        <f>IF(OR(LEFT(K4660,4)="LVAX",LEFT(K4660,6)="MV15AX",LEFT(K4660,4)="CTAX",LEFT(K4660,2)="W|"),2*N4660*O4660,0)</f>
        <v/>
      </c>
      <c r="Z4660" s="12" t="inlineStr"/>
      <c r="AA4660" s="12">
        <f>N4660*O4660</f>
        <v/>
      </c>
    </row>
    <row r="4661">
      <c r="A4661" s="12" t="inlineStr">
        <is>
          <t>I-I-0112</t>
        </is>
      </c>
      <c r="B4661" s="12" t="inlineStr">
        <is>
          <t>I</t>
        </is>
      </c>
      <c r="C4661" s="12" t="inlineStr">
        <is>
          <t>Modular / portable power</t>
        </is>
      </c>
      <c r="D4661" s="12" t="inlineStr">
        <is>
          <t>L7 GB-2.5 instrumentation: gas pressure, temperatures</t>
        </is>
      </c>
      <c r="E4661" s="12" t="inlineStr">
        <is>
          <t>GB-2.5</t>
        </is>
      </c>
      <c r="F4661" s="12" t="inlineStr">
        <is>
          <t>GB-2.5: modular gas genset 500 kW, 480 V (block GB-2, unit 5 of 5)</t>
        </is>
      </c>
      <c r="G4661" s="12" t="inlineStr">
        <is>
          <t>GBC-2</t>
        </is>
      </c>
      <c r="H4661" s="12" t="inlineStr">
        <is>
          <t xml:space="preserve">GBC-2: block GB-2 generator collector box, 480 V outdoor switchboard, </t>
        </is>
      </c>
      <c r="I4661" s="12" t="inlineStr">
        <is>
          <t>Instrumentation</t>
        </is>
      </c>
      <c r="J4661" s="12" t="inlineStr">
        <is>
          <t>Instrumentation ITC / PLTC, IS, #18 shielded pairs, blue jacket</t>
        </is>
      </c>
      <c r="K4661" s="12" t="inlineStr">
        <is>
          <t>ITC|4 pr|18</t>
        </is>
      </c>
      <c r="L4661" s="12" t="inlineStr">
        <is>
          <t>4 pr</t>
        </is>
      </c>
      <c r="M4661" s="12" t="inlineStr">
        <is>
          <t>18</t>
        </is>
      </c>
      <c r="N4661" s="12" t="n">
        <v>1</v>
      </c>
      <c r="O4661" s="12" t="n">
        <v>1</v>
      </c>
      <c r="P4661" s="12" t="n"/>
      <c r="Q4661" s="12" t="n"/>
      <c r="R4661" s="12" t="n"/>
      <c r="S4661" s="12" t="inlineStr">
        <is>
          <t>Riser</t>
        </is>
      </c>
      <c r="T4661" s="16" t="n">
        <v>2</v>
      </c>
      <c r="U4661" s="16" t="n">
        <v>28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I-I-0113</t>
        </is>
      </c>
      <c r="B4662" s="12" t="inlineStr">
        <is>
          <t>I</t>
        </is>
      </c>
      <c r="C4662" s="12" t="inlineStr">
        <is>
          <t>Modular / portable power</t>
        </is>
      </c>
      <c r="D4662" s="12" t="inlineStr">
        <is>
          <t>L7 GB-3.1 instrumentation: gas pressure, temperatures</t>
        </is>
      </c>
      <c r="E4662" s="12" t="inlineStr">
        <is>
          <t>GB-3.1</t>
        </is>
      </c>
      <c r="F4662" s="12" t="inlineStr">
        <is>
          <t>GB-3.1: modular gas genset 500 kW, 480 V (block GB-3, unit 1 of 5)</t>
        </is>
      </c>
      <c r="G4662" s="12" t="inlineStr">
        <is>
          <t>GBC-3</t>
        </is>
      </c>
      <c r="H4662" s="12" t="inlineStr">
        <is>
          <t xml:space="preserve">GBC-3: block GB-3 generator collector box, 480 V outdoor switchboard, </t>
        </is>
      </c>
      <c r="I4662" s="12" t="inlineStr">
        <is>
          <t>Instrumentation</t>
        </is>
      </c>
      <c r="J4662" s="12" t="inlineStr">
        <is>
          <t>Instrumentation ITC / PLTC, IS, #18 shielded pairs, blue jacket</t>
        </is>
      </c>
      <c r="K4662" s="12" t="inlineStr">
        <is>
          <t>ITC|4 pr|18</t>
        </is>
      </c>
      <c r="L4662" s="12" t="inlineStr">
        <is>
          <t>4 pr</t>
        </is>
      </c>
      <c r="M4662" s="12" t="inlineStr">
        <is>
          <t>18</t>
        </is>
      </c>
      <c r="N4662" s="12" t="n">
        <v>1</v>
      </c>
      <c r="O4662" s="12" t="n">
        <v>1</v>
      </c>
      <c r="P4662" s="12" t="n"/>
      <c r="Q4662" s="12" t="n"/>
      <c r="R4662" s="12" t="n"/>
      <c r="S4662" s="12" t="inlineStr">
        <is>
          <t>Surface</t>
        </is>
      </c>
      <c r="T4662" s="16" t="n">
        <v>44</v>
      </c>
      <c r="U4662" s="16" t="n">
        <v>28</v>
      </c>
      <c r="V4662" s="16">
        <f>ROUNDUP((T4662+U4662+2*'Read Me'!$B$13)*(1+'Read Me'!$B$12),-1)</f>
        <v/>
      </c>
      <c r="W4662" s="16">
        <f>V4662*N4662*O4662</f>
        <v/>
      </c>
      <c r="X4662" s="12">
        <f>IF(LEFT(I4662,2)="MV",2*N4662*IF(L4662="1/C",O4662,1),0)</f>
        <v/>
      </c>
      <c r="Y4662" s="12">
        <f>IF(OR(LEFT(K4662,4)="LVAX",LEFT(K4662,6)="MV15AX",LEFT(K4662,4)="CTAX",LEFT(K4662,2)="W|"),2*N4662*O4662,0)</f>
        <v/>
      </c>
      <c r="Z4662" s="12" t="inlineStr"/>
      <c r="AA4662" s="12">
        <f>N4662*O4662</f>
        <v/>
      </c>
    </row>
    <row r="4663">
      <c r="A4663" s="12" t="inlineStr">
        <is>
          <t>I-I-0114</t>
        </is>
      </c>
      <c r="B4663" s="12" t="inlineStr">
        <is>
          <t>I</t>
        </is>
      </c>
      <c r="C4663" s="12" t="inlineStr">
        <is>
          <t>Modular / portable power</t>
        </is>
      </c>
      <c r="D4663" s="12" t="inlineStr">
        <is>
          <t>L7 GB-3.2 instrumentation: gas pressure, temperatures</t>
        </is>
      </c>
      <c r="E4663" s="12" t="inlineStr">
        <is>
          <t>GB-3.2</t>
        </is>
      </c>
      <c r="F4663" s="12" t="inlineStr">
        <is>
          <t>GB-3.2: modular gas genset 500 kW, 480 V (block GB-3, unit 2 of 5)</t>
        </is>
      </c>
      <c r="G4663" s="12" t="inlineStr">
        <is>
          <t>GBC-3</t>
        </is>
      </c>
      <c r="H4663" s="12" t="inlineStr">
        <is>
          <t xml:space="preserve">GBC-3: block GB-3 generator collector box, 480 V outdoor switchboard, </t>
        </is>
      </c>
      <c r="I4663" s="12" t="inlineStr">
        <is>
          <t>Instrumentation</t>
        </is>
      </c>
      <c r="J4663" s="12" t="inlineStr">
        <is>
          <t>Instrumentation ITC / PLTC, IS, #18 shielded pairs, blue jacket</t>
        </is>
      </c>
      <c r="K4663" s="12" t="inlineStr">
        <is>
          <t>ITC|4 pr|18</t>
        </is>
      </c>
      <c r="L4663" s="12" t="inlineStr">
        <is>
          <t>4 pr</t>
        </is>
      </c>
      <c r="M4663" s="12" t="inlineStr">
        <is>
          <t>18</t>
        </is>
      </c>
      <c r="N4663" s="12" t="n">
        <v>1</v>
      </c>
      <c r="O4663" s="12" t="n">
        <v>1</v>
      </c>
      <c r="P4663" s="12" t="n"/>
      <c r="Q4663" s="12" t="n"/>
      <c r="R4663" s="12" t="n"/>
      <c r="S4663" s="12" t="inlineStr">
        <is>
          <t>Surface</t>
        </is>
      </c>
      <c r="T4663" s="16" t="n">
        <v>34</v>
      </c>
      <c r="U4663" s="16" t="n">
        <v>28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I-I-0115</t>
        </is>
      </c>
      <c r="B4664" s="12" t="inlineStr">
        <is>
          <t>I</t>
        </is>
      </c>
      <c r="C4664" s="12" t="inlineStr">
        <is>
          <t>Modular / portable power</t>
        </is>
      </c>
      <c r="D4664" s="12" t="inlineStr">
        <is>
          <t>L7 GB-3.3 instrumentation: gas pressure, temperatures</t>
        </is>
      </c>
      <c r="E4664" s="12" t="inlineStr">
        <is>
          <t>GB-3.3</t>
        </is>
      </c>
      <c r="F4664" s="12" t="inlineStr">
        <is>
          <t>GB-3.3: modular gas genset 500 kW, 480 V (block GB-3, unit 3 of 5)</t>
        </is>
      </c>
      <c r="G4664" s="12" t="inlineStr">
        <is>
          <t>GBC-3</t>
        </is>
      </c>
      <c r="H4664" s="12" t="inlineStr">
        <is>
          <t xml:space="preserve">GBC-3: block GB-3 generator collector box, 480 V outdoor switchboard, </t>
        </is>
      </c>
      <c r="I4664" s="12" t="inlineStr">
        <is>
          <t>Instrumentation</t>
        </is>
      </c>
      <c r="J4664" s="12" t="inlineStr">
        <is>
          <t>Instrumentation ITC / PLTC, IS, #18 shielded pairs, blue jacket</t>
        </is>
      </c>
      <c r="K4664" s="12" t="inlineStr">
        <is>
          <t>ITC|4 pr|18</t>
        </is>
      </c>
      <c r="L4664" s="12" t="inlineStr">
        <is>
          <t>4 pr</t>
        </is>
      </c>
      <c r="M4664" s="12" t="inlineStr">
        <is>
          <t>18</t>
        </is>
      </c>
      <c r="N4664" s="12" t="n">
        <v>1</v>
      </c>
      <c r="O4664" s="12" t="n">
        <v>1</v>
      </c>
      <c r="P4664" s="12" t="n"/>
      <c r="Q4664" s="12" t="n"/>
      <c r="R4664" s="12" t="n"/>
      <c r="S4664" s="12" t="inlineStr">
        <is>
          <t>Surface</t>
        </is>
      </c>
      <c r="T4664" s="16" t="n">
        <v>24</v>
      </c>
      <c r="U4664" s="16" t="n">
        <v>28</v>
      </c>
      <c r="V4664" s="16">
        <f>ROUNDUP((T4664+U4664+2*'Read Me'!$B$13)*(1+'Read Me'!$B$12),-1)</f>
        <v/>
      </c>
      <c r="W4664" s="16">
        <f>V4664*N4664*O4664</f>
        <v/>
      </c>
      <c r="X4664" s="12">
        <f>IF(LEFT(I4664,2)="MV",2*N4664*IF(L4664="1/C",O4664,1),0)</f>
        <v/>
      </c>
      <c r="Y4664" s="12">
        <f>IF(OR(LEFT(K4664,4)="LVAX",LEFT(K4664,6)="MV15AX",LEFT(K4664,4)="CTAX",LEFT(K4664,2)="W|"),2*N4664*O4664,0)</f>
        <v/>
      </c>
      <c r="Z4664" s="12" t="inlineStr"/>
      <c r="AA4664" s="12">
        <f>N4664*O4664</f>
        <v/>
      </c>
    </row>
    <row r="4665">
      <c r="A4665" s="12" t="inlineStr">
        <is>
          <t>I-I-0116</t>
        </is>
      </c>
      <c r="B4665" s="12" t="inlineStr">
        <is>
          <t>I</t>
        </is>
      </c>
      <c r="C4665" s="12" t="inlineStr">
        <is>
          <t>Modular / portable power</t>
        </is>
      </c>
      <c r="D4665" s="12" t="inlineStr">
        <is>
          <t>L7 GB-3.4 instrumentation: gas pressure, temperatures</t>
        </is>
      </c>
      <c r="E4665" s="12" t="inlineStr">
        <is>
          <t>GB-3.4</t>
        </is>
      </c>
      <c r="F4665" s="12" t="inlineStr">
        <is>
          <t>GB-3.4: modular gas genset 500 kW, 480 V (block GB-3, unit 4 of 5)</t>
        </is>
      </c>
      <c r="G4665" s="12" t="inlineStr">
        <is>
          <t>GBC-3</t>
        </is>
      </c>
      <c r="H4665" s="12" t="inlineStr">
        <is>
          <t xml:space="preserve">GBC-3: block GB-3 generator collector box, 480 V outdoor switchboard, </t>
        </is>
      </c>
      <c r="I4665" s="12" t="inlineStr">
        <is>
          <t>Instrumentation</t>
        </is>
      </c>
      <c r="J4665" s="12" t="inlineStr">
        <is>
          <t>Instrumentation ITC / PLTC, IS, #18 shielded pairs, blue jacket</t>
        </is>
      </c>
      <c r="K4665" s="12" t="inlineStr">
        <is>
          <t>ITC|4 pr|18</t>
        </is>
      </c>
      <c r="L4665" s="12" t="inlineStr">
        <is>
          <t>4 pr</t>
        </is>
      </c>
      <c r="M4665" s="12" t="inlineStr">
        <is>
          <t>18</t>
        </is>
      </c>
      <c r="N4665" s="12" t="n">
        <v>1</v>
      </c>
      <c r="O4665" s="12" t="n">
        <v>1</v>
      </c>
      <c r="P4665" s="12" t="n"/>
      <c r="Q4665" s="12" t="n"/>
      <c r="R4665" s="12" t="n"/>
      <c r="S4665" s="12" t="inlineStr">
        <is>
          <t>Surface</t>
        </is>
      </c>
      <c r="T4665" s="16" t="n">
        <v>14</v>
      </c>
      <c r="U4665" s="16" t="n">
        <v>28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I-I-0117</t>
        </is>
      </c>
      <c r="B4666" s="12" t="inlineStr">
        <is>
          <t>I</t>
        </is>
      </c>
      <c r="C4666" s="12" t="inlineStr">
        <is>
          <t>Modular / portable power</t>
        </is>
      </c>
      <c r="D4666" s="12" t="inlineStr">
        <is>
          <t>L7 GB-3.5 instrumentation: gas pressure, temperatures</t>
        </is>
      </c>
      <c r="E4666" s="12" t="inlineStr">
        <is>
          <t>GB-3.5</t>
        </is>
      </c>
      <c r="F4666" s="12" t="inlineStr">
        <is>
          <t>GB-3.5: modular gas genset 500 kW, 480 V (block GB-3, unit 5 of 5)</t>
        </is>
      </c>
      <c r="G4666" s="12" t="inlineStr">
        <is>
          <t>GBC-3</t>
        </is>
      </c>
      <c r="H4666" s="12" t="inlineStr">
        <is>
          <t xml:space="preserve">GBC-3: block GB-3 generator collector box, 480 V outdoor switchboard, </t>
        </is>
      </c>
      <c r="I4666" s="12" t="inlineStr">
        <is>
          <t>Instrumentation</t>
        </is>
      </c>
      <c r="J4666" s="12" t="inlineStr">
        <is>
          <t>Instrumentation ITC / PLTC, IS, #18 shielded pairs, blue jacket</t>
        </is>
      </c>
      <c r="K4666" s="12" t="inlineStr">
        <is>
          <t>ITC|4 pr|18</t>
        </is>
      </c>
      <c r="L4666" s="12" t="inlineStr">
        <is>
          <t>4 pr</t>
        </is>
      </c>
      <c r="M4666" s="12" t="inlineStr">
        <is>
          <t>18</t>
        </is>
      </c>
      <c r="N4666" s="12" t="n">
        <v>1</v>
      </c>
      <c r="O4666" s="12" t="n">
        <v>1</v>
      </c>
      <c r="P4666" s="12" t="n"/>
      <c r="Q4666" s="12" t="n"/>
      <c r="R4666" s="12" t="n"/>
      <c r="S4666" s="12" t="inlineStr">
        <is>
          <t>Riser</t>
        </is>
      </c>
      <c r="T4666" s="16" t="n">
        <v>2</v>
      </c>
      <c r="U4666" s="16" t="n">
        <v>28</v>
      </c>
      <c r="V4666" s="16">
        <f>ROUNDUP((T4666+U4666+2*'Read Me'!$B$13)*(1+'Read Me'!$B$12),-1)</f>
        <v/>
      </c>
      <c r="W4666" s="16">
        <f>V4666*N4666*O4666</f>
        <v/>
      </c>
      <c r="X4666" s="12">
        <f>IF(LEFT(I4666,2)="MV",2*N4666*IF(L4666="1/C",O4666,1),0)</f>
        <v/>
      </c>
      <c r="Y4666" s="12">
        <f>IF(OR(LEFT(K4666,4)="LVAX",LEFT(K4666,6)="MV15AX",LEFT(K4666,4)="CTAX",LEFT(K4666,2)="W|"),2*N4666*O4666,0)</f>
        <v/>
      </c>
      <c r="Z4666" s="12" t="inlineStr"/>
      <c r="AA4666" s="12">
        <f>N4666*O4666</f>
        <v/>
      </c>
    </row>
    <row r="4667">
      <c r="A4667" s="12" t="inlineStr">
        <is>
          <t>I-I-0118</t>
        </is>
      </c>
      <c r="B4667" s="12" t="inlineStr">
        <is>
          <t>I</t>
        </is>
      </c>
      <c r="C4667" s="12" t="inlineStr">
        <is>
          <t>Modular / portable power</t>
        </is>
      </c>
      <c r="D4667" s="12" t="inlineStr">
        <is>
          <t>L7 GB-4.1 instrumentation: gas pressure, temperatures</t>
        </is>
      </c>
      <c r="E4667" s="12" t="inlineStr">
        <is>
          <t>GB-4.1</t>
        </is>
      </c>
      <c r="F4667" s="12" t="inlineStr">
        <is>
          <t>GB-4.1: modular gas genset 500 kW, 480 V (block GB-4, unit 1 of 5)</t>
        </is>
      </c>
      <c r="G4667" s="12" t="inlineStr">
        <is>
          <t>GBC-4</t>
        </is>
      </c>
      <c r="H4667" s="12" t="inlineStr">
        <is>
          <t xml:space="preserve">GBC-4: block GB-4 generator collector box, 480 V outdoor switchboard, </t>
        </is>
      </c>
      <c r="I4667" s="12" t="inlineStr">
        <is>
          <t>Instrumentation</t>
        </is>
      </c>
      <c r="J4667" s="12" t="inlineStr">
        <is>
          <t>Instrumentation ITC / PLTC, IS, #18 shielded pairs, blue jacket</t>
        </is>
      </c>
      <c r="K4667" s="12" t="inlineStr">
        <is>
          <t>ITC|4 pr|18</t>
        </is>
      </c>
      <c r="L4667" s="12" t="inlineStr">
        <is>
          <t>4 pr</t>
        </is>
      </c>
      <c r="M4667" s="12" t="inlineStr">
        <is>
          <t>18</t>
        </is>
      </c>
      <c r="N4667" s="12" t="n">
        <v>1</v>
      </c>
      <c r="O4667" s="12" t="n">
        <v>1</v>
      </c>
      <c r="P4667" s="12" t="n"/>
      <c r="Q4667" s="12" t="n"/>
      <c r="R4667" s="12" t="n"/>
      <c r="S4667" s="12" t="inlineStr">
        <is>
          <t>Surface</t>
        </is>
      </c>
      <c r="T4667" s="16" t="n">
        <v>42</v>
      </c>
      <c r="U4667" s="16" t="n">
        <v>28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I-I-0119</t>
        </is>
      </c>
      <c r="B4668" s="12" t="inlineStr">
        <is>
          <t>I</t>
        </is>
      </c>
      <c r="C4668" s="12" t="inlineStr">
        <is>
          <t>Modular / portable power</t>
        </is>
      </c>
      <c r="D4668" s="12" t="inlineStr">
        <is>
          <t>L7 GB-4.2 instrumentation: gas pressure, temperatures</t>
        </is>
      </c>
      <c r="E4668" s="12" t="inlineStr">
        <is>
          <t>GB-4.2</t>
        </is>
      </c>
      <c r="F4668" s="12" t="inlineStr">
        <is>
          <t>GB-4.2: modular gas genset 500 kW, 480 V (block GB-4, unit 2 of 5)</t>
        </is>
      </c>
      <c r="G4668" s="12" t="inlineStr">
        <is>
          <t>GBC-4</t>
        </is>
      </c>
      <c r="H4668" s="12" t="inlineStr">
        <is>
          <t xml:space="preserve">GBC-4: block GB-4 generator collector box, 480 V outdoor switchboard, </t>
        </is>
      </c>
      <c r="I4668" s="12" t="inlineStr">
        <is>
          <t>Instrumentation</t>
        </is>
      </c>
      <c r="J4668" s="12" t="inlineStr">
        <is>
          <t>Instrumentation ITC / PLTC, IS, #18 shielded pairs, blue jacket</t>
        </is>
      </c>
      <c r="K4668" s="12" t="inlineStr">
        <is>
          <t>ITC|4 pr|18</t>
        </is>
      </c>
      <c r="L4668" s="12" t="inlineStr">
        <is>
          <t>4 pr</t>
        </is>
      </c>
      <c r="M4668" s="12" t="inlineStr">
        <is>
          <t>18</t>
        </is>
      </c>
      <c r="N4668" s="12" t="n">
        <v>1</v>
      </c>
      <c r="O4668" s="12" t="n">
        <v>1</v>
      </c>
      <c r="P4668" s="12" t="n"/>
      <c r="Q4668" s="12" t="n"/>
      <c r="R4668" s="12" t="n"/>
      <c r="S4668" s="12" t="inlineStr">
        <is>
          <t>Surface</t>
        </is>
      </c>
      <c r="T4668" s="16" t="n">
        <v>34</v>
      </c>
      <c r="U4668" s="16" t="n">
        <v>28</v>
      </c>
      <c r="V4668" s="16">
        <f>ROUNDUP((T4668+U4668+2*'Read Me'!$B$13)*(1+'Read Me'!$B$12),-1)</f>
        <v/>
      </c>
      <c r="W4668" s="16">
        <f>V4668*N4668*O4668</f>
        <v/>
      </c>
      <c r="X4668" s="12">
        <f>IF(LEFT(I4668,2)="MV",2*N4668*IF(L4668="1/C",O4668,1),0)</f>
        <v/>
      </c>
      <c r="Y4668" s="12">
        <f>IF(OR(LEFT(K4668,4)="LVAX",LEFT(K4668,6)="MV15AX",LEFT(K4668,4)="CTAX",LEFT(K4668,2)="W|"),2*N4668*O4668,0)</f>
        <v/>
      </c>
      <c r="Z4668" s="12" t="inlineStr"/>
      <c r="AA4668" s="12">
        <f>N4668*O4668</f>
        <v/>
      </c>
    </row>
    <row r="4669">
      <c r="A4669" s="12" t="inlineStr">
        <is>
          <t>I-I-0120</t>
        </is>
      </c>
      <c r="B4669" s="12" t="inlineStr">
        <is>
          <t>I</t>
        </is>
      </c>
      <c r="C4669" s="12" t="inlineStr">
        <is>
          <t>Modular / portable power</t>
        </is>
      </c>
      <c r="D4669" s="12" t="inlineStr">
        <is>
          <t>L7 GB-4.3 instrumentation: gas pressure, temperatures</t>
        </is>
      </c>
      <c r="E4669" s="12" t="inlineStr">
        <is>
          <t>GB-4.3</t>
        </is>
      </c>
      <c r="F4669" s="12" t="inlineStr">
        <is>
          <t>GB-4.3: modular gas genset 500 kW, 480 V (block GB-4, unit 3 of 5)</t>
        </is>
      </c>
      <c r="G4669" s="12" t="inlineStr">
        <is>
          <t>GBC-4</t>
        </is>
      </c>
      <c r="H4669" s="12" t="inlineStr">
        <is>
          <t xml:space="preserve">GBC-4: block GB-4 generator collector box, 480 V outdoor switchboard, </t>
        </is>
      </c>
      <c r="I4669" s="12" t="inlineStr">
        <is>
          <t>Instrumentation</t>
        </is>
      </c>
      <c r="J4669" s="12" t="inlineStr">
        <is>
          <t>Instrumentation ITC / PLTC, IS, #18 shielded pairs, blue jacket</t>
        </is>
      </c>
      <c r="K4669" s="12" t="inlineStr">
        <is>
          <t>ITC|4 pr|18</t>
        </is>
      </c>
      <c r="L4669" s="12" t="inlineStr">
        <is>
          <t>4 pr</t>
        </is>
      </c>
      <c r="M4669" s="12" t="inlineStr">
        <is>
          <t>18</t>
        </is>
      </c>
      <c r="N4669" s="12" t="n">
        <v>1</v>
      </c>
      <c r="O4669" s="12" t="n">
        <v>1</v>
      </c>
      <c r="P4669" s="12" t="n"/>
      <c r="Q4669" s="12" t="n"/>
      <c r="R4669" s="12" t="n"/>
      <c r="S4669" s="12" t="inlineStr">
        <is>
          <t>Surface</t>
        </is>
      </c>
      <c r="T4669" s="16" t="n">
        <v>24</v>
      </c>
      <c r="U4669" s="16" t="n">
        <v>28</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I-I-0121</t>
        </is>
      </c>
      <c r="B4670" s="12" t="inlineStr">
        <is>
          <t>I</t>
        </is>
      </c>
      <c r="C4670" s="12" t="inlineStr">
        <is>
          <t>Modular / portable power</t>
        </is>
      </c>
      <c r="D4670" s="12" t="inlineStr">
        <is>
          <t>L7 GB-4.4 instrumentation: gas pressure, temperatures</t>
        </is>
      </c>
      <c r="E4670" s="12" t="inlineStr">
        <is>
          <t>GB-4.4</t>
        </is>
      </c>
      <c r="F4670" s="12" t="inlineStr">
        <is>
          <t>GB-4.4: modular gas genset 500 kW, 480 V (block GB-4, unit 4 of 5)</t>
        </is>
      </c>
      <c r="G4670" s="12" t="inlineStr">
        <is>
          <t>GBC-4</t>
        </is>
      </c>
      <c r="H4670" s="12" t="inlineStr">
        <is>
          <t xml:space="preserve">GBC-4: block GB-4 generator collector box, 480 V outdoor switchboard, </t>
        </is>
      </c>
      <c r="I4670" s="12" t="inlineStr">
        <is>
          <t>Instrumentation</t>
        </is>
      </c>
      <c r="J4670" s="12" t="inlineStr">
        <is>
          <t>Instrumentation ITC / PLTC, IS, #18 shielded pairs, blue jacket</t>
        </is>
      </c>
      <c r="K4670" s="12" t="inlineStr">
        <is>
          <t>ITC|4 pr|18</t>
        </is>
      </c>
      <c r="L4670" s="12" t="inlineStr">
        <is>
          <t>4 pr</t>
        </is>
      </c>
      <c r="M4670" s="12" t="inlineStr">
        <is>
          <t>18</t>
        </is>
      </c>
      <c r="N4670" s="12" t="n">
        <v>1</v>
      </c>
      <c r="O4670" s="12" t="n">
        <v>1</v>
      </c>
      <c r="P4670" s="12" t="n"/>
      <c r="Q4670" s="12" t="n"/>
      <c r="R4670" s="12" t="n"/>
      <c r="S4670" s="12" t="inlineStr">
        <is>
          <t>Surface</t>
        </is>
      </c>
      <c r="T4670" s="16" t="n">
        <v>14</v>
      </c>
      <c r="U4670" s="16" t="n">
        <v>28</v>
      </c>
      <c r="V4670" s="16">
        <f>ROUNDUP((T4670+U4670+2*'Read Me'!$B$13)*(1+'Read Me'!$B$12),-1)</f>
        <v/>
      </c>
      <c r="W4670" s="16">
        <f>V4670*N4670*O4670</f>
        <v/>
      </c>
      <c r="X4670" s="12">
        <f>IF(LEFT(I4670,2)="MV",2*N4670*IF(L4670="1/C",O4670,1),0)</f>
        <v/>
      </c>
      <c r="Y4670" s="12">
        <f>IF(OR(LEFT(K4670,4)="LVAX",LEFT(K4670,6)="MV15AX",LEFT(K4670,4)="CTAX",LEFT(K4670,2)="W|"),2*N4670*O4670,0)</f>
        <v/>
      </c>
      <c r="Z4670" s="12" t="inlineStr"/>
      <c r="AA4670" s="12">
        <f>N4670*O4670</f>
        <v/>
      </c>
    </row>
    <row r="4671">
      <c r="A4671" s="12" t="inlineStr">
        <is>
          <t>I-I-0122</t>
        </is>
      </c>
      <c r="B4671" s="12" t="inlineStr">
        <is>
          <t>I</t>
        </is>
      </c>
      <c r="C4671" s="12" t="inlineStr">
        <is>
          <t>Modular / portable power</t>
        </is>
      </c>
      <c r="D4671" s="12" t="inlineStr">
        <is>
          <t>L7 GB-4.5 instrumentation: gas pressure, temperatures</t>
        </is>
      </c>
      <c r="E4671" s="12" t="inlineStr">
        <is>
          <t>GB-4.5</t>
        </is>
      </c>
      <c r="F4671" s="12" t="inlineStr">
        <is>
          <t>GB-4.5: modular gas genset 500 kW, 480 V (block GB-4, unit 5 of 5)</t>
        </is>
      </c>
      <c r="G4671" s="12" t="inlineStr">
        <is>
          <t>GBC-4</t>
        </is>
      </c>
      <c r="H4671" s="12" t="inlineStr">
        <is>
          <t xml:space="preserve">GBC-4: block GB-4 generator collector box, 480 V outdoor switchboard, </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Riser</t>
        </is>
      </c>
      <c r="T4671" s="16" t="n">
        <v>2</v>
      </c>
      <c r="U4671" s="16" t="n">
        <v>28</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I-I-0123</t>
        </is>
      </c>
      <c r="B4672" s="12" t="inlineStr">
        <is>
          <t>I</t>
        </is>
      </c>
      <c r="C4672" s="12" t="inlineStr">
        <is>
          <t>Modular / portable power</t>
        </is>
      </c>
      <c r="D4672" s="12" t="inlineStr">
        <is>
          <t>Analog instrument to JB JB-GEN-E-AI01: 20 x 1 pr (field cables)</t>
        </is>
      </c>
      <c r="E4672" s="12" t="inlineStr">
        <is>
          <t>GEN-E</t>
        </is>
      </c>
      <c r="F4672" s="12" t="inlineStr">
        <is>
          <t>GEN-E: enclosed industrial gas genset 2 MW</t>
        </is>
      </c>
      <c r="G4672" s="12" t="inlineStr">
        <is>
          <t>JB-GEN-E-AI01</t>
        </is>
      </c>
      <c r="H4672" s="12" t="inlineStr">
        <is>
          <t>GEN-E: enclosed industrial gas genset 2 MW</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60</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I-I-0124</t>
        </is>
      </c>
      <c r="B4673" s="12" t="inlineStr">
        <is>
          <t>I</t>
        </is>
      </c>
      <c r="C4673" s="12" t="inlineStr">
        <is>
          <t>Modular / portable power</t>
        </is>
      </c>
      <c r="D4673" s="12" t="inlineStr">
        <is>
          <t>Home run JB-GEN-E-AI01 to the control / marshalling room</t>
        </is>
      </c>
      <c r="E4673" s="12" t="inlineStr">
        <is>
          <t>PAD-EH</t>
        </is>
      </c>
      <c r="F4673" s="12" t="inlineStr">
        <is>
          <t>PAD-EH 13.8 kV switchgear e-house</t>
        </is>
      </c>
      <c r="G4673" s="12" t="inlineStr">
        <is>
          <t>JB-GEN-E-AI01</t>
        </is>
      </c>
      <c r="H4673" s="12" t="inlineStr">
        <is>
          <t>GEN-E: enclosed industrial gas genset 2 MW</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Surface</t>
        </is>
      </c>
      <c r="T4673" s="16" t="n">
        <v>153</v>
      </c>
      <c r="U4673" s="16" t="n">
        <v>32</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I-I-0125</t>
        </is>
      </c>
      <c r="B4674" s="12" t="inlineStr">
        <is>
          <t>I</t>
        </is>
      </c>
      <c r="C4674" s="12" t="inlineStr">
        <is>
          <t>Modular / portable power</t>
        </is>
      </c>
      <c r="D4674" s="12" t="inlineStr">
        <is>
          <t>Discrete device to JB JB-GEN-E-DI01: 20 x 1 pr (field cables)</t>
        </is>
      </c>
      <c r="E4674" s="12" t="inlineStr">
        <is>
          <t>GEN-E</t>
        </is>
      </c>
      <c r="F4674" s="12" t="inlineStr">
        <is>
          <t>GEN-E: enclosed industrial gas genset 2 MW</t>
        </is>
      </c>
      <c r="G4674" s="12" t="inlineStr">
        <is>
          <t>JB-GEN-E-DI01</t>
        </is>
      </c>
      <c r="H4674" s="12" t="inlineStr">
        <is>
          <t>GEN-E: enclosed industrial gas genset 2 MW</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60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I-I-0126</t>
        </is>
      </c>
      <c r="B4675" s="12" t="inlineStr">
        <is>
          <t>I</t>
        </is>
      </c>
      <c r="C4675" s="12" t="inlineStr">
        <is>
          <t>Modular / portable power</t>
        </is>
      </c>
      <c r="D4675" s="12" t="inlineStr">
        <is>
          <t>Home run JB-GEN-E-DI01 to the control / marshalling room</t>
        </is>
      </c>
      <c r="E4675" s="12" t="inlineStr">
        <is>
          <t>PAD-EH</t>
        </is>
      </c>
      <c r="F4675" s="12" t="inlineStr">
        <is>
          <t>PAD-EH 13.8 kV switchgear e-house</t>
        </is>
      </c>
      <c r="G4675" s="12" t="inlineStr">
        <is>
          <t>JB-GEN-E-DI01</t>
        </is>
      </c>
      <c r="H4675" s="12" t="inlineStr">
        <is>
          <t>GEN-E: enclosed industrial gas genset 2 MW</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Surface</t>
        </is>
      </c>
      <c r="T4675" s="16" t="n">
        <v>153</v>
      </c>
      <c r="U4675" s="16" t="n">
        <v>32</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I-I-0127</t>
        </is>
      </c>
      <c r="B4676" s="12" t="inlineStr">
        <is>
          <t>I</t>
        </is>
      </c>
      <c r="C4676" s="12" t="inlineStr">
        <is>
          <t>Modular / portable power</t>
        </is>
      </c>
      <c r="D4676" s="12" t="inlineStr">
        <is>
          <t>Analog instrument to JB JB-GEN-O-AI01: 20 x 1 pr (field cables)</t>
        </is>
      </c>
      <c r="E4676" s="12" t="inlineStr">
        <is>
          <t>GEN-O</t>
        </is>
      </c>
      <c r="F4676" s="12" t="inlineStr">
        <is>
          <t>GEN-O: open engine-generator skid</t>
        </is>
      </c>
      <c r="G4676" s="12" t="inlineStr">
        <is>
          <t>JB-GEN-O-AI01</t>
        </is>
      </c>
      <c r="H4676" s="12" t="inlineStr">
        <is>
          <t>GEN-O: open engine-generator skid</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6" t="n">
        <v>45</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I-I-0128</t>
        </is>
      </c>
      <c r="B4677" s="12" t="inlineStr">
        <is>
          <t>I</t>
        </is>
      </c>
      <c r="C4677" s="12" t="inlineStr">
        <is>
          <t>Modular / portable power</t>
        </is>
      </c>
      <c r="D4677" s="12" t="inlineStr">
        <is>
          <t>Home run JB-GEN-O-AI01 to the control / marshalling room</t>
        </is>
      </c>
      <c r="E4677" s="12" t="inlineStr">
        <is>
          <t>PAD-EH</t>
        </is>
      </c>
      <c r="F4677" s="12" t="inlineStr">
        <is>
          <t>PAD-EH 13.8 kV switchgear e-house</t>
        </is>
      </c>
      <c r="G4677" s="12" t="inlineStr">
        <is>
          <t>JB-GEN-O-AI01</t>
        </is>
      </c>
      <c r="H4677" s="12" t="inlineStr">
        <is>
          <t>GEN-O: open engine-generator skid</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Surface</t>
        </is>
      </c>
      <c r="T4677" s="16" t="n">
        <v>153</v>
      </c>
      <c r="U4677" s="16" t="n">
        <v>79</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I-I-0129</t>
        </is>
      </c>
      <c r="B4678" s="12" t="inlineStr">
        <is>
          <t>I</t>
        </is>
      </c>
      <c r="C4678" s="12" t="inlineStr">
        <is>
          <t>Modular / portable power</t>
        </is>
      </c>
      <c r="D4678" s="12" t="inlineStr">
        <is>
          <t>Discrete device to JB JB-GEN-O-DI01: 20 x 1 pr (field cables)</t>
        </is>
      </c>
      <c r="E4678" s="12" t="inlineStr">
        <is>
          <t>GEN-O</t>
        </is>
      </c>
      <c r="F4678" s="12" t="inlineStr">
        <is>
          <t>GEN-O: open engine-generator skid</t>
        </is>
      </c>
      <c r="G4678" s="12" t="inlineStr">
        <is>
          <t>JB-GEN-O-DI01</t>
        </is>
      </c>
      <c r="H4678" s="12" t="inlineStr">
        <is>
          <t>GEN-O: open engine-generator skid</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6" t="n">
        <v>45</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I-I-0130</t>
        </is>
      </c>
      <c r="B4679" s="12" t="inlineStr">
        <is>
          <t>I</t>
        </is>
      </c>
      <c r="C4679" s="12" t="inlineStr">
        <is>
          <t>Modular / portable power</t>
        </is>
      </c>
      <c r="D4679" s="12" t="inlineStr">
        <is>
          <t>Home run JB-GEN-O-DI01 to the control / marshalling room</t>
        </is>
      </c>
      <c r="E4679" s="12" t="inlineStr">
        <is>
          <t>PAD-EH</t>
        </is>
      </c>
      <c r="F4679" s="12" t="inlineStr">
        <is>
          <t>PAD-EH 13.8 kV switchgear e-house</t>
        </is>
      </c>
      <c r="G4679" s="12" t="inlineStr">
        <is>
          <t>JB-GEN-O-DI01</t>
        </is>
      </c>
      <c r="H4679" s="12" t="inlineStr">
        <is>
          <t>GEN-O: open engine-generator skid</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Surface</t>
        </is>
      </c>
      <c r="T4679" s="16" t="n">
        <v>153</v>
      </c>
      <c r="U4679" s="16" t="n">
        <v>79</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I-I-0131</t>
        </is>
      </c>
      <c r="B4680" s="12" t="inlineStr">
        <is>
          <t>I</t>
        </is>
      </c>
      <c r="C4680" s="12" t="inlineStr">
        <is>
          <t>Modular / portable power</t>
        </is>
      </c>
      <c r="D4680" s="12" t="inlineStr">
        <is>
          <t>Instrumentation</t>
        </is>
      </c>
      <c r="E4680" s="12" t="inlineStr"/>
      <c r="F4680" s="12" t="inlineStr">
        <is>
          <t>PCM: power control module</t>
        </is>
      </c>
      <c r="G4680" s="12" t="inlineStr"/>
      <c r="H4680" s="12" t="inlineStr">
        <is>
          <t>Gas conditioning skid</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Tray</t>
        </is>
      </c>
      <c r="T4680" s="16" t="n">
        <v>40</v>
      </c>
      <c r="U4680" s="16" t="n">
        <v>94</v>
      </c>
      <c r="V4680" s="16">
        <f>ROUNDUP((T4680+U4680+2*'Read Me'!$B$13)*(1+'Read Me'!$B$12),-1)</f>
        <v/>
      </c>
      <c r="W4680" s="16">
        <f>V4680*N4680*O4680</f>
        <v/>
      </c>
      <c r="X4680" s="12">
        <f>IF(LEFT(I4680,2)="MV",2*N4680*IF(L4680="1/C",O4680,1),0)</f>
        <v/>
      </c>
      <c r="Y4680" s="12">
        <f>IF(OR(LEFT(K4680,4)="LVAX",LEFT(K4680,6)="MV15AX",LEFT(K4680,4)="CTAX",LEFT(K4680,2)="W|"),2*N4680*O4680,0)</f>
        <v/>
      </c>
      <c r="Z4680" s="12" t="inlineStr"/>
      <c r="AA4680" s="12">
        <f>N4680*O4680</f>
        <v/>
      </c>
    </row>
    <row r="4681">
      <c r="A4681" s="12" t="inlineStr">
        <is>
          <t>I-I-0132</t>
        </is>
      </c>
      <c r="B4681" s="12" t="inlineStr">
        <is>
          <t>I</t>
        </is>
      </c>
      <c r="C4681" s="12" t="inlineStr">
        <is>
          <t>Modular / portable power</t>
        </is>
      </c>
      <c r="D4681" s="12" t="inlineStr">
        <is>
          <t>Instrumentation</t>
        </is>
      </c>
      <c r="E4681" s="12" t="inlineStr"/>
      <c r="F4681" s="12" t="inlineStr">
        <is>
          <t>PCM: power control module</t>
        </is>
      </c>
      <c r="G4681" s="12" t="inlineStr"/>
      <c r="H4681" s="12" t="inlineStr">
        <is>
          <t>Gas conditioning skid</t>
        </is>
      </c>
      <c r="I4681" s="12" t="inlineStr">
        <is>
          <t>Instrumentation</t>
        </is>
      </c>
      <c r="J4681" s="12" t="inlineStr">
        <is>
          <t>Instrumentation ITC / PLTC, IS, #18 shielded pairs, blue jacket</t>
        </is>
      </c>
      <c r="K4681" s="12" t="inlineStr">
        <is>
          <t>ITC|12 pr|18</t>
        </is>
      </c>
      <c r="L4681" s="12" t="inlineStr">
        <is>
          <t>12 pr</t>
        </is>
      </c>
      <c r="M4681" s="12" t="inlineStr">
        <is>
          <t>18</t>
        </is>
      </c>
      <c r="N4681" s="12" t="n">
        <v>1</v>
      </c>
      <c r="O4681" s="12" t="n">
        <v>1</v>
      </c>
      <c r="P4681" s="12" t="n"/>
      <c r="Q4681" s="12" t="n"/>
      <c r="R4681" s="12" t="n"/>
      <c r="S4681" s="12" t="inlineStr">
        <is>
          <t>Tray</t>
        </is>
      </c>
      <c r="T4681" s="16" t="n">
        <v>40</v>
      </c>
      <c r="U4681" s="16" t="n">
        <v>94</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I-I-0133</t>
        </is>
      </c>
      <c r="B4682" s="12" t="inlineStr">
        <is>
          <t>I</t>
        </is>
      </c>
      <c r="C4682" s="12" t="inlineStr">
        <is>
          <t>Modular / portable power</t>
        </is>
      </c>
      <c r="D4682" s="12" t="inlineStr">
        <is>
          <t>Analog instrument to JB JB-MOB-1-AI01: 20 x 1 pr (field cables)</t>
        </is>
      </c>
      <c r="E4682" s="12" t="inlineStr">
        <is>
          <t>MOB-1</t>
        </is>
      </c>
      <c r="F4682" s="12" t="inlineStr">
        <is>
          <t>MOB-1: trailer genset</t>
        </is>
      </c>
      <c r="G4682" s="12" t="inlineStr">
        <is>
          <t>JB-MOB-1-AI01</t>
        </is>
      </c>
      <c r="H4682" s="12" t="inlineStr">
        <is>
          <t>MOB-1: trailer genset</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20</v>
      </c>
      <c r="O4682" s="12" t="n">
        <v>1</v>
      </c>
      <c r="P4682" s="12" t="n"/>
      <c r="Q4682" s="12" t="n"/>
      <c r="R4682" s="12" t="n"/>
      <c r="S4682" s="12" t="inlineStr">
        <is>
          <t>Tray / conduit</t>
        </is>
      </c>
      <c r="T4682" s="16" t="n">
        <v>61</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I-I-0134</t>
        </is>
      </c>
      <c r="B4683" s="12" t="inlineStr">
        <is>
          <t>I</t>
        </is>
      </c>
      <c r="C4683" s="12" t="inlineStr">
        <is>
          <t>Modular / portable power</t>
        </is>
      </c>
      <c r="D4683" s="12" t="inlineStr">
        <is>
          <t>Home run JB-MOB-1-AI01 to the control / marshalling room</t>
        </is>
      </c>
      <c r="E4683" s="12" t="inlineStr">
        <is>
          <t>PAD-EH</t>
        </is>
      </c>
      <c r="F4683" s="12" t="inlineStr">
        <is>
          <t>PAD-EH 13.8 kV switchgear e-house</t>
        </is>
      </c>
      <c r="G4683" s="12" t="inlineStr">
        <is>
          <t>JB-MOB-1-AI01</t>
        </is>
      </c>
      <c r="H4683" s="12" t="inlineStr">
        <is>
          <t>MOB-1: trailer genset</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Surface</t>
        </is>
      </c>
      <c r="T4683" s="16" t="n">
        <v>373</v>
      </c>
      <c r="U4683" s="16" t="n">
        <v>41</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I-I-0135</t>
        </is>
      </c>
      <c r="B4684" s="12" t="inlineStr">
        <is>
          <t>I</t>
        </is>
      </c>
      <c r="C4684" s="12" t="inlineStr">
        <is>
          <t>Modular / portable power</t>
        </is>
      </c>
      <c r="D4684" s="12" t="inlineStr">
        <is>
          <t>Discrete device to JB JB-MOB-1-DI01: 20 x 1 pr (field cables)</t>
        </is>
      </c>
      <c r="E4684" s="12" t="inlineStr">
        <is>
          <t>MOB-1</t>
        </is>
      </c>
      <c r="F4684" s="12" t="inlineStr">
        <is>
          <t>MOB-1: trailer genset</t>
        </is>
      </c>
      <c r="G4684" s="12" t="inlineStr">
        <is>
          <t>JB-MOB-1-DI01</t>
        </is>
      </c>
      <c r="H4684" s="12" t="inlineStr">
        <is>
          <t>MOB-1: trailer genset</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61</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I-I-0136</t>
        </is>
      </c>
      <c r="B4685" s="12" t="inlineStr">
        <is>
          <t>I</t>
        </is>
      </c>
      <c r="C4685" s="12" t="inlineStr">
        <is>
          <t>Modular / portable power</t>
        </is>
      </c>
      <c r="D4685" s="12" t="inlineStr">
        <is>
          <t>Home run JB-MOB-1-DI01 to the control / marshalling room</t>
        </is>
      </c>
      <c r="E4685" s="12" t="inlineStr">
        <is>
          <t>PAD-EH</t>
        </is>
      </c>
      <c r="F4685" s="12" t="inlineStr">
        <is>
          <t>PAD-EH 13.8 kV switchgear e-house</t>
        </is>
      </c>
      <c r="G4685" s="12" t="inlineStr">
        <is>
          <t>JB-MOB-1-DI01</t>
        </is>
      </c>
      <c r="H4685" s="12" t="inlineStr">
        <is>
          <t>MOB-1: trailer genset</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Surface</t>
        </is>
      </c>
      <c r="T4685" s="16" t="n">
        <v>373</v>
      </c>
      <c r="U4685" s="16" t="n">
        <v>41</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I-I-0137</t>
        </is>
      </c>
      <c r="B4686" s="12" t="inlineStr">
        <is>
          <t>I</t>
        </is>
      </c>
      <c r="C4686" s="12" t="inlineStr">
        <is>
          <t>Modular / portable power</t>
        </is>
      </c>
      <c r="D4686" s="12" t="inlineStr">
        <is>
          <t>Instrumentation</t>
        </is>
      </c>
      <c r="E4686" s="12" t="inlineStr"/>
      <c r="F4686" s="12" t="inlineStr">
        <is>
          <t>PCM: power control module</t>
        </is>
      </c>
      <c r="G4686" s="12" t="inlineStr"/>
      <c r="H4686" s="12" t="inlineStr">
        <is>
          <t>MOD-LV 480 V board + 480 V : 13.8 kV step-up</t>
        </is>
      </c>
      <c r="I4686" s="12" t="inlineStr">
        <is>
          <t>Instrumentation</t>
        </is>
      </c>
      <c r="J4686" s="12" t="inlineStr">
        <is>
          <t>Instrumentation PLTC / TC-ER 300 V, #18 twisted shielded pairs, overall shield</t>
        </is>
      </c>
      <c r="K4686" s="12" t="inlineStr">
        <is>
          <t>PLTC|4 pr|18</t>
        </is>
      </c>
      <c r="L4686" s="12" t="inlineStr">
        <is>
          <t>4 pr</t>
        </is>
      </c>
      <c r="M4686" s="12" t="inlineStr">
        <is>
          <t>18</t>
        </is>
      </c>
      <c r="N4686" s="12" t="n">
        <v>1</v>
      </c>
      <c r="O4686" s="12" t="n">
        <v>1</v>
      </c>
      <c r="P4686" s="12" t="n"/>
      <c r="Q4686" s="12" t="n"/>
      <c r="R4686" s="12" t="n"/>
      <c r="S4686" s="12" t="inlineStr">
        <is>
          <t>Duct bank</t>
        </is>
      </c>
      <c r="T4686" s="16" t="n">
        <v>757</v>
      </c>
      <c r="U4686" s="16" t="n">
        <v>32</v>
      </c>
      <c r="V4686" s="16">
        <f>ROUNDUP((T4686+U4686+2*'Read Me'!$B$13)*(1+'Read Me'!$B$12),-1)</f>
        <v/>
      </c>
      <c r="W4686" s="16">
        <f>V4686*N4686*O4686</f>
        <v/>
      </c>
      <c r="X4686" s="12">
        <f>IF(LEFT(I4686,2)="MV",2*N4686*IF(L4686="1/C",O4686,1),0)</f>
        <v/>
      </c>
      <c r="Y4686" s="12">
        <f>IF(OR(LEFT(K4686,4)="LVAX",LEFT(K4686,6)="MV15AX",LEFT(K4686,4)="CTAX",LEFT(K4686,2)="W|"),2*N4686*O4686,0)</f>
        <v/>
      </c>
      <c r="Z4686" s="12" t="inlineStr"/>
      <c r="AA4686" s="12">
        <f>N4686*O4686</f>
        <v/>
      </c>
    </row>
    <row r="4687">
      <c r="A4687" s="12" t="inlineStr">
        <is>
          <t>I-I-0138</t>
        </is>
      </c>
      <c r="B4687" s="12" t="inlineStr">
        <is>
          <t>I</t>
        </is>
      </c>
      <c r="C4687" s="12" t="inlineStr">
        <is>
          <t>Modular / portable power</t>
        </is>
      </c>
      <c r="D4687" s="12" t="inlineStr">
        <is>
          <t>Analog instrument to JB JB-MT-4-AI01: 6 x 1 pr (field cables)</t>
        </is>
      </c>
      <c r="E4687" s="12" t="inlineStr">
        <is>
          <t>MT-4</t>
        </is>
      </c>
      <c r="F4687" s="12" t="inlineStr">
        <is>
          <t>MT-4: microturbine 1 MW (Capstone C1000 class)</t>
        </is>
      </c>
      <c r="G4687" s="12" t="inlineStr">
        <is>
          <t>JB-MT-4-AI01</t>
        </is>
      </c>
      <c r="H4687" s="12" t="inlineStr">
        <is>
          <t>MT-4: microturbine 1 MW (Capstone C1000 class)</t>
        </is>
      </c>
      <c r="I4687" s="12" t="inlineStr">
        <is>
          <t>Instrumentation</t>
        </is>
      </c>
      <c r="J4687" s="12" t="inlineStr">
        <is>
          <t>Instrumentation PLTC / TC-ER 300 V, #18 twisted shielded pairs, overall shield</t>
        </is>
      </c>
      <c r="K4687" s="12" t="inlineStr">
        <is>
          <t>PLTC|1 pr|16</t>
        </is>
      </c>
      <c r="L4687" s="12" t="inlineStr">
        <is>
          <t>1 pr</t>
        </is>
      </c>
      <c r="M4687" s="12" t="inlineStr">
        <is>
          <t>16</t>
        </is>
      </c>
      <c r="N4687" s="12" t="n">
        <v>6</v>
      </c>
      <c r="O4687" s="12" t="n">
        <v>1</v>
      </c>
      <c r="P4687" s="12" t="n"/>
      <c r="Q4687" s="12" t="n"/>
      <c r="R4687" s="12" t="n"/>
      <c r="S4687" s="12" t="inlineStr">
        <is>
          <t>Tray / conduit</t>
        </is>
      </c>
      <c r="T4687" s="16" t="n">
        <v>47</v>
      </c>
      <c r="U4687" s="16" t="n">
        <v>10</v>
      </c>
      <c r="V4687" s="16">
        <f>ROUNDUP((T4687+U4687+2*'Read Me'!$B$13)*(1+'Read Me'!$B$12),-1)</f>
        <v/>
      </c>
      <c r="W4687" s="16">
        <f>V4687*N4687*O4687</f>
        <v/>
      </c>
      <c r="X4687" s="12">
        <f>IF(LEFT(I4687,2)="MV",2*N4687*IF(L4687="1/C",O4687,1),0)</f>
        <v/>
      </c>
      <c r="Y4687" s="12">
        <f>IF(OR(LEFT(K4687,4)="LVAX",LEFT(K4687,6)="MV15AX",LEFT(K4687,4)="CTAX",LEFT(K4687,2)="W|"),2*N4687*O4687,0)</f>
        <v/>
      </c>
      <c r="Z4687" s="12" t="inlineStr">
        <is>
          <t>device-to-JB field wiring, one cable per device</t>
        </is>
      </c>
      <c r="AA4687" s="12">
        <f>N4687*O4687</f>
        <v/>
      </c>
    </row>
    <row r="4688">
      <c r="A4688" s="12" t="inlineStr">
        <is>
          <t>I-I-0139</t>
        </is>
      </c>
      <c r="B4688" s="12" t="inlineStr">
        <is>
          <t>I</t>
        </is>
      </c>
      <c r="C4688" s="12" t="inlineStr">
        <is>
          <t>Modular / portable power</t>
        </is>
      </c>
      <c r="D4688" s="12" t="inlineStr">
        <is>
          <t>Home run JB-MT-4-AI01 to the control / marshalling room</t>
        </is>
      </c>
      <c r="E4688" s="12" t="inlineStr">
        <is>
          <t>PAD-EH</t>
        </is>
      </c>
      <c r="F4688" s="12" t="inlineStr">
        <is>
          <t>PAD-EH 13.8 kV switchgear e-house</t>
        </is>
      </c>
      <c r="G4688" s="12" t="inlineStr">
        <is>
          <t>JB-MT-4-AI01</t>
        </is>
      </c>
      <c r="H4688" s="12" t="inlineStr">
        <is>
          <t>MT-4: microturbine 1 MW (Capstone C1000 class)</t>
        </is>
      </c>
      <c r="I4688" s="12" t="inlineStr">
        <is>
          <t>Instrumentation</t>
        </is>
      </c>
      <c r="J4688" s="12" t="inlineStr">
        <is>
          <t>Instrumentation PLTC / TC-ER 300 V, #18 twisted shielded pairs, overall shield</t>
        </is>
      </c>
      <c r="K4688" s="12" t="inlineStr">
        <is>
          <t>PLTC|24 pr|18</t>
        </is>
      </c>
      <c r="L4688" s="12" t="inlineStr">
        <is>
          <t>24 pr</t>
        </is>
      </c>
      <c r="M4688" s="12" t="inlineStr">
        <is>
          <t>18</t>
        </is>
      </c>
      <c r="N4688" s="12" t="n">
        <v>1</v>
      </c>
      <c r="O4688" s="12" t="n">
        <v>1</v>
      </c>
      <c r="P4688" s="12" t="n"/>
      <c r="Q4688" s="12" t="n"/>
      <c r="R4688" s="12" t="n"/>
      <c r="S4688" s="12" t="inlineStr">
        <is>
          <t>Surface</t>
        </is>
      </c>
      <c r="T4688" s="16" t="n">
        <v>198</v>
      </c>
      <c r="U4688" s="16" t="n">
        <v>47</v>
      </c>
      <c r="V4688" s="16">
        <f>ROUNDUP((T4688+U4688+2*'Read Me'!$B$13)*(1+'Read Me'!$B$12),-1)</f>
        <v/>
      </c>
      <c r="W4688" s="16">
        <f>V4688*N4688*O4688</f>
        <v/>
      </c>
      <c r="X4688" s="12">
        <f>IF(LEFT(I4688,2)="MV",2*N4688*IF(L4688="1/C",O4688,1),0)</f>
        <v/>
      </c>
      <c r="Y4688" s="12">
        <f>IF(OR(LEFT(K4688,4)="LVAX",LEFT(K4688,6)="MV15AX",LEFT(K4688,4)="CTAX",LEFT(K4688,2)="W|"),2*N4688*O4688,0)</f>
        <v/>
      </c>
      <c r="Z4688" s="12" t="inlineStr"/>
      <c r="AA4688" s="12">
        <f>N4688*O4688</f>
        <v/>
      </c>
    </row>
    <row r="4689">
      <c r="A4689" s="12" t="inlineStr">
        <is>
          <t>I-I-0140</t>
        </is>
      </c>
      <c r="B4689" s="12" t="inlineStr">
        <is>
          <t>I</t>
        </is>
      </c>
      <c r="C4689" s="12" t="inlineStr">
        <is>
          <t>Modular / portable power</t>
        </is>
      </c>
      <c r="D4689" s="12" t="inlineStr">
        <is>
          <t>Discrete device to JB JB-MT-4-DI01: 6 x 1 pr (field cables)</t>
        </is>
      </c>
      <c r="E4689" s="12" t="inlineStr">
        <is>
          <t>MT-4</t>
        </is>
      </c>
      <c r="F4689" s="12" t="inlineStr">
        <is>
          <t>MT-4: microturbine 1 MW (Capstone C1000 class)</t>
        </is>
      </c>
      <c r="G4689" s="12" t="inlineStr">
        <is>
          <t>JB-MT-4-DI01</t>
        </is>
      </c>
      <c r="H4689" s="12" t="inlineStr">
        <is>
          <t>MT-4: microturbine 1 MW (Capstone C1000 class)</t>
        </is>
      </c>
      <c r="I4689" s="12" t="inlineStr">
        <is>
          <t>Instrumentation</t>
        </is>
      </c>
      <c r="J4689" s="12" t="inlineStr">
        <is>
          <t>Instrumentation PLTC / TC-ER 300 V, #18 twisted shielded pairs, overall shield</t>
        </is>
      </c>
      <c r="K4689" s="12" t="inlineStr">
        <is>
          <t>PLTC|1 pr|16</t>
        </is>
      </c>
      <c r="L4689" s="12" t="inlineStr">
        <is>
          <t>1 pr</t>
        </is>
      </c>
      <c r="M4689" s="12" t="inlineStr">
        <is>
          <t>16</t>
        </is>
      </c>
      <c r="N4689" s="12" t="n">
        <v>6</v>
      </c>
      <c r="O4689" s="12" t="n">
        <v>1</v>
      </c>
      <c r="P4689" s="12" t="n"/>
      <c r="Q4689" s="12" t="n"/>
      <c r="R4689" s="12" t="n"/>
      <c r="S4689" s="12" t="inlineStr">
        <is>
          <t>Tray / conduit</t>
        </is>
      </c>
      <c r="T4689" s="16" t="n">
        <v>47</v>
      </c>
      <c r="U4689" s="16" t="n">
        <v>10</v>
      </c>
      <c r="V4689" s="16">
        <f>ROUNDUP((T4689+U4689+2*'Read Me'!$B$13)*(1+'Read Me'!$B$12),-1)</f>
        <v/>
      </c>
      <c r="W4689" s="16">
        <f>V4689*N4689*O4689</f>
        <v/>
      </c>
      <c r="X4689" s="12">
        <f>IF(LEFT(I4689,2)="MV",2*N4689*IF(L4689="1/C",O4689,1),0)</f>
        <v/>
      </c>
      <c r="Y4689" s="12">
        <f>IF(OR(LEFT(K4689,4)="LVAX",LEFT(K4689,6)="MV15AX",LEFT(K4689,4)="CTAX",LEFT(K4689,2)="W|"),2*N4689*O4689,0)</f>
        <v/>
      </c>
      <c r="Z4689" s="12" t="inlineStr">
        <is>
          <t>device-to-JB field wiring, one cable per device</t>
        </is>
      </c>
      <c r="AA4689" s="12">
        <f>N4689*O4689</f>
        <v/>
      </c>
    </row>
    <row r="4690">
      <c r="A4690" s="12" t="inlineStr">
        <is>
          <t>I-I-0141</t>
        </is>
      </c>
      <c r="B4690" s="12" t="inlineStr">
        <is>
          <t>I</t>
        </is>
      </c>
      <c r="C4690" s="12" t="inlineStr">
        <is>
          <t>Modular / portable power</t>
        </is>
      </c>
      <c r="D4690" s="12" t="inlineStr">
        <is>
          <t>Home run JB-MT-4-DI01 to the control / marshalling room</t>
        </is>
      </c>
      <c r="E4690" s="12" t="inlineStr">
        <is>
          <t>PAD-EH</t>
        </is>
      </c>
      <c r="F4690" s="12" t="inlineStr">
        <is>
          <t>PAD-EH 13.8 kV switchgear e-house</t>
        </is>
      </c>
      <c r="G4690" s="12" t="inlineStr">
        <is>
          <t>JB-MT-4-DI01</t>
        </is>
      </c>
      <c r="H4690" s="12" t="inlineStr">
        <is>
          <t>MT-4: microturbine 1 MW (Capstone C1000 class)</t>
        </is>
      </c>
      <c r="I4690" s="12" t="inlineStr">
        <is>
          <t>Instrumentation</t>
        </is>
      </c>
      <c r="J4690" s="12" t="inlineStr">
        <is>
          <t>Instrumentation PLTC / TC-ER 300 V, #18 twisted shielded pairs, overall shield</t>
        </is>
      </c>
      <c r="K4690" s="12" t="inlineStr">
        <is>
          <t>PLTC|24 pr|18</t>
        </is>
      </c>
      <c r="L4690" s="12" t="inlineStr">
        <is>
          <t>24 pr</t>
        </is>
      </c>
      <c r="M4690" s="12" t="inlineStr">
        <is>
          <t>18</t>
        </is>
      </c>
      <c r="N4690" s="12" t="n">
        <v>1</v>
      </c>
      <c r="O4690" s="12" t="n">
        <v>1</v>
      </c>
      <c r="P4690" s="12" t="n"/>
      <c r="Q4690" s="12" t="n"/>
      <c r="R4690" s="12" t="n"/>
      <c r="S4690" s="12" t="inlineStr">
        <is>
          <t>Surface</t>
        </is>
      </c>
      <c r="T4690" s="16" t="n">
        <v>198</v>
      </c>
      <c r="U4690" s="16" t="n">
        <v>47</v>
      </c>
      <c r="V4690" s="16">
        <f>ROUNDUP((T4690+U4690+2*'Read Me'!$B$13)*(1+'Read Me'!$B$12),-1)</f>
        <v/>
      </c>
      <c r="W4690" s="16">
        <f>V4690*N4690*O4690</f>
        <v/>
      </c>
      <c r="X4690" s="12">
        <f>IF(LEFT(I4690,2)="MV",2*N4690*IF(L4690="1/C",O4690,1),0)</f>
        <v/>
      </c>
      <c r="Y4690" s="12">
        <f>IF(OR(LEFT(K4690,4)="LVAX",LEFT(K4690,6)="MV15AX",LEFT(K4690,4)="CTAX",LEFT(K4690,2)="W|"),2*N4690*O4690,0)</f>
        <v/>
      </c>
      <c r="Z4690" s="12" t="inlineStr"/>
      <c r="AA4690" s="12">
        <f>N4690*O4690</f>
        <v/>
      </c>
    </row>
    <row r="4691">
      <c r="A4691" s="12" t="inlineStr">
        <is>
          <t>I-I-0142</t>
        </is>
      </c>
      <c r="B4691" s="12" t="inlineStr">
        <is>
          <t>I</t>
        </is>
      </c>
      <c r="C4691" s="12" t="inlineStr">
        <is>
          <t>Modular / portable power</t>
        </is>
      </c>
      <c r="D4691" s="12" t="inlineStr">
        <is>
          <t>Analog instrument to JB JB-MT-5-AI01: 6 x 1 pr (field cables)</t>
        </is>
      </c>
      <c r="E4691" s="12" t="inlineStr">
        <is>
          <t>MT-5</t>
        </is>
      </c>
      <c r="F4691" s="12" t="inlineStr">
        <is>
          <t>MT-5: microturbine 1 MW (Capstone C1000 class)</t>
        </is>
      </c>
      <c r="G4691" s="12" t="inlineStr">
        <is>
          <t>JB-MT-5-AI01</t>
        </is>
      </c>
      <c r="H4691" s="12" t="inlineStr">
        <is>
          <t>MT-5: microturbine 1 MW (Capstone C1000 class)</t>
        </is>
      </c>
      <c r="I4691" s="12" t="inlineStr">
        <is>
          <t>Instrumentation</t>
        </is>
      </c>
      <c r="J4691" s="12" t="inlineStr">
        <is>
          <t>Instrumentation PLTC / TC-ER 300 V, #18 twisted shielded pairs, overall shield</t>
        </is>
      </c>
      <c r="K4691" s="12" t="inlineStr">
        <is>
          <t>PLTC|1 pr|16</t>
        </is>
      </c>
      <c r="L4691" s="12" t="inlineStr">
        <is>
          <t>1 pr</t>
        </is>
      </c>
      <c r="M4691" s="12" t="inlineStr">
        <is>
          <t>16</t>
        </is>
      </c>
      <c r="N4691" s="12" t="n">
        <v>6</v>
      </c>
      <c r="O4691" s="12" t="n">
        <v>1</v>
      </c>
      <c r="P4691" s="12" t="n"/>
      <c r="Q4691" s="12" t="n"/>
      <c r="R4691" s="12" t="n"/>
      <c r="S4691" s="12" t="inlineStr">
        <is>
          <t>Tray / conduit</t>
        </is>
      </c>
      <c r="T4691" s="16" t="n">
        <v>47</v>
      </c>
      <c r="U4691" s="16" t="n">
        <v>10</v>
      </c>
      <c r="V4691" s="16">
        <f>ROUNDUP((T4691+U4691+2*'Read Me'!$B$13)*(1+'Read Me'!$B$12),-1)</f>
        <v/>
      </c>
      <c r="W4691" s="16">
        <f>V4691*N4691*O4691</f>
        <v/>
      </c>
      <c r="X4691" s="12">
        <f>IF(LEFT(I4691,2)="MV",2*N4691*IF(L4691="1/C",O4691,1),0)</f>
        <v/>
      </c>
      <c r="Y4691" s="12">
        <f>IF(OR(LEFT(K4691,4)="LVAX",LEFT(K4691,6)="MV15AX",LEFT(K4691,4)="CTAX",LEFT(K4691,2)="W|"),2*N4691*O4691,0)</f>
        <v/>
      </c>
      <c r="Z4691" s="12" t="inlineStr">
        <is>
          <t>device-to-JB field wiring, one cable per device</t>
        </is>
      </c>
      <c r="AA4691" s="12">
        <f>N4691*O4691</f>
        <v/>
      </c>
    </row>
    <row r="4692">
      <c r="A4692" s="12" t="inlineStr">
        <is>
          <t>I-I-0143</t>
        </is>
      </c>
      <c r="B4692" s="12" t="inlineStr">
        <is>
          <t>I</t>
        </is>
      </c>
      <c r="C4692" s="12" t="inlineStr">
        <is>
          <t>Modular / portable power</t>
        </is>
      </c>
      <c r="D4692" s="12" t="inlineStr">
        <is>
          <t>Home run JB-MT-5-AI01 to the control / marshalling room</t>
        </is>
      </c>
      <c r="E4692" s="12" t="inlineStr">
        <is>
          <t>PAD-EH</t>
        </is>
      </c>
      <c r="F4692" s="12" t="inlineStr">
        <is>
          <t>PAD-EH 13.8 kV switchgear e-house</t>
        </is>
      </c>
      <c r="G4692" s="12" t="inlineStr">
        <is>
          <t>JB-MT-5-AI01</t>
        </is>
      </c>
      <c r="H4692" s="12" t="inlineStr">
        <is>
          <t>MT-5: microturbine 1 MW (Capstone C1000 class)</t>
        </is>
      </c>
      <c r="I4692" s="12" t="inlineStr">
        <is>
          <t>Instrumentation</t>
        </is>
      </c>
      <c r="J4692" s="12" t="inlineStr">
        <is>
          <t>Instrumentation PLTC / TC-ER 300 V, #18 twisted shielded pairs, overall shield</t>
        </is>
      </c>
      <c r="K4692" s="12" t="inlineStr">
        <is>
          <t>PLTC|24 pr|18</t>
        </is>
      </c>
      <c r="L4692" s="12" t="inlineStr">
        <is>
          <t>24 pr</t>
        </is>
      </c>
      <c r="M4692" s="12" t="inlineStr">
        <is>
          <t>18</t>
        </is>
      </c>
      <c r="N4692" s="12" t="n">
        <v>1</v>
      </c>
      <c r="O4692" s="12" t="n">
        <v>1</v>
      </c>
      <c r="P4692" s="12" t="n"/>
      <c r="Q4692" s="12" t="n"/>
      <c r="R4692" s="12" t="n"/>
      <c r="S4692" s="12" t="inlineStr">
        <is>
          <t>Surface</t>
        </is>
      </c>
      <c r="T4692" s="16" t="n">
        <v>198</v>
      </c>
      <c r="U4692" s="16" t="n">
        <v>37</v>
      </c>
      <c r="V4692" s="16">
        <f>ROUNDUP((T4692+U4692+2*'Read Me'!$B$13)*(1+'Read Me'!$B$12),-1)</f>
        <v/>
      </c>
      <c r="W4692" s="16">
        <f>V4692*N4692*O4692</f>
        <v/>
      </c>
      <c r="X4692" s="12">
        <f>IF(LEFT(I4692,2)="MV",2*N4692*IF(L4692="1/C",O4692,1),0)</f>
        <v/>
      </c>
      <c r="Y4692" s="12">
        <f>IF(OR(LEFT(K4692,4)="LVAX",LEFT(K4692,6)="MV15AX",LEFT(K4692,4)="CTAX",LEFT(K4692,2)="W|"),2*N4692*O4692,0)</f>
        <v/>
      </c>
      <c r="Z4692" s="12" t="inlineStr"/>
      <c r="AA4692" s="12">
        <f>N4692*O4692</f>
        <v/>
      </c>
    </row>
    <row r="4693">
      <c r="A4693" s="12" t="inlineStr">
        <is>
          <t>I-I-0144</t>
        </is>
      </c>
      <c r="B4693" s="12" t="inlineStr">
        <is>
          <t>I</t>
        </is>
      </c>
      <c r="C4693" s="12" t="inlineStr">
        <is>
          <t>Modular / portable power</t>
        </is>
      </c>
      <c r="D4693" s="12" t="inlineStr">
        <is>
          <t>Discrete device to JB JB-MT-5-DI01: 6 x 1 pr (field cables)</t>
        </is>
      </c>
      <c r="E4693" s="12" t="inlineStr">
        <is>
          <t>MT-5</t>
        </is>
      </c>
      <c r="F4693" s="12" t="inlineStr">
        <is>
          <t>MT-5: microturbine 1 MW (Capstone C1000 class)</t>
        </is>
      </c>
      <c r="G4693" s="12" t="inlineStr">
        <is>
          <t>JB-MT-5-DI01</t>
        </is>
      </c>
      <c r="H4693" s="12" t="inlineStr">
        <is>
          <t>MT-5: microturbine 1 MW (Capstone C1000 class)</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6</v>
      </c>
      <c r="O4693" s="12" t="n">
        <v>1</v>
      </c>
      <c r="P4693" s="12" t="n"/>
      <c r="Q4693" s="12" t="n"/>
      <c r="R4693" s="12" t="n"/>
      <c r="S4693" s="12" t="inlineStr">
        <is>
          <t>Tray / conduit</t>
        </is>
      </c>
      <c r="T4693" s="16" t="n">
        <v>47</v>
      </c>
      <c r="U4693" s="16" t="n">
        <v>10</v>
      </c>
      <c r="V4693" s="16">
        <f>ROUNDUP((T4693+U4693+2*'Read Me'!$B$13)*(1+'Read Me'!$B$12),-1)</f>
        <v/>
      </c>
      <c r="W4693" s="16">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I-I-0145</t>
        </is>
      </c>
      <c r="B4694" s="12" t="inlineStr">
        <is>
          <t>I</t>
        </is>
      </c>
      <c r="C4694" s="12" t="inlineStr">
        <is>
          <t>Modular / portable power</t>
        </is>
      </c>
      <c r="D4694" s="12" t="inlineStr">
        <is>
          <t>Home run JB-MT-5-DI01 to the control / marshalling room</t>
        </is>
      </c>
      <c r="E4694" s="12" t="inlineStr">
        <is>
          <t>PAD-EH</t>
        </is>
      </c>
      <c r="F4694" s="12" t="inlineStr">
        <is>
          <t>PAD-EH 13.8 kV switchgear e-house</t>
        </is>
      </c>
      <c r="G4694" s="12" t="inlineStr">
        <is>
          <t>JB-MT-5-DI01</t>
        </is>
      </c>
      <c r="H4694" s="12" t="inlineStr">
        <is>
          <t>MT-5: microturbine 1 MW (Capstone C1000 class)</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Surface</t>
        </is>
      </c>
      <c r="T4694" s="16" t="n">
        <v>198</v>
      </c>
      <c r="U4694" s="16" t="n">
        <v>37</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I-I-0146</t>
        </is>
      </c>
      <c r="B4695" s="12" t="inlineStr">
        <is>
          <t>I</t>
        </is>
      </c>
      <c r="C4695" s="12" t="inlineStr">
        <is>
          <t>Modular / portable power</t>
        </is>
      </c>
      <c r="D4695" s="12" t="inlineStr">
        <is>
          <t>Analog instrument to JB JB-MT-6-AI01: 6 x 1 pr (field cables)</t>
        </is>
      </c>
      <c r="E4695" s="12" t="inlineStr">
        <is>
          <t>MT-6</t>
        </is>
      </c>
      <c r="F4695" s="12" t="inlineStr">
        <is>
          <t>MT-6: microturbine 1 MW (Capstone C1000 class)</t>
        </is>
      </c>
      <c r="G4695" s="12" t="inlineStr">
        <is>
          <t>JB-MT-6-AI01</t>
        </is>
      </c>
      <c r="H4695" s="12" t="inlineStr">
        <is>
          <t>MT-6: microturbine 1 MW (Capstone C1000 class)</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6</v>
      </c>
      <c r="O4695" s="12" t="n">
        <v>1</v>
      </c>
      <c r="P4695" s="12" t="n"/>
      <c r="Q4695" s="12" t="n"/>
      <c r="R4695" s="12" t="n"/>
      <c r="S4695" s="12" t="inlineStr">
        <is>
          <t>Tray / conduit</t>
        </is>
      </c>
      <c r="T4695" s="16" t="n">
        <v>47</v>
      </c>
      <c r="U4695" s="16" t="n">
        <v>10</v>
      </c>
      <c r="V4695" s="16">
        <f>ROUNDUP((T4695+U4695+2*'Read Me'!$B$13)*(1+'Read Me'!$B$12),-1)</f>
        <v/>
      </c>
      <c r="W4695" s="16">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I-I-0147</t>
        </is>
      </c>
      <c r="B4696" s="12" t="inlineStr">
        <is>
          <t>I</t>
        </is>
      </c>
      <c r="C4696" s="12" t="inlineStr">
        <is>
          <t>Modular / portable power</t>
        </is>
      </c>
      <c r="D4696" s="12" t="inlineStr">
        <is>
          <t>Home run JB-MT-6-AI01 to the control / marshalling room</t>
        </is>
      </c>
      <c r="E4696" s="12" t="inlineStr">
        <is>
          <t>PAD-EH</t>
        </is>
      </c>
      <c r="F4696" s="12" t="inlineStr">
        <is>
          <t>PAD-EH 13.8 kV switchgear e-house</t>
        </is>
      </c>
      <c r="G4696" s="12" t="inlineStr">
        <is>
          <t>JB-MT-6-AI01</t>
        </is>
      </c>
      <c r="H4696" s="12" t="inlineStr">
        <is>
          <t>MT-6: microturbine 1 MW (Capstone C1000 class)</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Surface</t>
        </is>
      </c>
      <c r="T4696" s="16" t="n">
        <v>67</v>
      </c>
      <c r="U4696" s="16" t="n">
        <v>90</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I-I-0148</t>
        </is>
      </c>
      <c r="B4697" s="12" t="inlineStr">
        <is>
          <t>I</t>
        </is>
      </c>
      <c r="C4697" s="12" t="inlineStr">
        <is>
          <t>Modular / portable power</t>
        </is>
      </c>
      <c r="D4697" s="12" t="inlineStr">
        <is>
          <t>Discrete device to JB JB-MT-6-DI01: 6 x 1 pr (field cables)</t>
        </is>
      </c>
      <c r="E4697" s="12" t="inlineStr">
        <is>
          <t>MT-6</t>
        </is>
      </c>
      <c r="F4697" s="12" t="inlineStr">
        <is>
          <t>MT-6: microturbine 1 MW (Capstone C1000 class)</t>
        </is>
      </c>
      <c r="G4697" s="12" t="inlineStr">
        <is>
          <t>JB-MT-6-DI01</t>
        </is>
      </c>
      <c r="H4697" s="12" t="inlineStr">
        <is>
          <t>MT-6: microturbine 1 MW (Capstone C1000 class)</t>
        </is>
      </c>
      <c r="I4697" s="12" t="inlineStr">
        <is>
          <t>Instrumentation</t>
        </is>
      </c>
      <c r="J4697" s="12" t="inlineStr">
        <is>
          <t>Instrumentation PLTC / TC-ER 300 V, #18 twisted shielded pairs, overall shield</t>
        </is>
      </c>
      <c r="K4697" s="12" t="inlineStr">
        <is>
          <t>PLTC|1 pr|16</t>
        </is>
      </c>
      <c r="L4697" s="12" t="inlineStr">
        <is>
          <t>1 pr</t>
        </is>
      </c>
      <c r="M4697" s="12" t="inlineStr">
        <is>
          <t>16</t>
        </is>
      </c>
      <c r="N4697" s="12" t="n">
        <v>6</v>
      </c>
      <c r="O4697" s="12" t="n">
        <v>1</v>
      </c>
      <c r="P4697" s="12" t="n"/>
      <c r="Q4697" s="12" t="n"/>
      <c r="R4697" s="12" t="n"/>
      <c r="S4697" s="12" t="inlineStr">
        <is>
          <t>Tray / conduit</t>
        </is>
      </c>
      <c r="T4697" s="16" t="n">
        <v>47</v>
      </c>
      <c r="U4697" s="16" t="n">
        <v>10</v>
      </c>
      <c r="V4697" s="16">
        <f>ROUNDUP((T4697+U4697+2*'Read Me'!$B$13)*(1+'Read Me'!$B$12),-1)</f>
        <v/>
      </c>
      <c r="W4697" s="16">
        <f>V4697*N4697*O4697</f>
        <v/>
      </c>
      <c r="X4697" s="12">
        <f>IF(LEFT(I4697,2)="MV",2*N4697*IF(L4697="1/C",O4697,1),0)</f>
        <v/>
      </c>
      <c r="Y4697" s="12">
        <f>IF(OR(LEFT(K4697,4)="LVAX",LEFT(K4697,6)="MV15AX",LEFT(K4697,4)="CTAX",LEFT(K4697,2)="W|"),2*N4697*O4697,0)</f>
        <v/>
      </c>
      <c r="Z4697" s="12" t="inlineStr">
        <is>
          <t>device-to-JB field wiring, one cable per device</t>
        </is>
      </c>
      <c r="AA4697" s="12">
        <f>N4697*O4697</f>
        <v/>
      </c>
    </row>
    <row r="4698">
      <c r="A4698" s="12" t="inlineStr">
        <is>
          <t>I-I-0149</t>
        </is>
      </c>
      <c r="B4698" s="12" t="inlineStr">
        <is>
          <t>I</t>
        </is>
      </c>
      <c r="C4698" s="12" t="inlineStr">
        <is>
          <t>Modular / portable power</t>
        </is>
      </c>
      <c r="D4698" s="12" t="inlineStr">
        <is>
          <t>Home run JB-MT-6-DI01 to the control / marshalling room</t>
        </is>
      </c>
      <c r="E4698" s="12" t="inlineStr">
        <is>
          <t>PAD-EH</t>
        </is>
      </c>
      <c r="F4698" s="12" t="inlineStr">
        <is>
          <t>PAD-EH 13.8 kV switchgear e-house</t>
        </is>
      </c>
      <c r="G4698" s="12" t="inlineStr">
        <is>
          <t>JB-MT-6-DI01</t>
        </is>
      </c>
      <c r="H4698" s="12" t="inlineStr">
        <is>
          <t>MT-6: microturbine 1 MW (Capstone C1000 class)</t>
        </is>
      </c>
      <c r="I4698" s="12" t="inlineStr">
        <is>
          <t>Instrumentation</t>
        </is>
      </c>
      <c r="J4698" s="12" t="inlineStr">
        <is>
          <t>Instrumentation PLTC / TC-ER 300 V, #18 twisted shielded pairs, overall shield</t>
        </is>
      </c>
      <c r="K4698" s="12" t="inlineStr">
        <is>
          <t>PLTC|24 pr|18</t>
        </is>
      </c>
      <c r="L4698" s="12" t="inlineStr">
        <is>
          <t>24 pr</t>
        </is>
      </c>
      <c r="M4698" s="12" t="inlineStr">
        <is>
          <t>18</t>
        </is>
      </c>
      <c r="N4698" s="12" t="n">
        <v>1</v>
      </c>
      <c r="O4698" s="12" t="n">
        <v>1</v>
      </c>
      <c r="P4698" s="12" t="n"/>
      <c r="Q4698" s="12" t="n"/>
      <c r="R4698" s="12" t="n"/>
      <c r="S4698" s="12" t="inlineStr">
        <is>
          <t>Surface</t>
        </is>
      </c>
      <c r="T4698" s="16" t="n">
        <v>67</v>
      </c>
      <c r="U4698" s="16" t="n">
        <v>90</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I-I-0150</t>
        </is>
      </c>
      <c r="B4699" s="12" t="inlineStr">
        <is>
          <t>I</t>
        </is>
      </c>
      <c r="C4699" s="12" t="inlineStr">
        <is>
          <t>Modular / portable power</t>
        </is>
      </c>
      <c r="D4699" s="12" t="inlineStr">
        <is>
          <t>Analog instrument to JB JB-RICE 1 SCR + oxida-AI01: 10 x 1 pr (field cables)</t>
        </is>
      </c>
      <c r="E4699" s="12" t="inlineStr"/>
      <c r="F4699" s="12" t="inlineStr">
        <is>
          <t>RICE 1 SCR + oxidation catalyst and stack</t>
        </is>
      </c>
      <c r="G4699" s="12" t="inlineStr">
        <is>
          <t>JB-RICE 1 SCR + oxida-AI01</t>
        </is>
      </c>
      <c r="H4699" s="12" t="inlineStr">
        <is>
          <t>RICE 1 SCR + oxidation catalyst and stack</t>
        </is>
      </c>
      <c r="I4699" s="12" t="inlineStr">
        <is>
          <t>Instrumentation</t>
        </is>
      </c>
      <c r="J4699" s="12" t="inlineStr">
        <is>
          <t>Instrumentation PLTC / TC-ER 300 V, #18 twisted shielded pairs, overall shield</t>
        </is>
      </c>
      <c r="K4699" s="12" t="inlineStr">
        <is>
          <t>PLTC|1 pr|16</t>
        </is>
      </c>
      <c r="L4699" s="12" t="inlineStr">
        <is>
          <t>1 pr</t>
        </is>
      </c>
      <c r="M4699" s="12" t="inlineStr">
        <is>
          <t>16</t>
        </is>
      </c>
      <c r="N4699" s="12" t="n">
        <v>10</v>
      </c>
      <c r="O4699" s="12" t="n">
        <v>1</v>
      </c>
      <c r="P4699" s="12" t="n"/>
      <c r="Q4699" s="12" t="n"/>
      <c r="R4699" s="12" t="n"/>
      <c r="S4699" s="12" t="inlineStr">
        <is>
          <t>Tray / conduit</t>
        </is>
      </c>
      <c r="T4699" s="16" t="n">
        <v>92</v>
      </c>
      <c r="U4699" s="16" t="n">
        <v>10</v>
      </c>
      <c r="V4699" s="16">
        <f>ROUNDUP((T4699+U4699+2*'Read Me'!$B$13)*(1+'Read Me'!$B$12),-1)</f>
        <v/>
      </c>
      <c r="W4699" s="16">
        <f>V4699*N4699*O4699</f>
        <v/>
      </c>
      <c r="X4699" s="12">
        <f>IF(LEFT(I4699,2)="MV",2*N4699*IF(L4699="1/C",O4699,1),0)</f>
        <v/>
      </c>
      <c r="Y4699" s="12">
        <f>IF(OR(LEFT(K4699,4)="LVAX",LEFT(K4699,6)="MV15AX",LEFT(K4699,4)="CTAX",LEFT(K4699,2)="W|"),2*N4699*O4699,0)</f>
        <v/>
      </c>
      <c r="Z4699" s="12" t="inlineStr">
        <is>
          <t>device-to-JB field wiring, one cable per device</t>
        </is>
      </c>
      <c r="AA4699" s="12">
        <f>N4699*O4699</f>
        <v/>
      </c>
    </row>
    <row r="4700">
      <c r="A4700" s="12" t="inlineStr">
        <is>
          <t>I-I-0151</t>
        </is>
      </c>
      <c r="B4700" s="12" t="inlineStr">
        <is>
          <t>I</t>
        </is>
      </c>
      <c r="C4700" s="12" t="inlineStr">
        <is>
          <t>Modular / portable power</t>
        </is>
      </c>
      <c r="D4700" s="12" t="inlineStr">
        <is>
          <t>Home run JB-RICE 1 SCR + oxida-AI01 to the control / marshalling room</t>
        </is>
      </c>
      <c r="E4700" s="12" t="inlineStr"/>
      <c r="F4700" s="12" t="inlineStr">
        <is>
          <t>PCM: power control module</t>
        </is>
      </c>
      <c r="G4700" s="12" t="inlineStr">
        <is>
          <t>JB-RICE 1 SCR + oxida-AI01</t>
        </is>
      </c>
      <c r="H4700" s="12" t="inlineStr">
        <is>
          <t>RICE 1 SCR + oxidation catalyst and stack</t>
        </is>
      </c>
      <c r="I4700" s="12" t="inlineStr">
        <is>
          <t>Instrumentation</t>
        </is>
      </c>
      <c r="J4700" s="12" t="inlineStr">
        <is>
          <t>Instrumentation PLTC / TC-ER 300 V, #18 twisted shielded pairs, overall shield</t>
        </is>
      </c>
      <c r="K4700" s="12" t="inlineStr">
        <is>
          <t>PLTC|24 pr|18</t>
        </is>
      </c>
      <c r="L4700" s="12" t="inlineStr">
        <is>
          <t>24 pr</t>
        </is>
      </c>
      <c r="M4700" s="12" t="inlineStr">
        <is>
          <t>18</t>
        </is>
      </c>
      <c r="N4700" s="12" t="n">
        <v>1</v>
      </c>
      <c r="O4700" s="12" t="n">
        <v>1</v>
      </c>
      <c r="P4700" s="12" t="n"/>
      <c r="Q4700" s="12" t="n"/>
      <c r="R4700" s="12" t="n"/>
      <c r="S4700" s="12" t="inlineStr">
        <is>
          <t>Duct bank</t>
        </is>
      </c>
      <c r="T4700" s="16" t="n">
        <v>470</v>
      </c>
      <c r="U4700" s="16" t="n">
        <v>160</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I-I-0152</t>
        </is>
      </c>
      <c r="B4701" s="12" t="inlineStr">
        <is>
          <t>I</t>
        </is>
      </c>
      <c r="C4701" s="12" t="inlineStr">
        <is>
          <t>Modular / portable power</t>
        </is>
      </c>
      <c r="D4701" s="12" t="inlineStr">
        <is>
          <t>Discrete device to JB JB-RICE 1 SCR + oxida-DI01: 6 x 1 pr (field cables)</t>
        </is>
      </c>
      <c r="E4701" s="12" t="inlineStr"/>
      <c r="F4701" s="12" t="inlineStr">
        <is>
          <t>RICE 1 SCR + oxidation catalyst and stack</t>
        </is>
      </c>
      <c r="G4701" s="12" t="inlineStr">
        <is>
          <t>JB-RICE 1 SCR + oxida-DI01</t>
        </is>
      </c>
      <c r="H4701" s="12" t="inlineStr">
        <is>
          <t>RICE 1 SCR + oxidation catalyst and stack</t>
        </is>
      </c>
      <c r="I4701" s="12" t="inlineStr">
        <is>
          <t>Instrumentation</t>
        </is>
      </c>
      <c r="J4701" s="12" t="inlineStr">
        <is>
          <t>Instrumentation PLTC / TC-ER 300 V, #18 twisted shielded pairs, overall shield</t>
        </is>
      </c>
      <c r="K4701" s="12" t="inlineStr">
        <is>
          <t>PLTC|1 pr|16</t>
        </is>
      </c>
      <c r="L4701" s="12" t="inlineStr">
        <is>
          <t>1 pr</t>
        </is>
      </c>
      <c r="M4701" s="12" t="inlineStr">
        <is>
          <t>16</t>
        </is>
      </c>
      <c r="N4701" s="12" t="n">
        <v>6</v>
      </c>
      <c r="O4701" s="12" t="n">
        <v>1</v>
      </c>
      <c r="P4701" s="12" t="n"/>
      <c r="Q4701" s="12" t="n"/>
      <c r="R4701" s="12" t="n"/>
      <c r="S4701" s="12" t="inlineStr">
        <is>
          <t>Tray / conduit</t>
        </is>
      </c>
      <c r="T4701" s="16" t="n">
        <v>92</v>
      </c>
      <c r="U4701" s="16" t="n">
        <v>10</v>
      </c>
      <c r="V4701" s="16">
        <f>ROUNDUP((T4701+U4701+2*'Read Me'!$B$13)*(1+'Read Me'!$B$12),-1)</f>
        <v/>
      </c>
      <c r="W4701" s="16">
        <f>V4701*N4701*O4701</f>
        <v/>
      </c>
      <c r="X4701" s="12">
        <f>IF(LEFT(I4701,2)="MV",2*N4701*IF(L4701="1/C",O4701,1),0)</f>
        <v/>
      </c>
      <c r="Y4701" s="12">
        <f>IF(OR(LEFT(K4701,4)="LVAX",LEFT(K4701,6)="MV15AX",LEFT(K4701,4)="CTAX",LEFT(K4701,2)="W|"),2*N4701*O4701,0)</f>
        <v/>
      </c>
      <c r="Z4701" s="12" t="inlineStr">
        <is>
          <t>device-to-JB field wiring, one cable per device</t>
        </is>
      </c>
      <c r="AA4701" s="12">
        <f>N4701*O4701</f>
        <v/>
      </c>
    </row>
    <row r="4702">
      <c r="A4702" s="12" t="inlineStr">
        <is>
          <t>I-I-0153</t>
        </is>
      </c>
      <c r="B4702" s="12" t="inlineStr">
        <is>
          <t>I</t>
        </is>
      </c>
      <c r="C4702" s="12" t="inlineStr">
        <is>
          <t>Modular / portable power</t>
        </is>
      </c>
      <c r="D4702" s="12" t="inlineStr">
        <is>
          <t>Home run JB-RICE 1 SCR + oxida-DI01 to the control / marshalling room</t>
        </is>
      </c>
      <c r="E4702" s="12" t="inlineStr"/>
      <c r="F4702" s="12" t="inlineStr">
        <is>
          <t>PCM: power control module</t>
        </is>
      </c>
      <c r="G4702" s="12" t="inlineStr">
        <is>
          <t>JB-RICE 1 SCR + oxida-DI01</t>
        </is>
      </c>
      <c r="H4702" s="12" t="inlineStr">
        <is>
          <t>RICE 1 SCR + oxidation catalyst and stack</t>
        </is>
      </c>
      <c r="I4702" s="12" t="inlineStr">
        <is>
          <t>Instrumentation</t>
        </is>
      </c>
      <c r="J4702" s="12" t="inlineStr">
        <is>
          <t>Instrumentation PLTC / TC-ER 300 V, #18 twisted shielded pairs, overall shield</t>
        </is>
      </c>
      <c r="K4702" s="12" t="inlineStr">
        <is>
          <t>PLTC|24 pr|18</t>
        </is>
      </c>
      <c r="L4702" s="12" t="inlineStr">
        <is>
          <t>24 pr</t>
        </is>
      </c>
      <c r="M4702" s="12" t="inlineStr">
        <is>
          <t>18</t>
        </is>
      </c>
      <c r="N4702" s="12" t="n">
        <v>1</v>
      </c>
      <c r="O4702" s="12" t="n">
        <v>1</v>
      </c>
      <c r="P4702" s="12" t="n"/>
      <c r="Q4702" s="12" t="n"/>
      <c r="R4702" s="12" t="n"/>
      <c r="S4702" s="12" t="inlineStr">
        <is>
          <t>Duct bank</t>
        </is>
      </c>
      <c r="T4702" s="16" t="n">
        <v>470</v>
      </c>
      <c r="U4702" s="16" t="n">
        <v>160</v>
      </c>
      <c r="V4702" s="16">
        <f>ROUNDUP((T4702+U4702+2*'Read Me'!$B$13)*(1+'Read Me'!$B$12),-1)</f>
        <v/>
      </c>
      <c r="W4702" s="16">
        <f>V4702*N4702*O4702</f>
        <v/>
      </c>
      <c r="X4702" s="12">
        <f>IF(LEFT(I4702,2)="MV",2*N4702*IF(L4702="1/C",O4702,1),0)</f>
        <v/>
      </c>
      <c r="Y4702" s="12">
        <f>IF(OR(LEFT(K4702,4)="LVAX",LEFT(K4702,6)="MV15AX",LEFT(K4702,4)="CTAX",LEFT(K4702,2)="W|"),2*N4702*O4702,0)</f>
        <v/>
      </c>
      <c r="Z4702" s="12" t="inlineStr"/>
      <c r="AA4702" s="12">
        <f>N4702*O4702</f>
        <v/>
      </c>
    </row>
    <row r="4703">
      <c r="A4703" s="12" t="inlineStr">
        <is>
          <t>I-I-0154</t>
        </is>
      </c>
      <c r="B4703" s="12" t="inlineStr">
        <is>
          <t>I</t>
        </is>
      </c>
      <c r="C4703" s="12" t="inlineStr">
        <is>
          <t>Modular / portable power</t>
        </is>
      </c>
      <c r="D4703" s="12" t="inlineStr">
        <is>
          <t>Analog instrument to JB JB-RICE 1 radiators (-AI01: 5 x 1 pr (field cables)</t>
        </is>
      </c>
      <c r="E4703" s="12" t="inlineStr"/>
      <c r="F4703" s="12" t="inlineStr">
        <is>
          <t>RICE 1 radiators (5)</t>
        </is>
      </c>
      <c r="G4703" s="12" t="inlineStr">
        <is>
          <t>JB-RICE 1 radiators (-AI01</t>
        </is>
      </c>
      <c r="H4703" s="12" t="inlineStr">
        <is>
          <t>RICE 1 radiators (5)</t>
        </is>
      </c>
      <c r="I4703" s="12" t="inlineStr">
        <is>
          <t>Instrumentation</t>
        </is>
      </c>
      <c r="J4703" s="12" t="inlineStr">
        <is>
          <t>Instrumentation PLTC / TC-ER 300 V, #18 twisted shielded pairs, overall shield</t>
        </is>
      </c>
      <c r="K4703" s="12" t="inlineStr">
        <is>
          <t>PLTC|1 pr|16</t>
        </is>
      </c>
      <c r="L4703" s="12" t="inlineStr">
        <is>
          <t>1 pr</t>
        </is>
      </c>
      <c r="M4703" s="12" t="inlineStr">
        <is>
          <t>16</t>
        </is>
      </c>
      <c r="N4703" s="12" t="n">
        <v>5</v>
      </c>
      <c r="O4703" s="12" t="n">
        <v>1</v>
      </c>
      <c r="P4703" s="12" t="n"/>
      <c r="Q4703" s="12" t="n"/>
      <c r="R4703" s="12" t="n"/>
      <c r="S4703" s="12" t="inlineStr">
        <is>
          <t>Tray / conduit</t>
        </is>
      </c>
      <c r="T4703" s="16" t="n">
        <v>80</v>
      </c>
      <c r="U4703" s="16" t="n">
        <v>10</v>
      </c>
      <c r="V4703" s="16">
        <f>ROUNDUP((T4703+U4703+2*'Read Me'!$B$13)*(1+'Read Me'!$B$12),-1)</f>
        <v/>
      </c>
      <c r="W4703" s="16">
        <f>V4703*N4703*O4703</f>
        <v/>
      </c>
      <c r="X4703" s="12">
        <f>IF(LEFT(I4703,2)="MV",2*N4703*IF(L4703="1/C",O4703,1),0)</f>
        <v/>
      </c>
      <c r="Y4703" s="12">
        <f>IF(OR(LEFT(K4703,4)="LVAX",LEFT(K4703,6)="MV15AX",LEFT(K4703,4)="CTAX",LEFT(K4703,2)="W|"),2*N4703*O4703,0)</f>
        <v/>
      </c>
      <c r="Z4703" s="12" t="inlineStr">
        <is>
          <t>device-to-JB field wiring, one cable per device</t>
        </is>
      </c>
      <c r="AA4703" s="12">
        <f>N4703*O4703</f>
        <v/>
      </c>
    </row>
    <row r="4704">
      <c r="A4704" s="12" t="inlineStr">
        <is>
          <t>I-I-0155</t>
        </is>
      </c>
      <c r="B4704" s="12" t="inlineStr">
        <is>
          <t>I</t>
        </is>
      </c>
      <c r="C4704" s="12" t="inlineStr">
        <is>
          <t>Modular / portable power</t>
        </is>
      </c>
      <c r="D4704" s="12" t="inlineStr">
        <is>
          <t>Home run JB-RICE 1 radiators (-AI01 to the control / marshalling room</t>
        </is>
      </c>
      <c r="E4704" s="12" t="inlineStr"/>
      <c r="F4704" s="12" t="inlineStr">
        <is>
          <t>PCM: power control module</t>
        </is>
      </c>
      <c r="G4704" s="12" t="inlineStr">
        <is>
          <t>JB-RICE 1 radiators (-AI01</t>
        </is>
      </c>
      <c r="H4704" s="12" t="inlineStr">
        <is>
          <t>RICE 1 radiators (5)</t>
        </is>
      </c>
      <c r="I4704" s="12" t="inlineStr">
        <is>
          <t>Instrumentation</t>
        </is>
      </c>
      <c r="J4704" s="12" t="inlineStr">
        <is>
          <t>Instrumentation PLTC / TC-ER 300 V, #18 twisted shielded pairs, overall shield</t>
        </is>
      </c>
      <c r="K4704" s="12" t="inlineStr">
        <is>
          <t>PLTC|24 pr|18</t>
        </is>
      </c>
      <c r="L4704" s="12" t="inlineStr">
        <is>
          <t>24 pr</t>
        </is>
      </c>
      <c r="M4704" s="12" t="inlineStr">
        <is>
          <t>18</t>
        </is>
      </c>
      <c r="N4704" s="12" t="n">
        <v>1</v>
      </c>
      <c r="O4704" s="12" t="n">
        <v>1</v>
      </c>
      <c r="P4704" s="12" t="n"/>
      <c r="Q4704" s="12" t="n"/>
      <c r="R4704" s="12" t="n"/>
      <c r="S4704" s="12" t="inlineStr">
        <is>
          <t>Duct bank</t>
        </is>
      </c>
      <c r="T4704" s="16" t="n">
        <v>745</v>
      </c>
      <c r="U4704" s="16" t="n">
        <v>139</v>
      </c>
      <c r="V4704" s="16">
        <f>ROUNDUP((T4704+U4704+2*'Read Me'!$B$13)*(1+'Read Me'!$B$12),-1)</f>
        <v/>
      </c>
      <c r="W4704" s="16">
        <f>V4704*N4704*O4704</f>
        <v/>
      </c>
      <c r="X4704" s="12">
        <f>IF(LEFT(I4704,2)="MV",2*N4704*IF(L4704="1/C",O4704,1),0)</f>
        <v/>
      </c>
      <c r="Y4704" s="12">
        <f>IF(OR(LEFT(K4704,4)="LVAX",LEFT(K4704,6)="MV15AX",LEFT(K4704,4)="CTAX",LEFT(K4704,2)="W|"),2*N4704*O4704,0)</f>
        <v/>
      </c>
      <c r="Z4704" s="12" t="inlineStr"/>
      <c r="AA4704" s="12">
        <f>N4704*O4704</f>
        <v/>
      </c>
    </row>
    <row r="4705">
      <c r="A4705" s="12" t="inlineStr">
        <is>
          <t>I-I-0156</t>
        </is>
      </c>
      <c r="B4705" s="12" t="inlineStr">
        <is>
          <t>I</t>
        </is>
      </c>
      <c r="C4705" s="12" t="inlineStr">
        <is>
          <t>Modular / portable power</t>
        </is>
      </c>
      <c r="D4705" s="12" t="inlineStr">
        <is>
          <t>Discrete device to JB JB-RICE 1 radiators (-DI01: 10 x 1 pr (field cables)</t>
        </is>
      </c>
      <c r="E4705" s="12" t="inlineStr"/>
      <c r="F4705" s="12" t="inlineStr">
        <is>
          <t>RICE 1 radiators (5)</t>
        </is>
      </c>
      <c r="G4705" s="12" t="inlineStr">
        <is>
          <t>JB-RICE 1 radiators (-DI01</t>
        </is>
      </c>
      <c r="H4705" s="12" t="inlineStr">
        <is>
          <t>RICE 1 radiators (5)</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10</v>
      </c>
      <c r="O4705" s="12" t="n">
        <v>1</v>
      </c>
      <c r="P4705" s="12" t="n"/>
      <c r="Q4705" s="12" t="n"/>
      <c r="R4705" s="12" t="n"/>
      <c r="S4705" s="12" t="inlineStr">
        <is>
          <t>Tray / conduit</t>
        </is>
      </c>
      <c r="T4705" s="16" t="n">
        <v>80</v>
      </c>
      <c r="U4705" s="16" t="n">
        <v>10</v>
      </c>
      <c r="V4705" s="16">
        <f>ROUNDUP((T4705+U4705+2*'Read Me'!$B$13)*(1+'Read Me'!$B$12),-1)</f>
        <v/>
      </c>
      <c r="W4705" s="16">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I-I-0157</t>
        </is>
      </c>
      <c r="B4706" s="12" t="inlineStr">
        <is>
          <t>I</t>
        </is>
      </c>
      <c r="C4706" s="12" t="inlineStr">
        <is>
          <t>Modular / portable power</t>
        </is>
      </c>
      <c r="D4706" s="12" t="inlineStr">
        <is>
          <t>Home run JB-RICE 1 radiators (-DI01 to the control / marshalling room</t>
        </is>
      </c>
      <c r="E4706" s="12" t="inlineStr"/>
      <c r="F4706" s="12" t="inlineStr">
        <is>
          <t>PCM: power control module</t>
        </is>
      </c>
      <c r="G4706" s="12" t="inlineStr">
        <is>
          <t>JB-RICE 1 radiators (-DI01</t>
        </is>
      </c>
      <c r="H4706" s="12" t="inlineStr">
        <is>
          <t>RICE 1 radiators (5)</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Duct bank</t>
        </is>
      </c>
      <c r="T4706" s="16" t="n">
        <v>745</v>
      </c>
      <c r="U4706" s="16" t="n">
        <v>139</v>
      </c>
      <c r="V4706" s="16">
        <f>ROUNDUP((T4706+U4706+2*'Read Me'!$B$13)*(1+'Read Me'!$B$12),-1)</f>
        <v/>
      </c>
      <c r="W4706" s="16">
        <f>V4706*N4706*O4706</f>
        <v/>
      </c>
      <c r="X4706" s="12">
        <f>IF(LEFT(I4706,2)="MV",2*N4706*IF(L4706="1/C",O4706,1),0)</f>
        <v/>
      </c>
      <c r="Y4706" s="12">
        <f>IF(OR(LEFT(K4706,4)="LVAX",LEFT(K4706,6)="MV15AX",LEFT(K4706,4)="CTAX",LEFT(K4706,2)="W|"),2*N4706*O4706,0)</f>
        <v/>
      </c>
      <c r="Z4706" s="12" t="inlineStr"/>
      <c r="AA4706" s="12">
        <f>N4706*O4706</f>
        <v/>
      </c>
    </row>
    <row r="4707">
      <c r="A4707" s="12" t="inlineStr">
        <is>
          <t>I-I-0158</t>
        </is>
      </c>
      <c r="B4707" s="12" t="inlineStr">
        <is>
          <t>I</t>
        </is>
      </c>
      <c r="C4707" s="12" t="inlineStr">
        <is>
          <t>Modular / portable power</t>
        </is>
      </c>
      <c r="D4707" s="12" t="inlineStr">
        <is>
          <t>Analog instrument to JB JB-RICE 2 SCR + oxida-AI01: 10 x 1 pr (field cables)</t>
        </is>
      </c>
      <c r="E4707" s="12" t="inlineStr"/>
      <c r="F4707" s="12" t="inlineStr">
        <is>
          <t>RICE 2 SCR + oxidation catalyst and stack</t>
        </is>
      </c>
      <c r="G4707" s="12" t="inlineStr">
        <is>
          <t>JB-RICE 2 SCR + oxida-AI01</t>
        </is>
      </c>
      <c r="H4707" s="12" t="inlineStr">
        <is>
          <t>RICE 2 SCR + oxidation catalyst and stack</t>
        </is>
      </c>
      <c r="I4707" s="12" t="inlineStr">
        <is>
          <t>Instrumentation</t>
        </is>
      </c>
      <c r="J4707" s="12" t="inlineStr">
        <is>
          <t>Instrumentation PLTC / TC-ER 300 V, #18 twisted shielded pairs, overall shield</t>
        </is>
      </c>
      <c r="K4707" s="12" t="inlineStr">
        <is>
          <t>PLTC|1 pr|16</t>
        </is>
      </c>
      <c r="L4707" s="12" t="inlineStr">
        <is>
          <t>1 pr</t>
        </is>
      </c>
      <c r="M4707" s="12" t="inlineStr">
        <is>
          <t>16</t>
        </is>
      </c>
      <c r="N4707" s="12" t="n">
        <v>10</v>
      </c>
      <c r="O4707" s="12" t="n">
        <v>1</v>
      </c>
      <c r="P4707" s="12" t="n"/>
      <c r="Q4707" s="12" t="n"/>
      <c r="R4707" s="12" t="n"/>
      <c r="S4707" s="12" t="inlineStr">
        <is>
          <t>Tray / conduit</t>
        </is>
      </c>
      <c r="T4707" s="16" t="n">
        <v>92</v>
      </c>
      <c r="U4707" s="16" t="n">
        <v>10</v>
      </c>
      <c r="V4707" s="16">
        <f>ROUNDUP((T4707+U4707+2*'Read Me'!$B$13)*(1+'Read Me'!$B$12),-1)</f>
        <v/>
      </c>
      <c r="W4707" s="16">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I-I-0159</t>
        </is>
      </c>
      <c r="B4708" s="12" t="inlineStr">
        <is>
          <t>I</t>
        </is>
      </c>
      <c r="C4708" s="12" t="inlineStr">
        <is>
          <t>Modular / portable power</t>
        </is>
      </c>
      <c r="D4708" s="12" t="inlineStr">
        <is>
          <t>Home run JB-RICE 2 SCR + oxida-AI01 to the control / marshalling room</t>
        </is>
      </c>
      <c r="E4708" s="12" t="inlineStr"/>
      <c r="F4708" s="12" t="inlineStr">
        <is>
          <t>PCM: power control module</t>
        </is>
      </c>
      <c r="G4708" s="12" t="inlineStr">
        <is>
          <t>JB-RICE 2 SCR + oxida-AI01</t>
        </is>
      </c>
      <c r="H4708" s="12" t="inlineStr">
        <is>
          <t>RICE 2 SCR + oxidation catalyst and stack</t>
        </is>
      </c>
      <c r="I4708" s="12" t="inlineStr">
        <is>
          <t>Instrumentation</t>
        </is>
      </c>
      <c r="J4708" s="12" t="inlineStr">
        <is>
          <t>Instrumentation PLTC / TC-ER 300 V, #18 twisted shielded pairs, overall shield</t>
        </is>
      </c>
      <c r="K4708" s="12" t="inlineStr">
        <is>
          <t>PLTC|24 pr|18</t>
        </is>
      </c>
      <c r="L4708" s="12" t="inlineStr">
        <is>
          <t>24 pr</t>
        </is>
      </c>
      <c r="M4708" s="12" t="inlineStr">
        <is>
          <t>18</t>
        </is>
      </c>
      <c r="N4708" s="12" t="n">
        <v>1</v>
      </c>
      <c r="O4708" s="12" t="n">
        <v>1</v>
      </c>
      <c r="P4708" s="12" t="n"/>
      <c r="Q4708" s="12" t="n"/>
      <c r="R4708" s="12" t="n"/>
      <c r="S4708" s="12" t="inlineStr">
        <is>
          <t>Duct bank</t>
        </is>
      </c>
      <c r="T4708" s="16" t="n">
        <v>470</v>
      </c>
      <c r="U4708" s="16" t="n">
        <v>132</v>
      </c>
      <c r="V4708" s="16">
        <f>ROUNDUP((T4708+U4708+2*'Read Me'!$B$13)*(1+'Read Me'!$B$12),-1)</f>
        <v/>
      </c>
      <c r="W4708" s="16">
        <f>V4708*N4708*O4708</f>
        <v/>
      </c>
      <c r="X4708" s="12">
        <f>IF(LEFT(I4708,2)="MV",2*N4708*IF(L4708="1/C",O4708,1),0)</f>
        <v/>
      </c>
      <c r="Y4708" s="12">
        <f>IF(OR(LEFT(K4708,4)="LVAX",LEFT(K4708,6)="MV15AX",LEFT(K4708,4)="CTAX",LEFT(K4708,2)="W|"),2*N4708*O4708,0)</f>
        <v/>
      </c>
      <c r="Z4708" s="12" t="inlineStr"/>
      <c r="AA4708" s="12">
        <f>N4708*O4708</f>
        <v/>
      </c>
    </row>
    <row r="4709">
      <c r="A4709" s="12" t="inlineStr">
        <is>
          <t>I-I-0160</t>
        </is>
      </c>
      <c r="B4709" s="12" t="inlineStr">
        <is>
          <t>I</t>
        </is>
      </c>
      <c r="C4709" s="12" t="inlineStr">
        <is>
          <t>Modular / portable power</t>
        </is>
      </c>
      <c r="D4709" s="12" t="inlineStr">
        <is>
          <t>Discrete device to JB JB-RICE 2 SCR + oxida-DI01: 6 x 1 pr (field cables)</t>
        </is>
      </c>
      <c r="E4709" s="12" t="inlineStr"/>
      <c r="F4709" s="12" t="inlineStr">
        <is>
          <t>RICE 2 SCR + oxidation catalyst and stack</t>
        </is>
      </c>
      <c r="G4709" s="12" t="inlineStr">
        <is>
          <t>JB-RICE 2 SCR + oxida-DI01</t>
        </is>
      </c>
      <c r="H4709" s="12" t="inlineStr">
        <is>
          <t>RICE 2 SCR + oxidation catalyst and stack</t>
        </is>
      </c>
      <c r="I4709" s="12" t="inlineStr">
        <is>
          <t>Instrumentation</t>
        </is>
      </c>
      <c r="J4709" s="12" t="inlineStr">
        <is>
          <t>Instrumentation PLTC / TC-ER 300 V, #18 twisted shielded pairs, overall shield</t>
        </is>
      </c>
      <c r="K4709" s="12" t="inlineStr">
        <is>
          <t>PLTC|1 pr|16</t>
        </is>
      </c>
      <c r="L4709" s="12" t="inlineStr">
        <is>
          <t>1 pr</t>
        </is>
      </c>
      <c r="M4709" s="12" t="inlineStr">
        <is>
          <t>16</t>
        </is>
      </c>
      <c r="N4709" s="12" t="n">
        <v>6</v>
      </c>
      <c r="O4709" s="12" t="n">
        <v>1</v>
      </c>
      <c r="P4709" s="12" t="n"/>
      <c r="Q4709" s="12" t="n"/>
      <c r="R4709" s="12" t="n"/>
      <c r="S4709" s="12" t="inlineStr">
        <is>
          <t>Tray / conduit</t>
        </is>
      </c>
      <c r="T4709" s="16" t="n">
        <v>92</v>
      </c>
      <c r="U4709" s="16" t="n">
        <v>10</v>
      </c>
      <c r="V4709" s="16">
        <f>ROUNDUP((T4709+U4709+2*'Read Me'!$B$13)*(1+'Read Me'!$B$12),-1)</f>
        <v/>
      </c>
      <c r="W4709" s="16">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I-I-0161</t>
        </is>
      </c>
      <c r="B4710" s="12" t="inlineStr">
        <is>
          <t>I</t>
        </is>
      </c>
      <c r="C4710" s="12" t="inlineStr">
        <is>
          <t>Modular / portable power</t>
        </is>
      </c>
      <c r="D4710" s="12" t="inlineStr">
        <is>
          <t>Home run JB-RICE 2 SCR + oxida-DI01 to the control / marshalling room</t>
        </is>
      </c>
      <c r="E4710" s="12" t="inlineStr"/>
      <c r="F4710" s="12" t="inlineStr">
        <is>
          <t>PCM: power control module</t>
        </is>
      </c>
      <c r="G4710" s="12" t="inlineStr">
        <is>
          <t>JB-RICE 2 SCR + oxida-DI01</t>
        </is>
      </c>
      <c r="H4710" s="12" t="inlineStr">
        <is>
          <t>RICE 2 SCR + oxidation catalyst and stack</t>
        </is>
      </c>
      <c r="I4710" s="12" t="inlineStr">
        <is>
          <t>Instrumentation</t>
        </is>
      </c>
      <c r="J4710" s="12" t="inlineStr">
        <is>
          <t>Instrumentation PLTC / TC-ER 300 V, #18 twisted shielded pairs, overall shield</t>
        </is>
      </c>
      <c r="K4710" s="12" t="inlineStr">
        <is>
          <t>PLTC|24 pr|18</t>
        </is>
      </c>
      <c r="L4710" s="12" t="inlineStr">
        <is>
          <t>24 pr</t>
        </is>
      </c>
      <c r="M4710" s="12" t="inlineStr">
        <is>
          <t>18</t>
        </is>
      </c>
      <c r="N4710" s="12" t="n">
        <v>1</v>
      </c>
      <c r="O4710" s="12" t="n">
        <v>1</v>
      </c>
      <c r="P4710" s="12" t="n"/>
      <c r="Q4710" s="12" t="n"/>
      <c r="R4710" s="12" t="n"/>
      <c r="S4710" s="12" t="inlineStr">
        <is>
          <t>Duct bank</t>
        </is>
      </c>
      <c r="T4710" s="16" t="n">
        <v>470</v>
      </c>
      <c r="U4710" s="16" t="n">
        <v>132</v>
      </c>
      <c r="V4710" s="16">
        <f>ROUNDUP((T4710+U4710+2*'Read Me'!$B$13)*(1+'Read Me'!$B$12),-1)</f>
        <v/>
      </c>
      <c r="W4710" s="16">
        <f>V4710*N4710*O4710</f>
        <v/>
      </c>
      <c r="X4710" s="12">
        <f>IF(LEFT(I4710,2)="MV",2*N4710*IF(L4710="1/C",O4710,1),0)</f>
        <v/>
      </c>
      <c r="Y4710" s="12">
        <f>IF(OR(LEFT(K4710,4)="LVAX",LEFT(K4710,6)="MV15AX",LEFT(K4710,4)="CTAX",LEFT(K4710,2)="W|"),2*N4710*O4710,0)</f>
        <v/>
      </c>
      <c r="Z4710" s="12" t="inlineStr"/>
      <c r="AA4710" s="12">
        <f>N4710*O4710</f>
        <v/>
      </c>
    </row>
    <row r="4711">
      <c r="A4711" s="12" t="inlineStr">
        <is>
          <t>I-I-0162</t>
        </is>
      </c>
      <c r="B4711" s="12" t="inlineStr">
        <is>
          <t>I</t>
        </is>
      </c>
      <c r="C4711" s="12" t="inlineStr">
        <is>
          <t>Modular / portable power</t>
        </is>
      </c>
      <c r="D4711" s="12" t="inlineStr">
        <is>
          <t>Analog instrument to JB JB-RICE 2 radiators (-AI01: 5 x 1 pr (field cables)</t>
        </is>
      </c>
      <c r="E4711" s="12" t="inlineStr"/>
      <c r="F4711" s="12" t="inlineStr">
        <is>
          <t>RICE 2 radiators (5)</t>
        </is>
      </c>
      <c r="G4711" s="12" t="inlineStr">
        <is>
          <t>JB-RICE 2 radiators (-AI01</t>
        </is>
      </c>
      <c r="H4711" s="12" t="inlineStr">
        <is>
          <t>RICE 2 radiators (5)</t>
        </is>
      </c>
      <c r="I4711" s="12" t="inlineStr">
        <is>
          <t>Instrumentation</t>
        </is>
      </c>
      <c r="J4711" s="12" t="inlineStr">
        <is>
          <t>Instrumentation PLTC / TC-ER 300 V, #18 twisted shielded pairs, overall shield</t>
        </is>
      </c>
      <c r="K4711" s="12" t="inlineStr">
        <is>
          <t>PLTC|1 pr|16</t>
        </is>
      </c>
      <c r="L4711" s="12" t="inlineStr">
        <is>
          <t>1 pr</t>
        </is>
      </c>
      <c r="M4711" s="12" t="inlineStr">
        <is>
          <t>16</t>
        </is>
      </c>
      <c r="N4711" s="12" t="n">
        <v>5</v>
      </c>
      <c r="O4711" s="12" t="n">
        <v>1</v>
      </c>
      <c r="P4711" s="12" t="n"/>
      <c r="Q4711" s="12" t="n"/>
      <c r="R4711" s="12" t="n"/>
      <c r="S4711" s="12" t="inlineStr">
        <is>
          <t>Tray / conduit</t>
        </is>
      </c>
      <c r="T4711" s="16" t="n">
        <v>80</v>
      </c>
      <c r="U4711" s="16" t="n">
        <v>10</v>
      </c>
      <c r="V4711" s="16">
        <f>ROUNDUP((T4711+U4711+2*'Read Me'!$B$13)*(1+'Read Me'!$B$12),-1)</f>
        <v/>
      </c>
      <c r="W4711" s="16">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I-I-0163</t>
        </is>
      </c>
      <c r="B4712" s="12" t="inlineStr">
        <is>
          <t>I</t>
        </is>
      </c>
      <c r="C4712" s="12" t="inlineStr">
        <is>
          <t>Modular / portable power</t>
        </is>
      </c>
      <c r="D4712" s="12" t="inlineStr">
        <is>
          <t>Home run JB-RICE 2 radiators (-AI01 to the control / marshalling room</t>
        </is>
      </c>
      <c r="E4712" s="12" t="inlineStr"/>
      <c r="F4712" s="12" t="inlineStr">
        <is>
          <t>PCM: power control module</t>
        </is>
      </c>
      <c r="G4712" s="12" t="inlineStr">
        <is>
          <t>JB-RICE 2 radiators (-AI01</t>
        </is>
      </c>
      <c r="H4712" s="12" t="inlineStr">
        <is>
          <t>RICE 2 radiators (5)</t>
        </is>
      </c>
      <c r="I4712" s="12" t="inlineStr">
        <is>
          <t>Instrumentation</t>
        </is>
      </c>
      <c r="J4712" s="12" t="inlineStr">
        <is>
          <t>Instrumentation PLTC / TC-ER 300 V, #18 twisted shielded pairs, overall shield</t>
        </is>
      </c>
      <c r="K4712" s="12" t="inlineStr">
        <is>
          <t>PLTC|24 pr|18</t>
        </is>
      </c>
      <c r="L4712" s="12" t="inlineStr">
        <is>
          <t>24 pr</t>
        </is>
      </c>
      <c r="M4712" s="12" t="inlineStr">
        <is>
          <t>18</t>
        </is>
      </c>
      <c r="N4712" s="12" t="n">
        <v>1</v>
      </c>
      <c r="O4712" s="12" t="n">
        <v>1</v>
      </c>
      <c r="P4712" s="12" t="n"/>
      <c r="Q4712" s="12" t="n"/>
      <c r="R4712" s="12" t="n"/>
      <c r="S4712" s="12" t="inlineStr">
        <is>
          <t>Duct bank</t>
        </is>
      </c>
      <c r="T4712" s="16" t="n">
        <v>550</v>
      </c>
      <c r="U4712" s="16" t="n">
        <v>192</v>
      </c>
      <c r="V4712" s="16">
        <f>ROUNDUP((T4712+U4712+2*'Read Me'!$B$13)*(1+'Read Me'!$B$12),-1)</f>
        <v/>
      </c>
      <c r="W4712" s="16">
        <f>V4712*N4712*O4712</f>
        <v/>
      </c>
      <c r="X4712" s="12">
        <f>IF(LEFT(I4712,2)="MV",2*N4712*IF(L4712="1/C",O4712,1),0)</f>
        <v/>
      </c>
      <c r="Y4712" s="12">
        <f>IF(OR(LEFT(K4712,4)="LVAX",LEFT(K4712,6)="MV15AX",LEFT(K4712,4)="CTAX",LEFT(K4712,2)="W|"),2*N4712*O4712,0)</f>
        <v/>
      </c>
      <c r="Z4712" s="12" t="inlineStr"/>
      <c r="AA4712" s="12">
        <f>N4712*O4712</f>
        <v/>
      </c>
    </row>
    <row r="4713">
      <c r="A4713" s="12" t="inlineStr">
        <is>
          <t>I-I-0164</t>
        </is>
      </c>
      <c r="B4713" s="12" t="inlineStr">
        <is>
          <t>I</t>
        </is>
      </c>
      <c r="C4713" s="12" t="inlineStr">
        <is>
          <t>Modular / portable power</t>
        </is>
      </c>
      <c r="D4713" s="12" t="inlineStr">
        <is>
          <t>Discrete device to JB JB-RICE 2 radiators (-DI01: 10 x 1 pr (field cables)</t>
        </is>
      </c>
      <c r="E4713" s="12" t="inlineStr"/>
      <c r="F4713" s="12" t="inlineStr">
        <is>
          <t>RICE 2 radiators (5)</t>
        </is>
      </c>
      <c r="G4713" s="12" t="inlineStr">
        <is>
          <t>JB-RICE 2 radiators (-DI01</t>
        </is>
      </c>
      <c r="H4713" s="12" t="inlineStr">
        <is>
          <t>RICE 2 radiators (5)</t>
        </is>
      </c>
      <c r="I4713" s="12" t="inlineStr">
        <is>
          <t>Instrumentation</t>
        </is>
      </c>
      <c r="J4713" s="12" t="inlineStr">
        <is>
          <t>Instrumentation PLTC / TC-ER 300 V, #18 twisted shielded pairs, overall shield</t>
        </is>
      </c>
      <c r="K4713" s="12" t="inlineStr">
        <is>
          <t>PLTC|1 pr|16</t>
        </is>
      </c>
      <c r="L4713" s="12" t="inlineStr">
        <is>
          <t>1 pr</t>
        </is>
      </c>
      <c r="M4713" s="12" t="inlineStr">
        <is>
          <t>16</t>
        </is>
      </c>
      <c r="N4713" s="12" t="n">
        <v>10</v>
      </c>
      <c r="O4713" s="12" t="n">
        <v>1</v>
      </c>
      <c r="P4713" s="12" t="n"/>
      <c r="Q4713" s="12" t="n"/>
      <c r="R4713" s="12" t="n"/>
      <c r="S4713" s="12" t="inlineStr">
        <is>
          <t>Tray / conduit</t>
        </is>
      </c>
      <c r="T4713" s="16" t="n">
        <v>80</v>
      </c>
      <c r="U4713" s="16" t="n">
        <v>10</v>
      </c>
      <c r="V4713" s="16">
        <f>ROUNDUP((T4713+U4713+2*'Read Me'!$B$13)*(1+'Read Me'!$B$12),-1)</f>
        <v/>
      </c>
      <c r="W4713" s="16">
        <f>V4713*N4713*O4713</f>
        <v/>
      </c>
      <c r="X4713" s="12">
        <f>IF(LEFT(I4713,2)="MV",2*N4713*IF(L4713="1/C",O4713,1),0)</f>
        <v/>
      </c>
      <c r="Y4713" s="12">
        <f>IF(OR(LEFT(K4713,4)="LVAX",LEFT(K4713,6)="MV15AX",LEFT(K4713,4)="CTAX",LEFT(K4713,2)="W|"),2*N4713*O4713,0)</f>
        <v/>
      </c>
      <c r="Z4713" s="12" t="inlineStr">
        <is>
          <t>device-to-JB field wiring, one cable per device</t>
        </is>
      </c>
      <c r="AA4713" s="12">
        <f>N4713*O4713</f>
        <v/>
      </c>
    </row>
    <row r="4714">
      <c r="A4714" s="12" t="inlineStr">
        <is>
          <t>I-I-0165</t>
        </is>
      </c>
      <c r="B4714" s="12" t="inlineStr">
        <is>
          <t>I</t>
        </is>
      </c>
      <c r="C4714" s="12" t="inlineStr">
        <is>
          <t>Modular / portable power</t>
        </is>
      </c>
      <c r="D4714" s="12" t="inlineStr">
        <is>
          <t>Home run JB-RICE 2 radiators (-DI01 to the control / marshalling room</t>
        </is>
      </c>
      <c r="E4714" s="12" t="inlineStr"/>
      <c r="F4714" s="12" t="inlineStr">
        <is>
          <t>PCM: power control module</t>
        </is>
      </c>
      <c r="G4714" s="12" t="inlineStr">
        <is>
          <t>JB-RICE 2 radiators (-DI01</t>
        </is>
      </c>
      <c r="H4714" s="12" t="inlineStr">
        <is>
          <t>RICE 2 radiators (5)</t>
        </is>
      </c>
      <c r="I4714" s="12" t="inlineStr">
        <is>
          <t>Instrumentation</t>
        </is>
      </c>
      <c r="J4714" s="12" t="inlineStr">
        <is>
          <t>Instrumentation PLTC / TC-ER 300 V, #18 twisted shielded pairs, overall shield</t>
        </is>
      </c>
      <c r="K4714" s="12" t="inlineStr">
        <is>
          <t>PLTC|24 pr|18</t>
        </is>
      </c>
      <c r="L4714" s="12" t="inlineStr">
        <is>
          <t>24 pr</t>
        </is>
      </c>
      <c r="M4714" s="12" t="inlineStr">
        <is>
          <t>18</t>
        </is>
      </c>
      <c r="N4714" s="12" t="n">
        <v>1</v>
      </c>
      <c r="O4714" s="12" t="n">
        <v>1</v>
      </c>
      <c r="P4714" s="12" t="n"/>
      <c r="Q4714" s="12" t="n"/>
      <c r="R4714" s="12" t="n"/>
      <c r="S4714" s="12" t="inlineStr">
        <is>
          <t>Duct bank</t>
        </is>
      </c>
      <c r="T4714" s="16" t="n">
        <v>550</v>
      </c>
      <c r="U4714" s="16" t="n">
        <v>192</v>
      </c>
      <c r="V4714" s="16">
        <f>ROUNDUP((T4714+U4714+2*'Read Me'!$B$13)*(1+'Read Me'!$B$12),-1)</f>
        <v/>
      </c>
      <c r="W4714" s="16">
        <f>V4714*N4714*O4714</f>
        <v/>
      </c>
      <c r="X4714" s="12">
        <f>IF(LEFT(I4714,2)="MV",2*N4714*IF(L4714="1/C",O4714,1),0)</f>
        <v/>
      </c>
      <c r="Y4714" s="12">
        <f>IF(OR(LEFT(K4714,4)="LVAX",LEFT(K4714,6)="MV15AX",LEFT(K4714,4)="CTAX",LEFT(K4714,2)="W|"),2*N4714*O4714,0)</f>
        <v/>
      </c>
      <c r="Z4714" s="12" t="inlineStr"/>
      <c r="AA4714" s="12">
        <f>N4714*O4714</f>
        <v/>
      </c>
    </row>
    <row r="4715">
      <c r="A4715" s="12" t="inlineStr">
        <is>
          <t>I-I-0166</t>
        </is>
      </c>
      <c r="B4715" s="12" t="inlineStr">
        <is>
          <t>I</t>
        </is>
      </c>
      <c r="C4715" s="12" t="inlineStr">
        <is>
          <t>Modular / portable power</t>
        </is>
      </c>
      <c r="D4715" s="12" t="inlineStr">
        <is>
          <t>Analog instrument to JB JB-RICE 3 SCR + oxida-AI01: 10 x 1 pr (field cables)</t>
        </is>
      </c>
      <c r="E4715" s="12" t="inlineStr"/>
      <c r="F4715" s="12" t="inlineStr">
        <is>
          <t>RICE 3 SCR + oxidation catalyst and stack</t>
        </is>
      </c>
      <c r="G4715" s="12" t="inlineStr">
        <is>
          <t>JB-RICE 3 SCR + oxida-AI01</t>
        </is>
      </c>
      <c r="H4715" s="12" t="inlineStr">
        <is>
          <t>RICE 3 SCR + oxidation catalyst and stack</t>
        </is>
      </c>
      <c r="I4715" s="12" t="inlineStr">
        <is>
          <t>Instrumentation</t>
        </is>
      </c>
      <c r="J4715" s="12" t="inlineStr">
        <is>
          <t>Instrumentation PLTC / TC-ER 300 V, #18 twisted shielded pairs, overall shield</t>
        </is>
      </c>
      <c r="K4715" s="12" t="inlineStr">
        <is>
          <t>PLTC|1 pr|16</t>
        </is>
      </c>
      <c r="L4715" s="12" t="inlineStr">
        <is>
          <t>1 pr</t>
        </is>
      </c>
      <c r="M4715" s="12" t="inlineStr">
        <is>
          <t>16</t>
        </is>
      </c>
      <c r="N4715" s="12" t="n">
        <v>10</v>
      </c>
      <c r="O4715" s="12" t="n">
        <v>1</v>
      </c>
      <c r="P4715" s="12" t="n"/>
      <c r="Q4715" s="12" t="n"/>
      <c r="R4715" s="12" t="n"/>
      <c r="S4715" s="12" t="inlineStr">
        <is>
          <t>Tray / conduit</t>
        </is>
      </c>
      <c r="T4715" s="16" t="n">
        <v>92</v>
      </c>
      <c r="U4715" s="16" t="n">
        <v>10</v>
      </c>
      <c r="V4715" s="16">
        <f>ROUNDUP((T4715+U4715+2*'Read Me'!$B$13)*(1+'Read Me'!$B$12),-1)</f>
        <v/>
      </c>
      <c r="W4715" s="16">
        <f>V4715*N4715*O4715</f>
        <v/>
      </c>
      <c r="X4715" s="12">
        <f>IF(LEFT(I4715,2)="MV",2*N4715*IF(L4715="1/C",O4715,1),0)</f>
        <v/>
      </c>
      <c r="Y4715" s="12">
        <f>IF(OR(LEFT(K4715,4)="LVAX",LEFT(K4715,6)="MV15AX",LEFT(K4715,4)="CTAX",LEFT(K4715,2)="W|"),2*N4715*O4715,0)</f>
        <v/>
      </c>
      <c r="Z4715" s="12" t="inlineStr">
        <is>
          <t>device-to-JB field wiring, one cable per device</t>
        </is>
      </c>
      <c r="AA4715" s="12">
        <f>N4715*O4715</f>
        <v/>
      </c>
    </row>
    <row r="4716">
      <c r="A4716" s="12" t="inlineStr">
        <is>
          <t>I-I-0167</t>
        </is>
      </c>
      <c r="B4716" s="12" t="inlineStr">
        <is>
          <t>I</t>
        </is>
      </c>
      <c r="C4716" s="12" t="inlineStr">
        <is>
          <t>Modular / portable power</t>
        </is>
      </c>
      <c r="D4716" s="12" t="inlineStr">
        <is>
          <t>Home run JB-RICE 3 SCR + oxida-AI01 to the control / marshalling room</t>
        </is>
      </c>
      <c r="E4716" s="12" t="inlineStr"/>
      <c r="F4716" s="12" t="inlineStr">
        <is>
          <t>PCM: power control module</t>
        </is>
      </c>
      <c r="G4716" s="12" t="inlineStr">
        <is>
          <t>JB-RICE 3 SCR + oxida-AI01</t>
        </is>
      </c>
      <c r="H4716" s="12" t="inlineStr">
        <is>
          <t>RICE 3 SCR + oxidation catalyst and stack</t>
        </is>
      </c>
      <c r="I4716" s="12" t="inlineStr">
        <is>
          <t>Instrumentation</t>
        </is>
      </c>
      <c r="J4716" s="12" t="inlineStr">
        <is>
          <t>Instrumentation PLTC / TC-ER 300 V, #18 twisted shielded pairs, overall shield</t>
        </is>
      </c>
      <c r="K4716" s="12" t="inlineStr">
        <is>
          <t>PLTC|24 pr|18</t>
        </is>
      </c>
      <c r="L4716" s="12" t="inlineStr">
        <is>
          <t>24 pr</t>
        </is>
      </c>
      <c r="M4716" s="12" t="inlineStr">
        <is>
          <t>18</t>
        </is>
      </c>
      <c r="N4716" s="12" t="n">
        <v>1</v>
      </c>
      <c r="O4716" s="12" t="n">
        <v>1</v>
      </c>
      <c r="P4716" s="12" t="n"/>
      <c r="Q4716" s="12" t="n"/>
      <c r="R4716" s="12" t="n"/>
      <c r="S4716" s="12" t="inlineStr">
        <is>
          <t>Duct bank</t>
        </is>
      </c>
      <c r="T4716" s="16" t="n">
        <v>470</v>
      </c>
      <c r="U4716" s="16" t="n">
        <v>104</v>
      </c>
      <c r="V4716" s="16">
        <f>ROUNDUP((T4716+U4716+2*'Read Me'!$B$13)*(1+'Read Me'!$B$12),-1)</f>
        <v/>
      </c>
      <c r="W4716" s="16">
        <f>V4716*N4716*O4716</f>
        <v/>
      </c>
      <c r="X4716" s="12">
        <f>IF(LEFT(I4716,2)="MV",2*N4716*IF(L4716="1/C",O4716,1),0)</f>
        <v/>
      </c>
      <c r="Y4716" s="12">
        <f>IF(OR(LEFT(K4716,4)="LVAX",LEFT(K4716,6)="MV15AX",LEFT(K4716,4)="CTAX",LEFT(K4716,2)="W|"),2*N4716*O4716,0)</f>
        <v/>
      </c>
      <c r="Z4716" s="12" t="inlineStr"/>
      <c r="AA4716" s="12">
        <f>N4716*O4716</f>
        <v/>
      </c>
    </row>
    <row r="4717">
      <c r="A4717" s="12" t="inlineStr">
        <is>
          <t>I-I-0168</t>
        </is>
      </c>
      <c r="B4717" s="12" t="inlineStr">
        <is>
          <t>I</t>
        </is>
      </c>
      <c r="C4717" s="12" t="inlineStr">
        <is>
          <t>Modular / portable power</t>
        </is>
      </c>
      <c r="D4717" s="12" t="inlineStr">
        <is>
          <t>Discrete device to JB JB-RICE 3 SCR + oxida-DI01: 6 x 1 pr (field cables)</t>
        </is>
      </c>
      <c r="E4717" s="12" t="inlineStr"/>
      <c r="F4717" s="12" t="inlineStr">
        <is>
          <t>RICE 3 SCR + oxidation catalyst and stack</t>
        </is>
      </c>
      <c r="G4717" s="12" t="inlineStr">
        <is>
          <t>JB-RICE 3 SCR + oxida-DI01</t>
        </is>
      </c>
      <c r="H4717" s="12" t="inlineStr">
        <is>
          <t>RICE 3 SCR + oxidation catalyst and stack</t>
        </is>
      </c>
      <c r="I4717" s="12" t="inlineStr">
        <is>
          <t>Instrumentation</t>
        </is>
      </c>
      <c r="J4717" s="12" t="inlineStr">
        <is>
          <t>Instrumentation PLTC / TC-ER 300 V, #18 twisted shielded pairs, overall shield</t>
        </is>
      </c>
      <c r="K4717" s="12" t="inlineStr">
        <is>
          <t>PLTC|1 pr|16</t>
        </is>
      </c>
      <c r="L4717" s="12" t="inlineStr">
        <is>
          <t>1 pr</t>
        </is>
      </c>
      <c r="M4717" s="12" t="inlineStr">
        <is>
          <t>16</t>
        </is>
      </c>
      <c r="N4717" s="12" t="n">
        <v>6</v>
      </c>
      <c r="O4717" s="12" t="n">
        <v>1</v>
      </c>
      <c r="P4717" s="12" t="n"/>
      <c r="Q4717" s="12" t="n"/>
      <c r="R4717" s="12" t="n"/>
      <c r="S4717" s="12" t="inlineStr">
        <is>
          <t>Tray / conduit</t>
        </is>
      </c>
      <c r="T4717" s="16" t="n">
        <v>92</v>
      </c>
      <c r="U4717" s="16" t="n">
        <v>10</v>
      </c>
      <c r="V4717" s="16">
        <f>ROUNDUP((T4717+U4717+2*'Read Me'!$B$13)*(1+'Read Me'!$B$12),-1)</f>
        <v/>
      </c>
      <c r="W4717" s="16">
        <f>V4717*N4717*O4717</f>
        <v/>
      </c>
      <c r="X4717" s="12">
        <f>IF(LEFT(I4717,2)="MV",2*N4717*IF(L4717="1/C",O4717,1),0)</f>
        <v/>
      </c>
      <c r="Y4717" s="12">
        <f>IF(OR(LEFT(K4717,4)="LVAX",LEFT(K4717,6)="MV15AX",LEFT(K4717,4)="CTAX",LEFT(K4717,2)="W|"),2*N4717*O4717,0)</f>
        <v/>
      </c>
      <c r="Z4717" s="12" t="inlineStr">
        <is>
          <t>device-to-JB field wiring, one cable per device</t>
        </is>
      </c>
      <c r="AA4717" s="12">
        <f>N4717*O4717</f>
        <v/>
      </c>
    </row>
    <row r="4718">
      <c r="A4718" s="12" t="inlineStr">
        <is>
          <t>I-I-0169</t>
        </is>
      </c>
      <c r="B4718" s="12" t="inlineStr">
        <is>
          <t>I</t>
        </is>
      </c>
      <c r="C4718" s="12" t="inlineStr">
        <is>
          <t>Modular / portable power</t>
        </is>
      </c>
      <c r="D4718" s="12" t="inlineStr">
        <is>
          <t>Home run JB-RICE 3 SCR + oxida-DI01 to the control / marshalling room</t>
        </is>
      </c>
      <c r="E4718" s="12" t="inlineStr"/>
      <c r="F4718" s="12" t="inlineStr">
        <is>
          <t>PCM: power control module</t>
        </is>
      </c>
      <c r="G4718" s="12" t="inlineStr">
        <is>
          <t>JB-RICE 3 SCR + oxida-DI01</t>
        </is>
      </c>
      <c r="H4718" s="12" t="inlineStr">
        <is>
          <t>RICE 3 SCR + oxidation catalyst and stack</t>
        </is>
      </c>
      <c r="I4718" s="12" t="inlineStr">
        <is>
          <t>Instrumentation</t>
        </is>
      </c>
      <c r="J4718" s="12" t="inlineStr">
        <is>
          <t>Instrumentation PLTC / TC-ER 300 V, #18 twisted shielded pairs, overall shield</t>
        </is>
      </c>
      <c r="K4718" s="12" t="inlineStr">
        <is>
          <t>PLTC|24 pr|18</t>
        </is>
      </c>
      <c r="L4718" s="12" t="inlineStr">
        <is>
          <t>24 pr</t>
        </is>
      </c>
      <c r="M4718" s="12" t="inlineStr">
        <is>
          <t>18</t>
        </is>
      </c>
      <c r="N4718" s="12" t="n">
        <v>1</v>
      </c>
      <c r="O4718" s="12" t="n">
        <v>1</v>
      </c>
      <c r="P4718" s="12" t="n"/>
      <c r="Q4718" s="12" t="n"/>
      <c r="R4718" s="12" t="n"/>
      <c r="S4718" s="12" t="inlineStr">
        <is>
          <t>Duct bank</t>
        </is>
      </c>
      <c r="T4718" s="16" t="n">
        <v>470</v>
      </c>
      <c r="U4718" s="16" t="n">
        <v>104</v>
      </c>
      <c r="V4718" s="16">
        <f>ROUNDUP((T4718+U4718+2*'Read Me'!$B$13)*(1+'Read Me'!$B$12),-1)</f>
        <v/>
      </c>
      <c r="W4718" s="16">
        <f>V4718*N4718*O4718</f>
        <v/>
      </c>
      <c r="X4718" s="12">
        <f>IF(LEFT(I4718,2)="MV",2*N4718*IF(L4718="1/C",O4718,1),0)</f>
        <v/>
      </c>
      <c r="Y4718" s="12">
        <f>IF(OR(LEFT(K4718,4)="LVAX",LEFT(K4718,6)="MV15AX",LEFT(K4718,4)="CTAX",LEFT(K4718,2)="W|"),2*N4718*O4718,0)</f>
        <v/>
      </c>
      <c r="Z4718" s="12" t="inlineStr"/>
      <c r="AA4718" s="12">
        <f>N4718*O4718</f>
        <v/>
      </c>
    </row>
    <row r="4719">
      <c r="A4719" s="12" t="inlineStr">
        <is>
          <t>I-I-0170</t>
        </is>
      </c>
      <c r="B4719" s="12" t="inlineStr">
        <is>
          <t>I</t>
        </is>
      </c>
      <c r="C4719" s="12" t="inlineStr">
        <is>
          <t>Modular / portable power</t>
        </is>
      </c>
      <c r="D4719" s="12" t="inlineStr">
        <is>
          <t>Analog instrument to JB JB-RICE 3 radiators (-AI01: 5 x 1 pr (field cables)</t>
        </is>
      </c>
      <c r="E4719" s="12" t="inlineStr"/>
      <c r="F4719" s="12" t="inlineStr">
        <is>
          <t>RICE 3 radiators (5)</t>
        </is>
      </c>
      <c r="G4719" s="12" t="inlineStr">
        <is>
          <t>JB-RICE 3 radiators (-AI01</t>
        </is>
      </c>
      <c r="H4719" s="12" t="inlineStr">
        <is>
          <t>RICE 3 radiators (5)</t>
        </is>
      </c>
      <c r="I4719" s="12" t="inlineStr">
        <is>
          <t>Instrumentation</t>
        </is>
      </c>
      <c r="J4719" s="12" t="inlineStr">
        <is>
          <t>Instrumentation PLTC / TC-ER 300 V, #18 twisted shielded pairs, overall shield</t>
        </is>
      </c>
      <c r="K4719" s="12" t="inlineStr">
        <is>
          <t>PLTC|1 pr|16</t>
        </is>
      </c>
      <c r="L4719" s="12" t="inlineStr">
        <is>
          <t>1 pr</t>
        </is>
      </c>
      <c r="M4719" s="12" t="inlineStr">
        <is>
          <t>16</t>
        </is>
      </c>
      <c r="N4719" s="12" t="n">
        <v>5</v>
      </c>
      <c r="O4719" s="12" t="n">
        <v>1</v>
      </c>
      <c r="P4719" s="12" t="n"/>
      <c r="Q4719" s="12" t="n"/>
      <c r="R4719" s="12" t="n"/>
      <c r="S4719" s="12" t="inlineStr">
        <is>
          <t>Tray / conduit</t>
        </is>
      </c>
      <c r="T4719" s="16" t="n">
        <v>80</v>
      </c>
      <c r="U4719" s="16" t="n">
        <v>10</v>
      </c>
      <c r="V4719" s="16">
        <f>ROUNDUP((T4719+U4719+2*'Read Me'!$B$13)*(1+'Read Me'!$B$12),-1)</f>
        <v/>
      </c>
      <c r="W4719" s="16">
        <f>V4719*N4719*O4719</f>
        <v/>
      </c>
      <c r="X4719" s="12">
        <f>IF(LEFT(I4719,2)="MV",2*N4719*IF(L4719="1/C",O4719,1),0)</f>
        <v/>
      </c>
      <c r="Y4719" s="12">
        <f>IF(OR(LEFT(K4719,4)="LVAX",LEFT(K4719,6)="MV15AX",LEFT(K4719,4)="CTAX",LEFT(K4719,2)="W|"),2*N4719*O4719,0)</f>
        <v/>
      </c>
      <c r="Z4719" s="12" t="inlineStr">
        <is>
          <t>device-to-JB field wiring, one cable per device</t>
        </is>
      </c>
      <c r="AA4719" s="12">
        <f>N4719*O4719</f>
        <v/>
      </c>
    </row>
    <row r="4720">
      <c r="A4720" s="12" t="inlineStr">
        <is>
          <t>I-I-0171</t>
        </is>
      </c>
      <c r="B4720" s="12" t="inlineStr">
        <is>
          <t>I</t>
        </is>
      </c>
      <c r="C4720" s="12" t="inlineStr">
        <is>
          <t>Modular / portable power</t>
        </is>
      </c>
      <c r="D4720" s="12" t="inlineStr">
        <is>
          <t>Home run JB-RICE 3 radiators (-AI01 to the control / marshalling room</t>
        </is>
      </c>
      <c r="E4720" s="12" t="inlineStr"/>
      <c r="F4720" s="12" t="inlineStr">
        <is>
          <t>PCM: power control module</t>
        </is>
      </c>
      <c r="G4720" s="12" t="inlineStr">
        <is>
          <t>JB-RICE 3 radiators (-AI01</t>
        </is>
      </c>
      <c r="H4720" s="12" t="inlineStr">
        <is>
          <t>RICE 3 radiators (5)</t>
        </is>
      </c>
      <c r="I4720" s="12" t="inlineStr">
        <is>
          <t>Instrumentation</t>
        </is>
      </c>
      <c r="J4720" s="12" t="inlineStr">
        <is>
          <t>Instrumentation PLTC / TC-ER 300 V, #18 twisted shielded pairs, overall shield</t>
        </is>
      </c>
      <c r="K4720" s="12" t="inlineStr">
        <is>
          <t>PLTC|24 pr|18</t>
        </is>
      </c>
      <c r="L4720" s="12" t="inlineStr">
        <is>
          <t>24 pr</t>
        </is>
      </c>
      <c r="M4720" s="12" t="inlineStr">
        <is>
          <t>18</t>
        </is>
      </c>
      <c r="N4720" s="12" t="n">
        <v>1</v>
      </c>
      <c r="O4720" s="12" t="n">
        <v>1</v>
      </c>
      <c r="P4720" s="12" t="n"/>
      <c r="Q4720" s="12" t="n"/>
      <c r="R4720" s="12" t="n"/>
      <c r="S4720" s="12" t="inlineStr">
        <is>
          <t>Tray</t>
        </is>
      </c>
      <c r="T4720" s="16" t="n">
        <v>40</v>
      </c>
      <c r="U4720" s="16" t="n">
        <v>240</v>
      </c>
      <c r="V4720" s="16">
        <f>ROUNDUP((T4720+U4720+2*'Read Me'!$B$13)*(1+'Read Me'!$B$12),-1)</f>
        <v/>
      </c>
      <c r="W4720" s="16">
        <f>V4720*N4720*O4720</f>
        <v/>
      </c>
      <c r="X4720" s="12">
        <f>IF(LEFT(I4720,2)="MV",2*N4720*IF(L4720="1/C",O4720,1),0)</f>
        <v/>
      </c>
      <c r="Y4720" s="12">
        <f>IF(OR(LEFT(K4720,4)="LVAX",LEFT(K4720,6)="MV15AX",LEFT(K4720,4)="CTAX",LEFT(K4720,2)="W|"),2*N4720*O4720,0)</f>
        <v/>
      </c>
      <c r="Z4720" s="12" t="inlineStr"/>
      <c r="AA4720" s="12">
        <f>N4720*O4720</f>
        <v/>
      </c>
    </row>
    <row r="4721">
      <c r="A4721" s="12" t="inlineStr">
        <is>
          <t>I-I-0172</t>
        </is>
      </c>
      <c r="B4721" s="12" t="inlineStr">
        <is>
          <t>I</t>
        </is>
      </c>
      <c r="C4721" s="12" t="inlineStr">
        <is>
          <t>Modular / portable power</t>
        </is>
      </c>
      <c r="D4721" s="12" t="inlineStr">
        <is>
          <t>Discrete device to JB JB-RICE 3 radiators (-DI01: 10 x 1 pr (field cables)</t>
        </is>
      </c>
      <c r="E4721" s="12" t="inlineStr"/>
      <c r="F4721" s="12" t="inlineStr">
        <is>
          <t>RICE 3 radiators (5)</t>
        </is>
      </c>
      <c r="G4721" s="12" t="inlineStr">
        <is>
          <t>JB-RICE 3 radiators (-DI01</t>
        </is>
      </c>
      <c r="H4721" s="12" t="inlineStr">
        <is>
          <t>RICE 3 radiators (5)</t>
        </is>
      </c>
      <c r="I4721" s="12" t="inlineStr">
        <is>
          <t>Instrumentation</t>
        </is>
      </c>
      <c r="J4721" s="12" t="inlineStr">
        <is>
          <t>Instrumentation PLTC / TC-ER 300 V, #18 twisted shielded pairs, overall shield</t>
        </is>
      </c>
      <c r="K4721" s="12" t="inlineStr">
        <is>
          <t>PLTC|1 pr|16</t>
        </is>
      </c>
      <c r="L4721" s="12" t="inlineStr">
        <is>
          <t>1 pr</t>
        </is>
      </c>
      <c r="M4721" s="12" t="inlineStr">
        <is>
          <t>16</t>
        </is>
      </c>
      <c r="N4721" s="12" t="n">
        <v>10</v>
      </c>
      <c r="O4721" s="12" t="n">
        <v>1</v>
      </c>
      <c r="P4721" s="12" t="n"/>
      <c r="Q4721" s="12" t="n"/>
      <c r="R4721" s="12" t="n"/>
      <c r="S4721" s="12" t="inlineStr">
        <is>
          <t>Tray / conduit</t>
        </is>
      </c>
      <c r="T4721" s="16" t="n">
        <v>80</v>
      </c>
      <c r="U4721" s="16" t="n">
        <v>10</v>
      </c>
      <c r="V4721" s="16">
        <f>ROUNDUP((T4721+U4721+2*'Read Me'!$B$13)*(1+'Read Me'!$B$12),-1)</f>
        <v/>
      </c>
      <c r="W4721" s="16">
        <f>V4721*N4721*O4721</f>
        <v/>
      </c>
      <c r="X4721" s="12">
        <f>IF(LEFT(I4721,2)="MV",2*N4721*IF(L4721="1/C",O4721,1),0)</f>
        <v/>
      </c>
      <c r="Y4721" s="12">
        <f>IF(OR(LEFT(K4721,4)="LVAX",LEFT(K4721,6)="MV15AX",LEFT(K4721,4)="CTAX",LEFT(K4721,2)="W|"),2*N4721*O4721,0)</f>
        <v/>
      </c>
      <c r="Z4721" s="12" t="inlineStr">
        <is>
          <t>device-to-JB field wiring, one cable per device</t>
        </is>
      </c>
      <c r="AA4721" s="12">
        <f>N4721*O4721</f>
        <v/>
      </c>
    </row>
    <row r="4722">
      <c r="A4722" s="12" t="inlineStr">
        <is>
          <t>I-I-0173</t>
        </is>
      </c>
      <c r="B4722" s="12" t="inlineStr">
        <is>
          <t>I</t>
        </is>
      </c>
      <c r="C4722" s="12" t="inlineStr">
        <is>
          <t>Modular / portable power</t>
        </is>
      </c>
      <c r="D4722" s="12" t="inlineStr">
        <is>
          <t>Home run JB-RICE 3 radiators (-DI01 to the control / marshalling room</t>
        </is>
      </c>
      <c r="E4722" s="12" t="inlineStr"/>
      <c r="F4722" s="12" t="inlineStr">
        <is>
          <t>PCM: power control module</t>
        </is>
      </c>
      <c r="G4722" s="12" t="inlineStr">
        <is>
          <t>JB-RICE 3 radiators (-DI01</t>
        </is>
      </c>
      <c r="H4722" s="12" t="inlineStr">
        <is>
          <t>RICE 3 radiators (5)</t>
        </is>
      </c>
      <c r="I4722" s="12" t="inlineStr">
        <is>
          <t>Instrumentation</t>
        </is>
      </c>
      <c r="J4722" s="12" t="inlineStr">
        <is>
          <t>Instrumentation PLTC / TC-ER 300 V, #18 twisted shielded pairs, overall shield</t>
        </is>
      </c>
      <c r="K4722" s="12" t="inlineStr">
        <is>
          <t>PLTC|24 pr|18</t>
        </is>
      </c>
      <c r="L4722" s="12" t="inlineStr">
        <is>
          <t>24 pr</t>
        </is>
      </c>
      <c r="M4722" s="12" t="inlineStr">
        <is>
          <t>18</t>
        </is>
      </c>
      <c r="N4722" s="12" t="n">
        <v>1</v>
      </c>
      <c r="O4722" s="12" t="n">
        <v>1</v>
      </c>
      <c r="P4722" s="12" t="n"/>
      <c r="Q4722" s="12" t="n"/>
      <c r="R4722" s="12" t="n"/>
      <c r="S4722" s="12" t="inlineStr">
        <is>
          <t>Tray</t>
        </is>
      </c>
      <c r="T4722" s="16" t="n">
        <v>40</v>
      </c>
      <c r="U4722" s="16" t="n">
        <v>240</v>
      </c>
      <c r="V4722" s="16">
        <f>ROUNDUP((T4722+U4722+2*'Read Me'!$B$13)*(1+'Read Me'!$B$12),-1)</f>
        <v/>
      </c>
      <c r="W4722" s="16">
        <f>V4722*N4722*O4722</f>
        <v/>
      </c>
      <c r="X4722" s="12">
        <f>IF(LEFT(I4722,2)="MV",2*N4722*IF(L4722="1/C",O4722,1),0)</f>
        <v/>
      </c>
      <c r="Y4722" s="12">
        <f>IF(OR(LEFT(K4722,4)="LVAX",LEFT(K4722,6)="MV15AX",LEFT(K4722,4)="CTAX",LEFT(K4722,2)="W|"),2*N4722*O4722,0)</f>
        <v/>
      </c>
      <c r="Z4722" s="12" t="inlineStr"/>
      <c r="AA4722" s="12">
        <f>N4722*O4722</f>
        <v/>
      </c>
    </row>
    <row r="4723">
      <c r="A4723" s="12" t="inlineStr">
        <is>
          <t>I-I-0174</t>
        </is>
      </c>
      <c r="B4723" s="12" t="inlineStr">
        <is>
          <t>I</t>
        </is>
      </c>
      <c r="C4723" s="12" t="inlineStr">
        <is>
          <t>Modular / portable power</t>
        </is>
      </c>
      <c r="D4723" s="12" t="inlineStr">
        <is>
          <t>Analog instrument to JB JB-RICE 4 SCR + oxida-AI01: 10 x 1 pr (field cables)</t>
        </is>
      </c>
      <c r="E4723" s="12" t="inlineStr"/>
      <c r="F4723" s="12" t="inlineStr">
        <is>
          <t>RICE 4 SCR + oxidation catalyst and stack</t>
        </is>
      </c>
      <c r="G4723" s="12" t="inlineStr">
        <is>
          <t>JB-RICE 4 SCR + oxida-AI01</t>
        </is>
      </c>
      <c r="H4723" s="12" t="inlineStr">
        <is>
          <t>RICE 4 SCR + oxidation catalyst and stack</t>
        </is>
      </c>
      <c r="I4723" s="12" t="inlineStr">
        <is>
          <t>Instrumentation</t>
        </is>
      </c>
      <c r="J4723" s="12" t="inlineStr">
        <is>
          <t>Instrumentation PLTC / TC-ER 300 V, #18 twisted shielded pairs, overall shield</t>
        </is>
      </c>
      <c r="K4723" s="12" t="inlineStr">
        <is>
          <t>PLTC|1 pr|16</t>
        </is>
      </c>
      <c r="L4723" s="12" t="inlineStr">
        <is>
          <t>1 pr</t>
        </is>
      </c>
      <c r="M4723" s="12" t="inlineStr">
        <is>
          <t>16</t>
        </is>
      </c>
      <c r="N4723" s="12" t="n">
        <v>10</v>
      </c>
      <c r="O4723" s="12" t="n">
        <v>1</v>
      </c>
      <c r="P4723" s="12" t="n"/>
      <c r="Q4723" s="12" t="n"/>
      <c r="R4723" s="12" t="n"/>
      <c r="S4723" s="12" t="inlineStr">
        <is>
          <t>Tray / conduit</t>
        </is>
      </c>
      <c r="T4723" s="16" t="n">
        <v>92</v>
      </c>
      <c r="U4723" s="16" t="n">
        <v>10</v>
      </c>
      <c r="V4723" s="16">
        <f>ROUNDUP((T4723+U4723+2*'Read Me'!$B$13)*(1+'Read Me'!$B$12),-1)</f>
        <v/>
      </c>
      <c r="W4723" s="16">
        <f>V4723*N4723*O4723</f>
        <v/>
      </c>
      <c r="X4723" s="12">
        <f>IF(LEFT(I4723,2)="MV",2*N4723*IF(L4723="1/C",O4723,1),0)</f>
        <v/>
      </c>
      <c r="Y4723" s="12">
        <f>IF(OR(LEFT(K4723,4)="LVAX",LEFT(K4723,6)="MV15AX",LEFT(K4723,4)="CTAX",LEFT(K4723,2)="W|"),2*N4723*O4723,0)</f>
        <v/>
      </c>
      <c r="Z4723" s="12" t="inlineStr">
        <is>
          <t>device-to-JB field wiring, one cable per device</t>
        </is>
      </c>
      <c r="AA4723" s="12">
        <f>N4723*O4723</f>
        <v/>
      </c>
    </row>
    <row r="4724">
      <c r="A4724" s="12" t="inlineStr">
        <is>
          <t>I-I-0175</t>
        </is>
      </c>
      <c r="B4724" s="12" t="inlineStr">
        <is>
          <t>I</t>
        </is>
      </c>
      <c r="C4724" s="12" t="inlineStr">
        <is>
          <t>Modular / portable power</t>
        </is>
      </c>
      <c r="D4724" s="12" t="inlineStr">
        <is>
          <t>Home run JB-RICE 4 SCR + oxida-AI01 to the control / marshalling room</t>
        </is>
      </c>
      <c r="E4724" s="12" t="inlineStr"/>
      <c r="F4724" s="12" t="inlineStr">
        <is>
          <t>PCM: power control module</t>
        </is>
      </c>
      <c r="G4724" s="12" t="inlineStr">
        <is>
          <t>JB-RICE 4 SCR + oxida-AI01</t>
        </is>
      </c>
      <c r="H4724" s="12" t="inlineStr">
        <is>
          <t>RICE 4 SCR + oxidation catalyst and stack</t>
        </is>
      </c>
      <c r="I4724" s="12" t="inlineStr">
        <is>
          <t>Instrumentation</t>
        </is>
      </c>
      <c r="J4724" s="12" t="inlineStr">
        <is>
          <t>Instrumentation PLTC / TC-ER 300 V, #18 twisted shielded pairs, overall shield</t>
        </is>
      </c>
      <c r="K4724" s="12" t="inlineStr">
        <is>
          <t>PLTC|24 pr|18</t>
        </is>
      </c>
      <c r="L4724" s="12" t="inlineStr">
        <is>
          <t>24 pr</t>
        </is>
      </c>
      <c r="M4724" s="12" t="inlineStr">
        <is>
          <t>18</t>
        </is>
      </c>
      <c r="N4724" s="12" t="n">
        <v>1</v>
      </c>
      <c r="O4724" s="12" t="n">
        <v>1</v>
      </c>
      <c r="P4724" s="12" t="n"/>
      <c r="Q4724" s="12" t="n"/>
      <c r="R4724" s="12" t="n"/>
      <c r="S4724" s="12" t="inlineStr">
        <is>
          <t>Duct bank</t>
        </is>
      </c>
      <c r="T4724" s="16" t="n">
        <v>470</v>
      </c>
      <c r="U4724" s="16" t="n">
        <v>76</v>
      </c>
      <c r="V4724" s="16">
        <f>ROUNDUP((T4724+U4724+2*'Read Me'!$B$13)*(1+'Read Me'!$B$12),-1)</f>
        <v/>
      </c>
      <c r="W4724" s="16">
        <f>V4724*N4724*O4724</f>
        <v/>
      </c>
      <c r="X4724" s="12">
        <f>IF(LEFT(I4724,2)="MV",2*N4724*IF(L4724="1/C",O4724,1),0)</f>
        <v/>
      </c>
      <c r="Y4724" s="12">
        <f>IF(OR(LEFT(K4724,4)="LVAX",LEFT(K4724,6)="MV15AX",LEFT(K4724,4)="CTAX",LEFT(K4724,2)="W|"),2*N4724*O4724,0)</f>
        <v/>
      </c>
      <c r="Z4724" s="12" t="inlineStr"/>
      <c r="AA4724" s="12">
        <f>N4724*O4724</f>
        <v/>
      </c>
    </row>
    <row r="4725">
      <c r="A4725" s="12" t="inlineStr">
        <is>
          <t>I-I-0176</t>
        </is>
      </c>
      <c r="B4725" s="12" t="inlineStr">
        <is>
          <t>I</t>
        </is>
      </c>
      <c r="C4725" s="12" t="inlineStr">
        <is>
          <t>Modular / portable power</t>
        </is>
      </c>
      <c r="D4725" s="12" t="inlineStr">
        <is>
          <t>Discrete device to JB JB-RICE 4 SCR + oxida-DI01: 6 x 1 pr (field cables)</t>
        </is>
      </c>
      <c r="E4725" s="12" t="inlineStr"/>
      <c r="F4725" s="12" t="inlineStr">
        <is>
          <t>RICE 4 SCR + oxidation catalyst and stack</t>
        </is>
      </c>
      <c r="G4725" s="12" t="inlineStr">
        <is>
          <t>JB-RICE 4 SCR + oxida-DI01</t>
        </is>
      </c>
      <c r="H4725" s="12" t="inlineStr">
        <is>
          <t>RICE 4 SCR + oxidation catalyst and stack</t>
        </is>
      </c>
      <c r="I4725" s="12" t="inlineStr">
        <is>
          <t>Instrumentation</t>
        </is>
      </c>
      <c r="J4725" s="12" t="inlineStr">
        <is>
          <t>Instrumentation PLTC / TC-ER 300 V, #18 twisted shielded pairs, overall shield</t>
        </is>
      </c>
      <c r="K4725" s="12" t="inlineStr">
        <is>
          <t>PLTC|1 pr|16</t>
        </is>
      </c>
      <c r="L4725" s="12" t="inlineStr">
        <is>
          <t>1 pr</t>
        </is>
      </c>
      <c r="M4725" s="12" t="inlineStr">
        <is>
          <t>16</t>
        </is>
      </c>
      <c r="N4725" s="12" t="n">
        <v>6</v>
      </c>
      <c r="O4725" s="12" t="n">
        <v>1</v>
      </c>
      <c r="P4725" s="12" t="n"/>
      <c r="Q4725" s="12" t="n"/>
      <c r="R4725" s="12" t="n"/>
      <c r="S4725" s="12" t="inlineStr">
        <is>
          <t>Tray / conduit</t>
        </is>
      </c>
      <c r="T4725" s="16" t="n">
        <v>92</v>
      </c>
      <c r="U4725" s="16" t="n">
        <v>10</v>
      </c>
      <c r="V4725" s="16">
        <f>ROUNDUP((T4725+U4725+2*'Read Me'!$B$13)*(1+'Read Me'!$B$12),-1)</f>
        <v/>
      </c>
      <c r="W4725" s="16">
        <f>V4725*N4725*O4725</f>
        <v/>
      </c>
      <c r="X4725" s="12">
        <f>IF(LEFT(I4725,2)="MV",2*N4725*IF(L4725="1/C",O4725,1),0)</f>
        <v/>
      </c>
      <c r="Y4725" s="12">
        <f>IF(OR(LEFT(K4725,4)="LVAX",LEFT(K4725,6)="MV15AX",LEFT(K4725,4)="CTAX",LEFT(K4725,2)="W|"),2*N4725*O4725,0)</f>
        <v/>
      </c>
      <c r="Z4725" s="12" t="inlineStr">
        <is>
          <t>device-to-JB field wiring, one cable per device</t>
        </is>
      </c>
      <c r="AA4725" s="12">
        <f>N4725*O4725</f>
        <v/>
      </c>
    </row>
    <row r="4726">
      <c r="A4726" s="12" t="inlineStr">
        <is>
          <t>I-I-0177</t>
        </is>
      </c>
      <c r="B4726" s="12" t="inlineStr">
        <is>
          <t>I</t>
        </is>
      </c>
      <c r="C4726" s="12" t="inlineStr">
        <is>
          <t>Modular / portable power</t>
        </is>
      </c>
      <c r="D4726" s="12" t="inlineStr">
        <is>
          <t>Home run JB-RICE 4 SCR + oxida-DI01 to the control / marshalling room</t>
        </is>
      </c>
      <c r="E4726" s="12" t="inlineStr"/>
      <c r="F4726" s="12" t="inlineStr">
        <is>
          <t>PCM: power control module</t>
        </is>
      </c>
      <c r="G4726" s="12" t="inlineStr">
        <is>
          <t>JB-RICE 4 SCR + oxida-DI01</t>
        </is>
      </c>
      <c r="H4726" s="12" t="inlineStr">
        <is>
          <t>RICE 4 SCR + oxidation catalyst and stack</t>
        </is>
      </c>
      <c r="I4726" s="12" t="inlineStr">
        <is>
          <t>Instrumentation</t>
        </is>
      </c>
      <c r="J4726" s="12" t="inlineStr">
        <is>
          <t>Instrumentation PLTC / TC-ER 300 V, #18 twisted shielded pairs, overall shield</t>
        </is>
      </c>
      <c r="K4726" s="12" t="inlineStr">
        <is>
          <t>PLTC|24 pr|18</t>
        </is>
      </c>
      <c r="L4726" s="12" t="inlineStr">
        <is>
          <t>24 pr</t>
        </is>
      </c>
      <c r="M4726" s="12" t="inlineStr">
        <is>
          <t>18</t>
        </is>
      </c>
      <c r="N4726" s="12" t="n">
        <v>1</v>
      </c>
      <c r="O4726" s="12" t="n">
        <v>1</v>
      </c>
      <c r="P4726" s="12" t="n"/>
      <c r="Q4726" s="12" t="n"/>
      <c r="R4726" s="12" t="n"/>
      <c r="S4726" s="12" t="inlineStr">
        <is>
          <t>Duct bank</t>
        </is>
      </c>
      <c r="T4726" s="16" t="n">
        <v>470</v>
      </c>
      <c r="U4726" s="16" t="n">
        <v>76</v>
      </c>
      <c r="V4726" s="16">
        <f>ROUNDUP((T4726+U4726+2*'Read Me'!$B$13)*(1+'Read Me'!$B$12),-1)</f>
        <v/>
      </c>
      <c r="W4726" s="16">
        <f>V4726*N4726*O4726</f>
        <v/>
      </c>
      <c r="X4726" s="12">
        <f>IF(LEFT(I4726,2)="MV",2*N4726*IF(L4726="1/C",O4726,1),0)</f>
        <v/>
      </c>
      <c r="Y4726" s="12">
        <f>IF(OR(LEFT(K4726,4)="LVAX",LEFT(K4726,6)="MV15AX",LEFT(K4726,4)="CTAX",LEFT(K4726,2)="W|"),2*N4726*O4726,0)</f>
        <v/>
      </c>
      <c r="Z4726" s="12" t="inlineStr"/>
      <c r="AA4726" s="12">
        <f>N4726*O4726</f>
        <v/>
      </c>
    </row>
    <row r="4727">
      <c r="A4727" s="12" t="inlineStr">
        <is>
          <t>I-I-0178</t>
        </is>
      </c>
      <c r="B4727" s="12" t="inlineStr">
        <is>
          <t>I</t>
        </is>
      </c>
      <c r="C4727" s="12" t="inlineStr">
        <is>
          <t>Modular / portable power</t>
        </is>
      </c>
      <c r="D4727" s="12" t="inlineStr">
        <is>
          <t>Analog instrument to JB JB-RICE 4 radiators (-AI01: 5 x 1 pr (field cables)</t>
        </is>
      </c>
      <c r="E4727" s="12" t="inlineStr"/>
      <c r="F4727" s="12" t="inlineStr">
        <is>
          <t>RICE 4 radiators (5)</t>
        </is>
      </c>
      <c r="G4727" s="12" t="inlineStr">
        <is>
          <t>JB-RICE 4 radiators (-AI01</t>
        </is>
      </c>
      <c r="H4727" s="12" t="inlineStr">
        <is>
          <t>RICE 4 radiators (5)</t>
        </is>
      </c>
      <c r="I4727" s="12" t="inlineStr">
        <is>
          <t>Instrumentation</t>
        </is>
      </c>
      <c r="J4727" s="12" t="inlineStr">
        <is>
          <t>Instrumentation PLTC / TC-ER 300 V, #18 twisted shielded pairs, overall shield</t>
        </is>
      </c>
      <c r="K4727" s="12" t="inlineStr">
        <is>
          <t>PLTC|1 pr|16</t>
        </is>
      </c>
      <c r="L4727" s="12" t="inlineStr">
        <is>
          <t>1 pr</t>
        </is>
      </c>
      <c r="M4727" s="12" t="inlineStr">
        <is>
          <t>16</t>
        </is>
      </c>
      <c r="N4727" s="12" t="n">
        <v>5</v>
      </c>
      <c r="O4727" s="12" t="n">
        <v>1</v>
      </c>
      <c r="P4727" s="12" t="n"/>
      <c r="Q4727" s="12" t="n"/>
      <c r="R4727" s="12" t="n"/>
      <c r="S4727" s="12" t="inlineStr">
        <is>
          <t>Tray / conduit</t>
        </is>
      </c>
      <c r="T4727" s="16" t="n">
        <v>80</v>
      </c>
      <c r="U4727" s="16" t="n">
        <v>10</v>
      </c>
      <c r="V4727" s="16">
        <f>ROUNDUP((T4727+U4727+2*'Read Me'!$B$13)*(1+'Read Me'!$B$12),-1)</f>
        <v/>
      </c>
      <c r="W4727" s="16">
        <f>V4727*N4727*O4727</f>
        <v/>
      </c>
      <c r="X4727" s="12">
        <f>IF(LEFT(I4727,2)="MV",2*N4727*IF(L4727="1/C",O4727,1),0)</f>
        <v/>
      </c>
      <c r="Y4727" s="12">
        <f>IF(OR(LEFT(K4727,4)="LVAX",LEFT(K4727,6)="MV15AX",LEFT(K4727,4)="CTAX",LEFT(K4727,2)="W|"),2*N4727*O4727,0)</f>
        <v/>
      </c>
      <c r="Z4727" s="12" t="inlineStr">
        <is>
          <t>device-to-JB field wiring, one cable per device</t>
        </is>
      </c>
      <c r="AA4727" s="12">
        <f>N4727*O4727</f>
        <v/>
      </c>
    </row>
    <row r="4728">
      <c r="A4728" s="12" t="inlineStr">
        <is>
          <t>I-I-0179</t>
        </is>
      </c>
      <c r="B4728" s="12" t="inlineStr">
        <is>
          <t>I</t>
        </is>
      </c>
      <c r="C4728" s="12" t="inlineStr">
        <is>
          <t>Modular / portable power</t>
        </is>
      </c>
      <c r="D4728" s="12" t="inlineStr">
        <is>
          <t>Home run JB-RICE 4 radiators (-AI01 to the control / marshalling room</t>
        </is>
      </c>
      <c r="E4728" s="12" t="inlineStr"/>
      <c r="F4728" s="12" t="inlineStr">
        <is>
          <t>PCM: power control module</t>
        </is>
      </c>
      <c r="G4728" s="12" t="inlineStr">
        <is>
          <t>JB-RICE 4 radiators (-AI01</t>
        </is>
      </c>
      <c r="H4728" s="12" t="inlineStr">
        <is>
          <t>RICE 4 radiators (5)</t>
        </is>
      </c>
      <c r="I4728" s="12" t="inlineStr">
        <is>
          <t>Instrumentation</t>
        </is>
      </c>
      <c r="J4728" s="12" t="inlineStr">
        <is>
          <t>Instrumentation PLTC / TC-ER 300 V, #18 twisted shielded pairs, overall shield</t>
        </is>
      </c>
      <c r="K4728" s="12" t="inlineStr">
        <is>
          <t>PLTC|24 pr|18</t>
        </is>
      </c>
      <c r="L4728" s="12" t="inlineStr">
        <is>
          <t>24 pr</t>
        </is>
      </c>
      <c r="M4728" s="12" t="inlineStr">
        <is>
          <t>18</t>
        </is>
      </c>
      <c r="N4728" s="12" t="n">
        <v>1</v>
      </c>
      <c r="O4728" s="12" t="n">
        <v>1</v>
      </c>
      <c r="P4728" s="12" t="n"/>
      <c r="Q4728" s="12" t="n"/>
      <c r="R4728" s="12" t="n"/>
      <c r="S4728" s="12" t="inlineStr">
        <is>
          <t>Tray</t>
        </is>
      </c>
      <c r="T4728" s="16" t="n">
        <v>0</v>
      </c>
      <c r="U4728" s="16" t="n">
        <v>206</v>
      </c>
      <c r="V4728" s="16">
        <f>ROUNDUP((T4728+U4728+2*'Read Me'!$B$13)*(1+'Read Me'!$B$12),-1)</f>
        <v/>
      </c>
      <c r="W4728" s="16">
        <f>V4728*N4728*O4728</f>
        <v/>
      </c>
      <c r="X4728" s="12">
        <f>IF(LEFT(I4728,2)="MV",2*N4728*IF(L4728="1/C",O4728,1),0)</f>
        <v/>
      </c>
      <c r="Y4728" s="12">
        <f>IF(OR(LEFT(K4728,4)="LVAX",LEFT(K4728,6)="MV15AX",LEFT(K4728,4)="CTAX",LEFT(K4728,2)="W|"),2*N4728*O4728,0)</f>
        <v/>
      </c>
      <c r="Z4728" s="12" t="inlineStr"/>
      <c r="AA4728" s="12">
        <f>N4728*O4728</f>
        <v/>
      </c>
    </row>
    <row r="4729">
      <c r="A4729" s="12" t="inlineStr">
        <is>
          <t>I-I-0180</t>
        </is>
      </c>
      <c r="B4729" s="12" t="inlineStr">
        <is>
          <t>I</t>
        </is>
      </c>
      <c r="C4729" s="12" t="inlineStr">
        <is>
          <t>Modular / portable power</t>
        </is>
      </c>
      <c r="D4729" s="12" t="inlineStr">
        <is>
          <t>Discrete device to JB JB-RICE 4 radiators (-DI01: 10 x 1 pr (field cables)</t>
        </is>
      </c>
      <c r="E4729" s="12" t="inlineStr"/>
      <c r="F4729" s="12" t="inlineStr">
        <is>
          <t>RICE 4 radiators (5)</t>
        </is>
      </c>
      <c r="G4729" s="12" t="inlineStr">
        <is>
          <t>JB-RICE 4 radiators (-DI01</t>
        </is>
      </c>
      <c r="H4729" s="12" t="inlineStr">
        <is>
          <t>RICE 4 radiators (5)</t>
        </is>
      </c>
      <c r="I4729" s="12" t="inlineStr">
        <is>
          <t>Instrumentation</t>
        </is>
      </c>
      <c r="J4729" s="12" t="inlineStr">
        <is>
          <t>Instrumentation PLTC / TC-ER 300 V, #18 twisted shielded pairs, overall shield</t>
        </is>
      </c>
      <c r="K4729" s="12" t="inlineStr">
        <is>
          <t>PLTC|1 pr|16</t>
        </is>
      </c>
      <c r="L4729" s="12" t="inlineStr">
        <is>
          <t>1 pr</t>
        </is>
      </c>
      <c r="M4729" s="12" t="inlineStr">
        <is>
          <t>16</t>
        </is>
      </c>
      <c r="N4729" s="12" t="n">
        <v>10</v>
      </c>
      <c r="O4729" s="12" t="n">
        <v>1</v>
      </c>
      <c r="P4729" s="12" t="n"/>
      <c r="Q4729" s="12" t="n"/>
      <c r="R4729" s="12" t="n"/>
      <c r="S4729" s="12" t="inlineStr">
        <is>
          <t>Tray / conduit</t>
        </is>
      </c>
      <c r="T4729" s="16" t="n">
        <v>80</v>
      </c>
      <c r="U4729" s="16" t="n">
        <v>10</v>
      </c>
      <c r="V4729" s="16">
        <f>ROUNDUP((T4729+U4729+2*'Read Me'!$B$13)*(1+'Read Me'!$B$12),-1)</f>
        <v/>
      </c>
      <c r="W4729" s="16">
        <f>V4729*N4729*O4729</f>
        <v/>
      </c>
      <c r="X4729" s="12">
        <f>IF(LEFT(I4729,2)="MV",2*N4729*IF(L4729="1/C",O4729,1),0)</f>
        <v/>
      </c>
      <c r="Y4729" s="12">
        <f>IF(OR(LEFT(K4729,4)="LVAX",LEFT(K4729,6)="MV15AX",LEFT(K4729,4)="CTAX",LEFT(K4729,2)="W|"),2*N4729*O4729,0)</f>
        <v/>
      </c>
      <c r="Z4729" s="12" t="inlineStr">
        <is>
          <t>device-to-JB field wiring, one cable per device</t>
        </is>
      </c>
      <c r="AA4729" s="12">
        <f>N4729*O4729</f>
        <v/>
      </c>
    </row>
    <row r="4730">
      <c r="A4730" s="12" t="inlineStr">
        <is>
          <t>I-I-0181</t>
        </is>
      </c>
      <c r="B4730" s="12" t="inlineStr">
        <is>
          <t>I</t>
        </is>
      </c>
      <c r="C4730" s="12" t="inlineStr">
        <is>
          <t>Modular / portable power</t>
        </is>
      </c>
      <c r="D4730" s="12" t="inlineStr">
        <is>
          <t>Home run JB-RICE 4 radiators (-DI01 to the control / marshalling room</t>
        </is>
      </c>
      <c r="E4730" s="12" t="inlineStr"/>
      <c r="F4730" s="12" t="inlineStr">
        <is>
          <t>PCM: power control module</t>
        </is>
      </c>
      <c r="G4730" s="12" t="inlineStr">
        <is>
          <t>JB-RICE 4 radiators (-DI01</t>
        </is>
      </c>
      <c r="H4730" s="12" t="inlineStr">
        <is>
          <t>RICE 4 radiators (5)</t>
        </is>
      </c>
      <c r="I4730" s="12" t="inlineStr">
        <is>
          <t>Instrumentation</t>
        </is>
      </c>
      <c r="J4730" s="12" t="inlineStr">
        <is>
          <t>Instrumentation PLTC / TC-ER 300 V, #18 twisted shielded pairs, overall shield</t>
        </is>
      </c>
      <c r="K4730" s="12" t="inlineStr">
        <is>
          <t>PLTC|24 pr|18</t>
        </is>
      </c>
      <c r="L4730" s="12" t="inlineStr">
        <is>
          <t>24 pr</t>
        </is>
      </c>
      <c r="M4730" s="12" t="inlineStr">
        <is>
          <t>18</t>
        </is>
      </c>
      <c r="N4730" s="12" t="n">
        <v>1</v>
      </c>
      <c r="O4730" s="12" t="n">
        <v>1</v>
      </c>
      <c r="P4730" s="12" t="n"/>
      <c r="Q4730" s="12" t="n"/>
      <c r="R4730" s="12" t="n"/>
      <c r="S4730" s="12" t="inlineStr">
        <is>
          <t>Tray</t>
        </is>
      </c>
      <c r="T4730" s="16" t="n">
        <v>0</v>
      </c>
      <c r="U4730" s="16" t="n">
        <v>206</v>
      </c>
      <c r="V4730" s="16">
        <f>ROUNDUP((T4730+U4730+2*'Read Me'!$B$13)*(1+'Read Me'!$B$12),-1)</f>
        <v/>
      </c>
      <c r="W4730" s="16">
        <f>V4730*N4730*O4730</f>
        <v/>
      </c>
      <c r="X4730" s="12">
        <f>IF(LEFT(I4730,2)="MV",2*N4730*IF(L4730="1/C",O4730,1),0)</f>
        <v/>
      </c>
      <c r="Y4730" s="12">
        <f>IF(OR(LEFT(K4730,4)="LVAX",LEFT(K4730,6)="MV15AX",LEFT(K4730,4)="CTAX",LEFT(K4730,2)="W|"),2*N4730*O4730,0)</f>
        <v/>
      </c>
      <c r="Z4730" s="12" t="inlineStr"/>
      <c r="AA4730" s="12">
        <f>N4730*O4730</f>
        <v/>
      </c>
    </row>
    <row r="4731">
      <c r="A4731" s="12" t="inlineStr">
        <is>
          <t>I-I-0182</t>
        </is>
      </c>
      <c r="B4731" s="12" t="inlineStr">
        <is>
          <t>I</t>
        </is>
      </c>
      <c r="C4731" s="12" t="inlineStr">
        <is>
          <t>Modular / portable power</t>
        </is>
      </c>
      <c r="D4731" s="12" t="inlineStr">
        <is>
          <t>Analog instrument to JB JB-RICE 5 SCR + oxida-AI01: 10 x 1 pr (field cables)</t>
        </is>
      </c>
      <c r="E4731" s="12" t="inlineStr"/>
      <c r="F4731" s="12" t="inlineStr">
        <is>
          <t>RICE 5 SCR + oxidation catalyst and stack</t>
        </is>
      </c>
      <c r="G4731" s="12" t="inlineStr">
        <is>
          <t>JB-RICE 5 SCR + oxida-AI01</t>
        </is>
      </c>
      <c r="H4731" s="12" t="inlineStr">
        <is>
          <t>RICE 5 SCR + oxidation catalyst and stack</t>
        </is>
      </c>
      <c r="I4731" s="12" t="inlineStr">
        <is>
          <t>Instrumentation</t>
        </is>
      </c>
      <c r="J4731" s="12" t="inlineStr">
        <is>
          <t>Instrumentation PLTC / TC-ER 300 V, #18 twisted shielded pairs, overall shield</t>
        </is>
      </c>
      <c r="K4731" s="12" t="inlineStr">
        <is>
          <t>PLTC|1 pr|16</t>
        </is>
      </c>
      <c r="L4731" s="12" t="inlineStr">
        <is>
          <t>1 pr</t>
        </is>
      </c>
      <c r="M4731" s="12" t="inlineStr">
        <is>
          <t>16</t>
        </is>
      </c>
      <c r="N4731" s="12" t="n">
        <v>10</v>
      </c>
      <c r="O4731" s="12" t="n">
        <v>1</v>
      </c>
      <c r="P4731" s="12" t="n"/>
      <c r="Q4731" s="12" t="n"/>
      <c r="R4731" s="12" t="n"/>
      <c r="S4731" s="12" t="inlineStr">
        <is>
          <t>Tray / conduit</t>
        </is>
      </c>
      <c r="T4731" s="16" t="n">
        <v>92</v>
      </c>
      <c r="U4731" s="16" t="n">
        <v>10</v>
      </c>
      <c r="V4731" s="16">
        <f>ROUNDUP((T4731+U4731+2*'Read Me'!$B$13)*(1+'Read Me'!$B$12),-1)</f>
        <v/>
      </c>
      <c r="W4731" s="16">
        <f>V4731*N4731*O4731</f>
        <v/>
      </c>
      <c r="X4731" s="12">
        <f>IF(LEFT(I4731,2)="MV",2*N4731*IF(L4731="1/C",O4731,1),0)</f>
        <v/>
      </c>
      <c r="Y4731" s="12">
        <f>IF(OR(LEFT(K4731,4)="LVAX",LEFT(K4731,6)="MV15AX",LEFT(K4731,4)="CTAX",LEFT(K4731,2)="W|"),2*N4731*O4731,0)</f>
        <v/>
      </c>
      <c r="Z4731" s="12" t="inlineStr">
        <is>
          <t>device-to-JB field wiring, one cable per device</t>
        </is>
      </c>
      <c r="AA4731" s="12">
        <f>N4731*O4731</f>
        <v/>
      </c>
    </row>
    <row r="4732">
      <c r="A4732" s="12" t="inlineStr">
        <is>
          <t>I-I-0183</t>
        </is>
      </c>
      <c r="B4732" s="12" t="inlineStr">
        <is>
          <t>I</t>
        </is>
      </c>
      <c r="C4732" s="12" t="inlineStr">
        <is>
          <t>Modular / portable power</t>
        </is>
      </c>
      <c r="D4732" s="12" t="inlineStr">
        <is>
          <t>Home run JB-RICE 5 SCR + oxida-AI01 to the control / marshalling room</t>
        </is>
      </c>
      <c r="E4732" s="12" t="inlineStr"/>
      <c r="F4732" s="12" t="inlineStr">
        <is>
          <t>PCM: power control module</t>
        </is>
      </c>
      <c r="G4732" s="12" t="inlineStr">
        <is>
          <t>JB-RICE 5 SCR + oxida-AI01</t>
        </is>
      </c>
      <c r="H4732" s="12" t="inlineStr">
        <is>
          <t>RICE 5 SCR + oxidation catalyst and stack</t>
        </is>
      </c>
      <c r="I4732" s="12" t="inlineStr">
        <is>
          <t>Instrumentation</t>
        </is>
      </c>
      <c r="J4732" s="12" t="inlineStr">
        <is>
          <t>Instrumentation PLTC / TC-ER 300 V, #18 twisted shielded pairs, overall shield</t>
        </is>
      </c>
      <c r="K4732" s="12" t="inlineStr">
        <is>
          <t>PLTC|24 pr|18</t>
        </is>
      </c>
      <c r="L4732" s="12" t="inlineStr">
        <is>
          <t>24 pr</t>
        </is>
      </c>
      <c r="M4732" s="12" t="inlineStr">
        <is>
          <t>18</t>
        </is>
      </c>
      <c r="N4732" s="12" t="n">
        <v>1</v>
      </c>
      <c r="O4732" s="12" t="n">
        <v>1</v>
      </c>
      <c r="P4732" s="12" t="n"/>
      <c r="Q4732" s="12" t="n"/>
      <c r="R4732" s="12" t="n"/>
      <c r="S4732" s="12" t="inlineStr">
        <is>
          <t>Duct bank</t>
        </is>
      </c>
      <c r="T4732" s="16" t="n">
        <v>322</v>
      </c>
      <c r="U4732" s="16" t="n">
        <v>196</v>
      </c>
      <c r="V4732" s="16">
        <f>ROUNDUP((T4732+U4732+2*'Read Me'!$B$13)*(1+'Read Me'!$B$12),-1)</f>
        <v/>
      </c>
      <c r="W4732" s="16">
        <f>V4732*N4732*O4732</f>
        <v/>
      </c>
      <c r="X4732" s="12">
        <f>IF(LEFT(I4732,2)="MV",2*N4732*IF(L4732="1/C",O4732,1),0)</f>
        <v/>
      </c>
      <c r="Y4732" s="12">
        <f>IF(OR(LEFT(K4732,4)="LVAX",LEFT(K4732,6)="MV15AX",LEFT(K4732,4)="CTAX",LEFT(K4732,2)="W|"),2*N4732*O4732,0)</f>
        <v/>
      </c>
      <c r="Z4732" s="12" t="inlineStr"/>
      <c r="AA4732" s="12">
        <f>N4732*O4732</f>
        <v/>
      </c>
    </row>
    <row r="4733">
      <c r="A4733" s="12" t="inlineStr">
        <is>
          <t>I-I-0184</t>
        </is>
      </c>
      <c r="B4733" s="12" t="inlineStr">
        <is>
          <t>I</t>
        </is>
      </c>
      <c r="C4733" s="12" t="inlineStr">
        <is>
          <t>Modular / portable power</t>
        </is>
      </c>
      <c r="D4733" s="12" t="inlineStr">
        <is>
          <t>Discrete device to JB JB-RICE 5 SCR + oxida-DI01: 6 x 1 pr (field cables)</t>
        </is>
      </c>
      <c r="E4733" s="12" t="inlineStr"/>
      <c r="F4733" s="12" t="inlineStr">
        <is>
          <t>RICE 5 SCR + oxidation catalyst and stack</t>
        </is>
      </c>
      <c r="G4733" s="12" t="inlineStr">
        <is>
          <t>JB-RICE 5 SCR + oxida-DI01</t>
        </is>
      </c>
      <c r="H4733" s="12" t="inlineStr">
        <is>
          <t>RICE 5 SCR + oxidation catalyst and stack</t>
        </is>
      </c>
      <c r="I4733" s="12" t="inlineStr">
        <is>
          <t>Instrumentation</t>
        </is>
      </c>
      <c r="J4733" s="12" t="inlineStr">
        <is>
          <t>Instrumentation PLTC / TC-ER 300 V, #18 twisted shielded pairs, overall shield</t>
        </is>
      </c>
      <c r="K4733" s="12" t="inlineStr">
        <is>
          <t>PLTC|1 pr|16</t>
        </is>
      </c>
      <c r="L4733" s="12" t="inlineStr">
        <is>
          <t>1 pr</t>
        </is>
      </c>
      <c r="M4733" s="12" t="inlineStr">
        <is>
          <t>16</t>
        </is>
      </c>
      <c r="N4733" s="12" t="n">
        <v>6</v>
      </c>
      <c r="O4733" s="12" t="n">
        <v>1</v>
      </c>
      <c r="P4733" s="12" t="n"/>
      <c r="Q4733" s="12" t="n"/>
      <c r="R4733" s="12" t="n"/>
      <c r="S4733" s="12" t="inlineStr">
        <is>
          <t>Tray / conduit</t>
        </is>
      </c>
      <c r="T4733" s="16" t="n">
        <v>92</v>
      </c>
      <c r="U4733" s="16" t="n">
        <v>10</v>
      </c>
      <c r="V4733" s="16">
        <f>ROUNDUP((T4733+U4733+2*'Read Me'!$B$13)*(1+'Read Me'!$B$12),-1)</f>
        <v/>
      </c>
      <c r="W4733" s="16">
        <f>V4733*N4733*O4733</f>
        <v/>
      </c>
      <c r="X4733" s="12">
        <f>IF(LEFT(I4733,2)="MV",2*N4733*IF(L4733="1/C",O4733,1),0)</f>
        <v/>
      </c>
      <c r="Y4733" s="12">
        <f>IF(OR(LEFT(K4733,4)="LVAX",LEFT(K4733,6)="MV15AX",LEFT(K4733,4)="CTAX",LEFT(K4733,2)="W|"),2*N4733*O4733,0)</f>
        <v/>
      </c>
      <c r="Z4733" s="12" t="inlineStr">
        <is>
          <t>device-to-JB field wiring, one cable per device</t>
        </is>
      </c>
      <c r="AA4733" s="12">
        <f>N4733*O4733</f>
        <v/>
      </c>
    </row>
    <row r="4734">
      <c r="A4734" s="12" t="inlineStr">
        <is>
          <t>I-I-0185</t>
        </is>
      </c>
      <c r="B4734" s="12" t="inlineStr">
        <is>
          <t>I</t>
        </is>
      </c>
      <c r="C4734" s="12" t="inlineStr">
        <is>
          <t>Modular / portable power</t>
        </is>
      </c>
      <c r="D4734" s="12" t="inlineStr">
        <is>
          <t>Home run JB-RICE 5 SCR + oxida-DI01 to the control / marshalling room</t>
        </is>
      </c>
      <c r="E4734" s="12" t="inlineStr"/>
      <c r="F4734" s="12" t="inlineStr">
        <is>
          <t>PCM: power control module</t>
        </is>
      </c>
      <c r="G4734" s="12" t="inlineStr">
        <is>
          <t>JB-RICE 5 SCR + oxida-DI01</t>
        </is>
      </c>
      <c r="H4734" s="12" t="inlineStr">
        <is>
          <t>RICE 5 SCR + oxidation catalyst and stack</t>
        </is>
      </c>
      <c r="I4734" s="12" t="inlineStr">
        <is>
          <t>Instrumentation</t>
        </is>
      </c>
      <c r="J4734" s="12" t="inlineStr">
        <is>
          <t>Instrumentation PLTC / TC-ER 300 V, #18 twisted shielded pairs, overall shield</t>
        </is>
      </c>
      <c r="K4734" s="12" t="inlineStr">
        <is>
          <t>PLTC|24 pr|18</t>
        </is>
      </c>
      <c r="L4734" s="12" t="inlineStr">
        <is>
          <t>24 pr</t>
        </is>
      </c>
      <c r="M4734" s="12" t="inlineStr">
        <is>
          <t>18</t>
        </is>
      </c>
      <c r="N4734" s="12" t="n">
        <v>1</v>
      </c>
      <c r="O4734" s="12" t="n">
        <v>1</v>
      </c>
      <c r="P4734" s="12" t="n"/>
      <c r="Q4734" s="12" t="n"/>
      <c r="R4734" s="12" t="n"/>
      <c r="S4734" s="12" t="inlineStr">
        <is>
          <t>Duct bank</t>
        </is>
      </c>
      <c r="T4734" s="16" t="n">
        <v>322</v>
      </c>
      <c r="U4734" s="16" t="n">
        <v>196</v>
      </c>
      <c r="V4734" s="16">
        <f>ROUNDUP((T4734+U4734+2*'Read Me'!$B$13)*(1+'Read Me'!$B$12),-1)</f>
        <v/>
      </c>
      <c r="W4734" s="16">
        <f>V4734*N4734*O4734</f>
        <v/>
      </c>
      <c r="X4734" s="12">
        <f>IF(LEFT(I4734,2)="MV",2*N4734*IF(L4734="1/C",O4734,1),0)</f>
        <v/>
      </c>
      <c r="Y4734" s="12">
        <f>IF(OR(LEFT(K4734,4)="LVAX",LEFT(K4734,6)="MV15AX",LEFT(K4734,4)="CTAX",LEFT(K4734,2)="W|"),2*N4734*O4734,0)</f>
        <v/>
      </c>
      <c r="Z4734" s="12" t="inlineStr"/>
      <c r="AA4734" s="12">
        <f>N4734*O4734</f>
        <v/>
      </c>
    </row>
    <row r="4735">
      <c r="A4735" s="12" t="inlineStr">
        <is>
          <t>I-I-0186</t>
        </is>
      </c>
      <c r="B4735" s="12" t="inlineStr">
        <is>
          <t>I</t>
        </is>
      </c>
      <c r="C4735" s="12" t="inlineStr">
        <is>
          <t>Modular / portable power</t>
        </is>
      </c>
      <c r="D4735" s="12" t="inlineStr">
        <is>
          <t>Analog instrument to JB JB-RICE 5 radiators (-AI01: 5 x 1 pr (field cables)</t>
        </is>
      </c>
      <c r="E4735" s="12" t="inlineStr"/>
      <c r="F4735" s="12" t="inlineStr">
        <is>
          <t>RICE 5 radiators (5)</t>
        </is>
      </c>
      <c r="G4735" s="12" t="inlineStr">
        <is>
          <t>JB-RICE 5 radiators (-AI01</t>
        </is>
      </c>
      <c r="H4735" s="12" t="inlineStr">
        <is>
          <t>RICE 5 radiators (5)</t>
        </is>
      </c>
      <c r="I4735" s="12" t="inlineStr">
        <is>
          <t>Instrumentation</t>
        </is>
      </c>
      <c r="J4735" s="12" t="inlineStr">
        <is>
          <t>Instrumentation PLTC / TC-ER 300 V, #18 twisted shielded pairs, overall shield</t>
        </is>
      </c>
      <c r="K4735" s="12" t="inlineStr">
        <is>
          <t>PLTC|1 pr|16</t>
        </is>
      </c>
      <c r="L4735" s="12" t="inlineStr">
        <is>
          <t>1 pr</t>
        </is>
      </c>
      <c r="M4735" s="12" t="inlineStr">
        <is>
          <t>16</t>
        </is>
      </c>
      <c r="N4735" s="12" t="n">
        <v>5</v>
      </c>
      <c r="O4735" s="12" t="n">
        <v>1</v>
      </c>
      <c r="P4735" s="12" t="n"/>
      <c r="Q4735" s="12" t="n"/>
      <c r="R4735" s="12" t="n"/>
      <c r="S4735" s="12" t="inlineStr">
        <is>
          <t>Tray / conduit</t>
        </is>
      </c>
      <c r="T4735" s="16" t="n">
        <v>80</v>
      </c>
      <c r="U4735" s="16" t="n">
        <v>10</v>
      </c>
      <c r="V4735" s="16">
        <f>ROUNDUP((T4735+U4735+2*'Read Me'!$B$13)*(1+'Read Me'!$B$12),-1)</f>
        <v/>
      </c>
      <c r="W4735" s="16">
        <f>V4735*N4735*O4735</f>
        <v/>
      </c>
      <c r="X4735" s="12">
        <f>IF(LEFT(I4735,2)="MV",2*N4735*IF(L4735="1/C",O4735,1),0)</f>
        <v/>
      </c>
      <c r="Y4735" s="12">
        <f>IF(OR(LEFT(K4735,4)="LVAX",LEFT(K4735,6)="MV15AX",LEFT(K4735,4)="CTAX",LEFT(K4735,2)="W|"),2*N4735*O4735,0)</f>
        <v/>
      </c>
      <c r="Z4735" s="12" t="inlineStr">
        <is>
          <t>device-to-JB field wiring, one cable per device</t>
        </is>
      </c>
      <c r="AA4735" s="12">
        <f>N4735*O4735</f>
        <v/>
      </c>
    </row>
    <row r="4736">
      <c r="A4736" s="12" t="inlineStr">
        <is>
          <t>I-I-0187</t>
        </is>
      </c>
      <c r="B4736" s="12" t="inlineStr">
        <is>
          <t>I</t>
        </is>
      </c>
      <c r="C4736" s="12" t="inlineStr">
        <is>
          <t>Modular / portable power</t>
        </is>
      </c>
      <c r="D4736" s="12" t="inlineStr">
        <is>
          <t>Home run JB-RICE 5 radiators (-AI01 to the control / marshalling room</t>
        </is>
      </c>
      <c r="E4736" s="12" t="inlineStr"/>
      <c r="F4736" s="12" t="inlineStr">
        <is>
          <t>PCM: power control module</t>
        </is>
      </c>
      <c r="G4736" s="12" t="inlineStr">
        <is>
          <t>JB-RICE 5 radiators (-AI01</t>
        </is>
      </c>
      <c r="H4736" s="12" t="inlineStr">
        <is>
          <t>RICE 5 radiators (5)</t>
        </is>
      </c>
      <c r="I4736" s="12" t="inlineStr">
        <is>
          <t>Instrumentation</t>
        </is>
      </c>
      <c r="J4736" s="12" t="inlineStr">
        <is>
          <t>Instrumentation PLTC / TC-ER 300 V, #18 twisted shielded pairs, overall shield</t>
        </is>
      </c>
      <c r="K4736" s="12" t="inlineStr">
        <is>
          <t>PLTC|24 pr|18</t>
        </is>
      </c>
      <c r="L4736" s="12" t="inlineStr">
        <is>
          <t>24 pr</t>
        </is>
      </c>
      <c r="M4736" s="12" t="inlineStr">
        <is>
          <t>18</t>
        </is>
      </c>
      <c r="N4736" s="12" t="n">
        <v>1</v>
      </c>
      <c r="O4736" s="12" t="n">
        <v>1</v>
      </c>
      <c r="P4736" s="12" t="n"/>
      <c r="Q4736" s="12" t="n"/>
      <c r="R4736" s="12" t="n"/>
      <c r="S4736" s="12" t="inlineStr">
        <is>
          <t>Tray</t>
        </is>
      </c>
      <c r="T4736" s="16" t="n">
        <v>0</v>
      </c>
      <c r="U4736" s="16" t="n">
        <v>178</v>
      </c>
      <c r="V4736" s="16">
        <f>ROUNDUP((T4736+U4736+2*'Read Me'!$B$13)*(1+'Read Me'!$B$12),-1)</f>
        <v/>
      </c>
      <c r="W4736" s="16">
        <f>V4736*N4736*O4736</f>
        <v/>
      </c>
      <c r="X4736" s="12">
        <f>IF(LEFT(I4736,2)="MV",2*N4736*IF(L4736="1/C",O4736,1),0)</f>
        <v/>
      </c>
      <c r="Y4736" s="12">
        <f>IF(OR(LEFT(K4736,4)="LVAX",LEFT(K4736,6)="MV15AX",LEFT(K4736,4)="CTAX",LEFT(K4736,2)="W|"),2*N4736*O4736,0)</f>
        <v/>
      </c>
      <c r="Z4736" s="12" t="inlineStr"/>
      <c r="AA4736" s="12">
        <f>N4736*O4736</f>
        <v/>
      </c>
    </row>
    <row r="4737">
      <c r="A4737" s="12" t="inlineStr">
        <is>
          <t>I-I-0188</t>
        </is>
      </c>
      <c r="B4737" s="12" t="inlineStr">
        <is>
          <t>I</t>
        </is>
      </c>
      <c r="C4737" s="12" t="inlineStr">
        <is>
          <t>Modular / portable power</t>
        </is>
      </c>
      <c r="D4737" s="12" t="inlineStr">
        <is>
          <t>Discrete device to JB JB-RICE 5 radiators (-DI01: 10 x 1 pr (field cables)</t>
        </is>
      </c>
      <c r="E4737" s="12" t="inlineStr"/>
      <c r="F4737" s="12" t="inlineStr">
        <is>
          <t>RICE 5 radiators (5)</t>
        </is>
      </c>
      <c r="G4737" s="12" t="inlineStr">
        <is>
          <t>JB-RICE 5 radiators (-DI01</t>
        </is>
      </c>
      <c r="H4737" s="12" t="inlineStr">
        <is>
          <t>RICE 5 radiators (5)</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10</v>
      </c>
      <c r="O4737" s="12" t="n">
        <v>1</v>
      </c>
      <c r="P4737" s="12" t="n"/>
      <c r="Q4737" s="12" t="n"/>
      <c r="R4737" s="12" t="n"/>
      <c r="S4737" s="12" t="inlineStr">
        <is>
          <t>Tray / conduit</t>
        </is>
      </c>
      <c r="T4737" s="16" t="n">
        <v>80</v>
      </c>
      <c r="U4737" s="16" t="n">
        <v>10</v>
      </c>
      <c r="V4737" s="16">
        <f>ROUNDUP((T4737+U4737+2*'Read Me'!$B$13)*(1+'Read Me'!$B$12),-1)</f>
        <v/>
      </c>
      <c r="W4737" s="16">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I-I-0189</t>
        </is>
      </c>
      <c r="B4738" s="12" t="inlineStr">
        <is>
          <t>I</t>
        </is>
      </c>
      <c r="C4738" s="12" t="inlineStr">
        <is>
          <t>Modular / portable power</t>
        </is>
      </c>
      <c r="D4738" s="12" t="inlineStr">
        <is>
          <t>Home run JB-RICE 5 radiators (-DI01 to the control / marshalling room</t>
        </is>
      </c>
      <c r="E4738" s="12" t="inlineStr"/>
      <c r="F4738" s="12" t="inlineStr">
        <is>
          <t>PCM: power control module</t>
        </is>
      </c>
      <c r="G4738" s="12" t="inlineStr">
        <is>
          <t>JB-RICE 5 radiators (-DI01</t>
        </is>
      </c>
      <c r="H4738" s="12" t="inlineStr">
        <is>
          <t>RICE 5 radiators (5)</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Tray</t>
        </is>
      </c>
      <c r="T4738" s="16" t="n">
        <v>0</v>
      </c>
      <c r="U4738" s="16" t="n">
        <v>178</v>
      </c>
      <c r="V4738" s="16">
        <f>ROUNDUP((T4738+U4738+2*'Read Me'!$B$13)*(1+'Read Me'!$B$12),-1)</f>
        <v/>
      </c>
      <c r="W4738" s="16">
        <f>V4738*N4738*O4738</f>
        <v/>
      </c>
      <c r="X4738" s="12">
        <f>IF(LEFT(I4738,2)="MV",2*N4738*IF(L4738="1/C",O4738,1),0)</f>
        <v/>
      </c>
      <c r="Y4738" s="12">
        <f>IF(OR(LEFT(K4738,4)="LVAX",LEFT(K4738,6)="MV15AX",LEFT(K4738,4)="CTAX",LEFT(K4738,2)="W|"),2*N4738*O4738,0)</f>
        <v/>
      </c>
      <c r="Z4738" s="12" t="inlineStr"/>
      <c r="AA4738" s="12">
        <f>N4738*O4738</f>
        <v/>
      </c>
    </row>
    <row r="4739">
      <c r="A4739" s="12" t="inlineStr">
        <is>
          <t>I-I-0190</t>
        </is>
      </c>
      <c r="B4739" s="12" t="inlineStr">
        <is>
          <t>I</t>
        </is>
      </c>
      <c r="C4739" s="12" t="inlineStr">
        <is>
          <t>Modular / portable power</t>
        </is>
      </c>
      <c r="D4739" s="12" t="inlineStr">
        <is>
          <t>Analog instrument to JB JB-RICE 6 SCR + oxida-AI01: 10 x 1 pr (field cables)</t>
        </is>
      </c>
      <c r="E4739" s="12" t="inlineStr"/>
      <c r="F4739" s="12" t="inlineStr">
        <is>
          <t>RICE 6 SCR + oxidation catalyst and stack</t>
        </is>
      </c>
      <c r="G4739" s="12" t="inlineStr">
        <is>
          <t>JB-RICE 6 SCR + oxida-AI01</t>
        </is>
      </c>
      <c r="H4739" s="12" t="inlineStr">
        <is>
          <t>RICE 6 SCR + oxidation catalyst and stack</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10</v>
      </c>
      <c r="O4739" s="12" t="n">
        <v>1</v>
      </c>
      <c r="P4739" s="12" t="n"/>
      <c r="Q4739" s="12" t="n"/>
      <c r="R4739" s="12" t="n"/>
      <c r="S4739" s="12" t="inlineStr">
        <is>
          <t>Tray / conduit</t>
        </is>
      </c>
      <c r="T4739" s="16" t="n">
        <v>92</v>
      </c>
      <c r="U4739" s="16" t="n">
        <v>10</v>
      </c>
      <c r="V4739" s="16">
        <f>ROUNDUP((T4739+U4739+2*'Read Me'!$B$13)*(1+'Read Me'!$B$12),-1)</f>
        <v/>
      </c>
      <c r="W4739" s="16">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I-I-0191</t>
        </is>
      </c>
      <c r="B4740" s="12" t="inlineStr">
        <is>
          <t>I</t>
        </is>
      </c>
      <c r="C4740" s="12" t="inlineStr">
        <is>
          <t>Modular / portable power</t>
        </is>
      </c>
      <c r="D4740" s="12" t="inlineStr">
        <is>
          <t>Home run JB-RICE 6 SCR + oxida-AI01 to the control / marshalling room</t>
        </is>
      </c>
      <c r="E4740" s="12" t="inlineStr"/>
      <c r="F4740" s="12" t="inlineStr">
        <is>
          <t>PCM: power control module</t>
        </is>
      </c>
      <c r="G4740" s="12" t="inlineStr">
        <is>
          <t>JB-RICE 6 SCR + oxida-AI01</t>
        </is>
      </c>
      <c r="H4740" s="12" t="inlineStr">
        <is>
          <t>RICE 6 SCR + oxidation catalyst and stack</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6" t="n">
        <v>322</v>
      </c>
      <c r="U4740" s="16" t="n">
        <v>168</v>
      </c>
      <c r="V4740" s="16">
        <f>ROUNDUP((T4740+U4740+2*'Read Me'!$B$13)*(1+'Read Me'!$B$12),-1)</f>
        <v/>
      </c>
      <c r="W4740" s="16">
        <f>V4740*N4740*O4740</f>
        <v/>
      </c>
      <c r="X4740" s="12">
        <f>IF(LEFT(I4740,2)="MV",2*N4740*IF(L4740="1/C",O4740,1),0)</f>
        <v/>
      </c>
      <c r="Y4740" s="12">
        <f>IF(OR(LEFT(K4740,4)="LVAX",LEFT(K4740,6)="MV15AX",LEFT(K4740,4)="CTAX",LEFT(K4740,2)="W|"),2*N4740*O4740,0)</f>
        <v/>
      </c>
      <c r="Z4740" s="12" t="inlineStr"/>
      <c r="AA4740" s="12">
        <f>N4740*O4740</f>
        <v/>
      </c>
    </row>
    <row r="4741">
      <c r="A4741" s="12" t="inlineStr">
        <is>
          <t>I-I-0192</t>
        </is>
      </c>
      <c r="B4741" s="12" t="inlineStr">
        <is>
          <t>I</t>
        </is>
      </c>
      <c r="C4741" s="12" t="inlineStr">
        <is>
          <t>Modular / portable power</t>
        </is>
      </c>
      <c r="D4741" s="12" t="inlineStr">
        <is>
          <t>Discrete device to JB JB-RICE 6 SCR + oxida-DI01: 6 x 1 pr (field cables)</t>
        </is>
      </c>
      <c r="E4741" s="12" t="inlineStr"/>
      <c r="F4741" s="12" t="inlineStr">
        <is>
          <t>RICE 6 SCR + oxidation catalyst and stack</t>
        </is>
      </c>
      <c r="G4741" s="12" t="inlineStr">
        <is>
          <t>JB-RICE 6 SCR + oxida-DI01</t>
        </is>
      </c>
      <c r="H4741" s="12" t="inlineStr">
        <is>
          <t>RICE 6 SCR + oxidation catalyst and stack</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6</v>
      </c>
      <c r="O4741" s="12" t="n">
        <v>1</v>
      </c>
      <c r="P4741" s="12" t="n"/>
      <c r="Q4741" s="12" t="n"/>
      <c r="R4741" s="12" t="n"/>
      <c r="S4741" s="12" t="inlineStr">
        <is>
          <t>Tray / conduit</t>
        </is>
      </c>
      <c r="T4741" s="16" t="n">
        <v>92</v>
      </c>
      <c r="U4741" s="16" t="n">
        <v>10</v>
      </c>
      <c r="V4741" s="16">
        <f>ROUNDUP((T4741+U4741+2*'Read Me'!$B$13)*(1+'Read Me'!$B$12),-1)</f>
        <v/>
      </c>
      <c r="W4741" s="16">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I-I-0193</t>
        </is>
      </c>
      <c r="B4742" s="12" t="inlineStr">
        <is>
          <t>I</t>
        </is>
      </c>
      <c r="C4742" s="12" t="inlineStr">
        <is>
          <t>Modular / portable power</t>
        </is>
      </c>
      <c r="D4742" s="12" t="inlineStr">
        <is>
          <t>Home run JB-RICE 6 SCR + oxida-DI01 to the control / marshalling room</t>
        </is>
      </c>
      <c r="E4742" s="12" t="inlineStr"/>
      <c r="F4742" s="12" t="inlineStr">
        <is>
          <t>PCM: power control module</t>
        </is>
      </c>
      <c r="G4742" s="12" t="inlineStr">
        <is>
          <t>JB-RICE 6 SCR + oxida-DI01</t>
        </is>
      </c>
      <c r="H4742" s="12" t="inlineStr">
        <is>
          <t>RICE 6 SCR + oxidation catalyst and stack</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6" t="n">
        <v>322</v>
      </c>
      <c r="U4742" s="16" t="n">
        <v>168</v>
      </c>
      <c r="V4742" s="16">
        <f>ROUNDUP((T4742+U4742+2*'Read Me'!$B$13)*(1+'Read Me'!$B$12),-1)</f>
        <v/>
      </c>
      <c r="W4742" s="16">
        <f>V4742*N4742*O4742</f>
        <v/>
      </c>
      <c r="X4742" s="12">
        <f>IF(LEFT(I4742,2)="MV",2*N4742*IF(L4742="1/C",O4742,1),0)</f>
        <v/>
      </c>
      <c r="Y4742" s="12">
        <f>IF(OR(LEFT(K4742,4)="LVAX",LEFT(K4742,6)="MV15AX",LEFT(K4742,4)="CTAX",LEFT(K4742,2)="W|"),2*N4742*O4742,0)</f>
        <v/>
      </c>
      <c r="Z4742" s="12" t="inlineStr"/>
      <c r="AA4742" s="12">
        <f>N4742*O4742</f>
        <v/>
      </c>
    </row>
    <row r="4743">
      <c r="A4743" s="12" t="inlineStr">
        <is>
          <t>I-I-0194</t>
        </is>
      </c>
      <c r="B4743" s="12" t="inlineStr">
        <is>
          <t>I</t>
        </is>
      </c>
      <c r="C4743" s="12" t="inlineStr">
        <is>
          <t>Modular / portable power</t>
        </is>
      </c>
      <c r="D4743" s="12" t="inlineStr">
        <is>
          <t>Analog instrument to JB JB-RICE 6 radiators (-AI01: 5 x 1 pr (field cables)</t>
        </is>
      </c>
      <c r="E4743" s="12" t="inlineStr"/>
      <c r="F4743" s="12" t="inlineStr">
        <is>
          <t>RICE 6 radiators (5)</t>
        </is>
      </c>
      <c r="G4743" s="12" t="inlineStr">
        <is>
          <t>JB-RICE 6 radiators (-AI01</t>
        </is>
      </c>
      <c r="H4743" s="12" t="inlineStr">
        <is>
          <t>RICE 6 radiators (5)</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5</v>
      </c>
      <c r="O4743" s="12" t="n">
        <v>1</v>
      </c>
      <c r="P4743" s="12" t="n"/>
      <c r="Q4743" s="12" t="n"/>
      <c r="R4743" s="12" t="n"/>
      <c r="S4743" s="12" t="inlineStr">
        <is>
          <t>Tray / conduit</t>
        </is>
      </c>
      <c r="T4743" s="16" t="n">
        <v>80</v>
      </c>
      <c r="U4743" s="16" t="n">
        <v>10</v>
      </c>
      <c r="V4743" s="16">
        <f>ROUNDUP((T4743+U4743+2*'Read Me'!$B$13)*(1+'Read Me'!$B$12),-1)</f>
        <v/>
      </c>
      <c r="W4743" s="16">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I-I-0195</t>
        </is>
      </c>
      <c r="B4744" s="12" t="inlineStr">
        <is>
          <t>I</t>
        </is>
      </c>
      <c r="C4744" s="12" t="inlineStr">
        <is>
          <t>Modular / portable power</t>
        </is>
      </c>
      <c r="D4744" s="12" t="inlineStr">
        <is>
          <t>Home run JB-RICE 6 radiators (-AI01 to the control / marshalling room</t>
        </is>
      </c>
      <c r="E4744" s="12" t="inlineStr"/>
      <c r="F4744" s="12" t="inlineStr">
        <is>
          <t>PCM: power control module</t>
        </is>
      </c>
      <c r="G4744" s="12" t="inlineStr">
        <is>
          <t>JB-RICE 6 radiators (-AI01</t>
        </is>
      </c>
      <c r="H4744" s="12" t="inlineStr">
        <is>
          <t>RICE 6 radiators (5)</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Tray</t>
        </is>
      </c>
      <c r="T4744" s="16" t="n">
        <v>0</v>
      </c>
      <c r="U4744" s="16" t="n">
        <v>150</v>
      </c>
      <c r="V4744" s="16">
        <f>ROUNDUP((T4744+U4744+2*'Read Me'!$B$13)*(1+'Read Me'!$B$12),-1)</f>
        <v/>
      </c>
      <c r="W4744" s="16">
        <f>V4744*N4744*O4744</f>
        <v/>
      </c>
      <c r="X4744" s="12">
        <f>IF(LEFT(I4744,2)="MV",2*N4744*IF(L4744="1/C",O4744,1),0)</f>
        <v/>
      </c>
      <c r="Y4744" s="12">
        <f>IF(OR(LEFT(K4744,4)="LVAX",LEFT(K4744,6)="MV15AX",LEFT(K4744,4)="CTAX",LEFT(K4744,2)="W|"),2*N4744*O4744,0)</f>
        <v/>
      </c>
      <c r="Z4744" s="12" t="inlineStr"/>
      <c r="AA4744" s="12">
        <f>N4744*O4744</f>
        <v/>
      </c>
    </row>
    <row r="4745">
      <c r="A4745" s="12" t="inlineStr">
        <is>
          <t>I-I-0196</t>
        </is>
      </c>
      <c r="B4745" s="12" t="inlineStr">
        <is>
          <t>I</t>
        </is>
      </c>
      <c r="C4745" s="12" t="inlineStr">
        <is>
          <t>Modular / portable power</t>
        </is>
      </c>
      <c r="D4745" s="12" t="inlineStr">
        <is>
          <t>Discrete device to JB JB-RICE 6 radiators (-DI01: 10 x 1 pr (field cables)</t>
        </is>
      </c>
      <c r="E4745" s="12" t="inlineStr"/>
      <c r="F4745" s="12" t="inlineStr">
        <is>
          <t>RICE 6 radiators (5)</t>
        </is>
      </c>
      <c r="G4745" s="12" t="inlineStr">
        <is>
          <t>JB-RICE 6 radiators (-DI01</t>
        </is>
      </c>
      <c r="H4745" s="12" t="inlineStr">
        <is>
          <t>RICE 6 radiators (5)</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10</v>
      </c>
      <c r="O4745" s="12" t="n">
        <v>1</v>
      </c>
      <c r="P4745" s="12" t="n"/>
      <c r="Q4745" s="12" t="n"/>
      <c r="R4745" s="12" t="n"/>
      <c r="S4745" s="12" t="inlineStr">
        <is>
          <t>Tray / conduit</t>
        </is>
      </c>
      <c r="T4745" s="16" t="n">
        <v>80</v>
      </c>
      <c r="U4745" s="16" t="n">
        <v>10</v>
      </c>
      <c r="V4745" s="16">
        <f>ROUNDUP((T4745+U4745+2*'Read Me'!$B$13)*(1+'Read Me'!$B$12),-1)</f>
        <v/>
      </c>
      <c r="W4745" s="16">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I-I-0197</t>
        </is>
      </c>
      <c r="B4746" s="12" t="inlineStr">
        <is>
          <t>I</t>
        </is>
      </c>
      <c r="C4746" s="12" t="inlineStr">
        <is>
          <t>Modular / portable power</t>
        </is>
      </c>
      <c r="D4746" s="12" t="inlineStr">
        <is>
          <t>Home run JB-RICE 6 radiators (-DI01 to the control / marshalling room</t>
        </is>
      </c>
      <c r="E4746" s="12" t="inlineStr"/>
      <c r="F4746" s="12" t="inlineStr">
        <is>
          <t>PCM: power control module</t>
        </is>
      </c>
      <c r="G4746" s="12" t="inlineStr">
        <is>
          <t>JB-RICE 6 radiators (-DI01</t>
        </is>
      </c>
      <c r="H4746" s="12" t="inlineStr">
        <is>
          <t>RICE 6 radiators (5)</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Tray</t>
        </is>
      </c>
      <c r="T4746" s="16" t="n">
        <v>0</v>
      </c>
      <c r="U4746" s="16" t="n">
        <v>150</v>
      </c>
      <c r="V4746" s="16">
        <f>ROUNDUP((T4746+U4746+2*'Read Me'!$B$13)*(1+'Read Me'!$B$12),-1)</f>
        <v/>
      </c>
      <c r="W4746" s="16">
        <f>V4746*N4746*O4746</f>
        <v/>
      </c>
      <c r="X4746" s="12">
        <f>IF(LEFT(I4746,2)="MV",2*N4746*IF(L4746="1/C",O4746,1),0)</f>
        <v/>
      </c>
      <c r="Y4746" s="12">
        <f>IF(OR(LEFT(K4746,4)="LVAX",LEFT(K4746,6)="MV15AX",LEFT(K4746,4)="CTAX",LEFT(K4746,2)="W|"),2*N4746*O4746,0)</f>
        <v/>
      </c>
      <c r="Z4746" s="12" t="inlineStr"/>
      <c r="AA4746" s="12">
        <f>N4746*O4746</f>
        <v/>
      </c>
    </row>
    <row r="4747">
      <c r="A4747" s="12" t="inlineStr">
        <is>
          <t>I-I-0198</t>
        </is>
      </c>
      <c r="B4747" s="12" t="inlineStr">
        <is>
          <t>I</t>
        </is>
      </c>
      <c r="C4747" s="12" t="inlineStr">
        <is>
          <t>Modular / portable power</t>
        </is>
      </c>
      <c r="D4747" s="12" t="inlineStr">
        <is>
          <t>Analog instrument to JB JB-RICE 7 SCR + oxida-AI01: 10 x 1 pr (field cables)</t>
        </is>
      </c>
      <c r="E4747" s="12" t="inlineStr"/>
      <c r="F4747" s="12" t="inlineStr">
        <is>
          <t>RICE 7 SCR + oxidation catalyst and stack</t>
        </is>
      </c>
      <c r="G4747" s="12" t="inlineStr">
        <is>
          <t>JB-RICE 7 SCR + oxida-AI01</t>
        </is>
      </c>
      <c r="H4747" s="12" t="inlineStr">
        <is>
          <t>RICE 7 SCR + oxidation catalyst and stack</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10</v>
      </c>
      <c r="O4747" s="12" t="n">
        <v>1</v>
      </c>
      <c r="P4747" s="12" t="n"/>
      <c r="Q4747" s="12" t="n"/>
      <c r="R4747" s="12" t="n"/>
      <c r="S4747" s="12" t="inlineStr">
        <is>
          <t>Tray / conduit</t>
        </is>
      </c>
      <c r="T4747" s="16" t="n">
        <v>92</v>
      </c>
      <c r="U4747" s="16" t="n">
        <v>10</v>
      </c>
      <c r="V4747" s="16">
        <f>ROUNDUP((T4747+U4747+2*'Read Me'!$B$13)*(1+'Read Me'!$B$12),-1)</f>
        <v/>
      </c>
      <c r="W4747" s="16">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I-I-0199</t>
        </is>
      </c>
      <c r="B4748" s="12" t="inlineStr">
        <is>
          <t>I</t>
        </is>
      </c>
      <c r="C4748" s="12" t="inlineStr">
        <is>
          <t>Modular / portable power</t>
        </is>
      </c>
      <c r="D4748" s="12" t="inlineStr">
        <is>
          <t>Home run JB-RICE 7 SCR + oxida-AI01 to the control / marshalling room</t>
        </is>
      </c>
      <c r="E4748" s="12" t="inlineStr"/>
      <c r="F4748" s="12" t="inlineStr">
        <is>
          <t>PCM: power control module</t>
        </is>
      </c>
      <c r="G4748" s="12" t="inlineStr">
        <is>
          <t>JB-RICE 7 SCR + oxida-AI01</t>
        </is>
      </c>
      <c r="H4748" s="12" t="inlineStr">
        <is>
          <t>RICE 7 SCR + oxidation catalyst and stack</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6" t="n">
        <v>322</v>
      </c>
      <c r="U4748" s="16" t="n">
        <v>140</v>
      </c>
      <c r="V4748" s="16">
        <f>ROUNDUP((T4748+U4748+2*'Read Me'!$B$13)*(1+'Read Me'!$B$12),-1)</f>
        <v/>
      </c>
      <c r="W4748" s="16">
        <f>V4748*N4748*O4748</f>
        <v/>
      </c>
      <c r="X4748" s="12">
        <f>IF(LEFT(I4748,2)="MV",2*N4748*IF(L4748="1/C",O4748,1),0)</f>
        <v/>
      </c>
      <c r="Y4748" s="12">
        <f>IF(OR(LEFT(K4748,4)="LVAX",LEFT(K4748,6)="MV15AX",LEFT(K4748,4)="CTAX",LEFT(K4748,2)="W|"),2*N4748*O4748,0)</f>
        <v/>
      </c>
      <c r="Z4748" s="12" t="inlineStr"/>
      <c r="AA4748" s="12">
        <f>N4748*O4748</f>
        <v/>
      </c>
    </row>
    <row r="4749">
      <c r="A4749" s="12" t="inlineStr">
        <is>
          <t>I-I-0200</t>
        </is>
      </c>
      <c r="B4749" s="12" t="inlineStr">
        <is>
          <t>I</t>
        </is>
      </c>
      <c r="C4749" s="12" t="inlineStr">
        <is>
          <t>Modular / portable power</t>
        </is>
      </c>
      <c r="D4749" s="12" t="inlineStr">
        <is>
          <t>Discrete device to JB JB-RICE 7 SCR + oxida-DI01: 6 x 1 pr (field cables)</t>
        </is>
      </c>
      <c r="E4749" s="12" t="inlineStr"/>
      <c r="F4749" s="12" t="inlineStr">
        <is>
          <t>RICE 7 SCR + oxidation catalyst and stack</t>
        </is>
      </c>
      <c r="G4749" s="12" t="inlineStr">
        <is>
          <t>JB-RICE 7 SCR + oxida-DI01</t>
        </is>
      </c>
      <c r="H4749" s="12" t="inlineStr">
        <is>
          <t>RICE 7 SCR + oxidation catalyst and stack</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6</v>
      </c>
      <c r="O4749" s="12" t="n">
        <v>1</v>
      </c>
      <c r="P4749" s="12" t="n"/>
      <c r="Q4749" s="12" t="n"/>
      <c r="R4749" s="12" t="n"/>
      <c r="S4749" s="12" t="inlineStr">
        <is>
          <t>Tray / conduit</t>
        </is>
      </c>
      <c r="T4749" s="16" t="n">
        <v>92</v>
      </c>
      <c r="U4749" s="16" t="n">
        <v>10</v>
      </c>
      <c r="V4749" s="16">
        <f>ROUNDUP((T4749+U4749+2*'Read Me'!$B$13)*(1+'Read Me'!$B$12),-1)</f>
        <v/>
      </c>
      <c r="W4749" s="16">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I-I-0201</t>
        </is>
      </c>
      <c r="B4750" s="12" t="inlineStr">
        <is>
          <t>I</t>
        </is>
      </c>
      <c r="C4750" s="12" t="inlineStr">
        <is>
          <t>Modular / portable power</t>
        </is>
      </c>
      <c r="D4750" s="12" t="inlineStr">
        <is>
          <t>Home run JB-RICE 7 SCR + oxida-DI01 to the control / marshalling room</t>
        </is>
      </c>
      <c r="E4750" s="12" t="inlineStr"/>
      <c r="F4750" s="12" t="inlineStr">
        <is>
          <t>PCM: power control module</t>
        </is>
      </c>
      <c r="G4750" s="12" t="inlineStr">
        <is>
          <t>JB-RICE 7 SCR + oxida-DI01</t>
        </is>
      </c>
      <c r="H4750" s="12" t="inlineStr">
        <is>
          <t>RICE 7 SCR + oxidation catalyst and stack</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6" t="n">
        <v>322</v>
      </c>
      <c r="U4750" s="16" t="n">
        <v>140</v>
      </c>
      <c r="V4750" s="16">
        <f>ROUNDUP((T4750+U4750+2*'Read Me'!$B$13)*(1+'Read Me'!$B$12),-1)</f>
        <v/>
      </c>
      <c r="W4750" s="16">
        <f>V4750*N4750*O4750</f>
        <v/>
      </c>
      <c r="X4750" s="12">
        <f>IF(LEFT(I4750,2)="MV",2*N4750*IF(L4750="1/C",O4750,1),0)</f>
        <v/>
      </c>
      <c r="Y4750" s="12">
        <f>IF(OR(LEFT(K4750,4)="LVAX",LEFT(K4750,6)="MV15AX",LEFT(K4750,4)="CTAX",LEFT(K4750,2)="W|"),2*N4750*O4750,0)</f>
        <v/>
      </c>
      <c r="Z4750" s="12" t="inlineStr"/>
      <c r="AA4750" s="12">
        <f>N4750*O4750</f>
        <v/>
      </c>
    </row>
    <row r="4751">
      <c r="A4751" s="12" t="inlineStr">
        <is>
          <t>I-I-0202</t>
        </is>
      </c>
      <c r="B4751" s="12" t="inlineStr">
        <is>
          <t>I</t>
        </is>
      </c>
      <c r="C4751" s="12" t="inlineStr">
        <is>
          <t>Modular / portable power</t>
        </is>
      </c>
      <c r="D4751" s="12" t="inlineStr">
        <is>
          <t>Analog instrument to JB JB-RICE 7 radiators (-AI01: 5 x 1 pr (field cables)</t>
        </is>
      </c>
      <c r="E4751" s="12" t="inlineStr"/>
      <c r="F4751" s="12" t="inlineStr">
        <is>
          <t>RICE 7 radiators (5)</t>
        </is>
      </c>
      <c r="G4751" s="12" t="inlineStr">
        <is>
          <t>JB-RICE 7 radiators (-AI01</t>
        </is>
      </c>
      <c r="H4751" s="12" t="inlineStr">
        <is>
          <t>RICE 7 radiators (5)</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5</v>
      </c>
      <c r="O4751" s="12" t="n">
        <v>1</v>
      </c>
      <c r="P4751" s="12" t="n"/>
      <c r="Q4751" s="12" t="n"/>
      <c r="R4751" s="12" t="n"/>
      <c r="S4751" s="12" t="inlineStr">
        <is>
          <t>Tray / conduit</t>
        </is>
      </c>
      <c r="T4751" s="16" t="n">
        <v>80</v>
      </c>
      <c r="U4751" s="16" t="n">
        <v>10</v>
      </c>
      <c r="V4751" s="16">
        <f>ROUNDUP((T4751+U4751+2*'Read Me'!$B$13)*(1+'Read Me'!$B$12),-1)</f>
        <v/>
      </c>
      <c r="W4751" s="16">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I-I-0203</t>
        </is>
      </c>
      <c r="B4752" s="12" t="inlineStr">
        <is>
          <t>I</t>
        </is>
      </c>
      <c r="C4752" s="12" t="inlineStr">
        <is>
          <t>Modular / portable power</t>
        </is>
      </c>
      <c r="D4752" s="12" t="inlineStr">
        <is>
          <t>Home run JB-RICE 7 radiators (-AI01 to the control / marshalling room</t>
        </is>
      </c>
      <c r="E4752" s="12" t="inlineStr"/>
      <c r="F4752" s="12" t="inlineStr">
        <is>
          <t>PCM: power control module</t>
        </is>
      </c>
      <c r="G4752" s="12" t="inlineStr">
        <is>
          <t>JB-RICE 7 radiators (-AI01</t>
        </is>
      </c>
      <c r="H4752" s="12" t="inlineStr">
        <is>
          <t>RICE 7 radiators (5)</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Tray</t>
        </is>
      </c>
      <c r="T4752" s="16" t="n">
        <v>0</v>
      </c>
      <c r="U4752" s="16" t="n">
        <v>122</v>
      </c>
      <c r="V4752" s="16">
        <f>ROUNDUP((T4752+U4752+2*'Read Me'!$B$13)*(1+'Read Me'!$B$12),-1)</f>
        <v/>
      </c>
      <c r="W4752" s="16">
        <f>V4752*N4752*O4752</f>
        <v/>
      </c>
      <c r="X4752" s="12">
        <f>IF(LEFT(I4752,2)="MV",2*N4752*IF(L4752="1/C",O4752,1),0)</f>
        <v/>
      </c>
      <c r="Y4752" s="12">
        <f>IF(OR(LEFT(K4752,4)="LVAX",LEFT(K4752,6)="MV15AX",LEFT(K4752,4)="CTAX",LEFT(K4752,2)="W|"),2*N4752*O4752,0)</f>
        <v/>
      </c>
      <c r="Z4752" s="12" t="inlineStr"/>
      <c r="AA4752" s="12">
        <f>N4752*O4752</f>
        <v/>
      </c>
    </row>
    <row r="4753">
      <c r="A4753" s="12" t="inlineStr">
        <is>
          <t>I-I-0204</t>
        </is>
      </c>
      <c r="B4753" s="12" t="inlineStr">
        <is>
          <t>I</t>
        </is>
      </c>
      <c r="C4753" s="12" t="inlineStr">
        <is>
          <t>Modular / portable power</t>
        </is>
      </c>
      <c r="D4753" s="12" t="inlineStr">
        <is>
          <t>Discrete device to JB JB-RICE 7 radiators (-DI01: 10 x 1 pr (field cables)</t>
        </is>
      </c>
      <c r="E4753" s="12" t="inlineStr"/>
      <c r="F4753" s="12" t="inlineStr">
        <is>
          <t>RICE 7 radiators (5)</t>
        </is>
      </c>
      <c r="G4753" s="12" t="inlineStr">
        <is>
          <t>JB-RICE 7 radiators (-DI01</t>
        </is>
      </c>
      <c r="H4753" s="12" t="inlineStr">
        <is>
          <t>RICE 7 radiators (5)</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10</v>
      </c>
      <c r="O4753" s="12" t="n">
        <v>1</v>
      </c>
      <c r="P4753" s="12" t="n"/>
      <c r="Q4753" s="12" t="n"/>
      <c r="R4753" s="12" t="n"/>
      <c r="S4753" s="12" t="inlineStr">
        <is>
          <t>Tray / conduit</t>
        </is>
      </c>
      <c r="T4753" s="16" t="n">
        <v>80</v>
      </c>
      <c r="U4753" s="16" t="n">
        <v>10</v>
      </c>
      <c r="V4753" s="16">
        <f>ROUNDUP((T4753+U4753+2*'Read Me'!$B$13)*(1+'Read Me'!$B$12),-1)</f>
        <v/>
      </c>
      <c r="W4753" s="16">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I-I-0205</t>
        </is>
      </c>
      <c r="B4754" s="12" t="inlineStr">
        <is>
          <t>I</t>
        </is>
      </c>
      <c r="C4754" s="12" t="inlineStr">
        <is>
          <t>Modular / portable power</t>
        </is>
      </c>
      <c r="D4754" s="12" t="inlineStr">
        <is>
          <t>Home run JB-RICE 7 radiators (-DI01 to the control / marshalling room</t>
        </is>
      </c>
      <c r="E4754" s="12" t="inlineStr"/>
      <c r="F4754" s="12" t="inlineStr">
        <is>
          <t>PCM: power control module</t>
        </is>
      </c>
      <c r="G4754" s="12" t="inlineStr">
        <is>
          <t>JB-RICE 7 radiators (-DI01</t>
        </is>
      </c>
      <c r="H4754" s="12" t="inlineStr">
        <is>
          <t>RICE 7 radiators (5)</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Tray</t>
        </is>
      </c>
      <c r="T4754" s="16" t="n">
        <v>0</v>
      </c>
      <c r="U4754" s="16" t="n">
        <v>122</v>
      </c>
      <c r="V4754" s="16">
        <f>ROUNDUP((T4754+U4754+2*'Read Me'!$B$13)*(1+'Read Me'!$B$12),-1)</f>
        <v/>
      </c>
      <c r="W4754" s="16">
        <f>V4754*N4754*O4754</f>
        <v/>
      </c>
      <c r="X4754" s="12">
        <f>IF(LEFT(I4754,2)="MV",2*N4754*IF(L4754="1/C",O4754,1),0)</f>
        <v/>
      </c>
      <c r="Y4754" s="12">
        <f>IF(OR(LEFT(K4754,4)="LVAX",LEFT(K4754,6)="MV15AX",LEFT(K4754,4)="CTAX",LEFT(K4754,2)="W|"),2*N4754*O4754,0)</f>
        <v/>
      </c>
      <c r="Z4754" s="12" t="inlineStr"/>
      <c r="AA4754" s="12">
        <f>N4754*O4754</f>
        <v/>
      </c>
    </row>
    <row r="4755">
      <c r="A4755" s="12" t="inlineStr">
        <is>
          <t>I-I-0206</t>
        </is>
      </c>
      <c r="B4755" s="12" t="inlineStr">
        <is>
          <t>I</t>
        </is>
      </c>
      <c r="C4755" s="12" t="inlineStr">
        <is>
          <t>Modular / portable power</t>
        </is>
      </c>
      <c r="D4755" s="12" t="inlineStr">
        <is>
          <t>Analog instrument to JB JB-RICE 8 SCR + oxida-AI01: 10 x 1 pr (field cables)</t>
        </is>
      </c>
      <c r="E4755" s="12" t="inlineStr"/>
      <c r="F4755" s="12" t="inlineStr">
        <is>
          <t>RICE 8 SCR + oxidation catalyst and stack</t>
        </is>
      </c>
      <c r="G4755" s="12" t="inlineStr">
        <is>
          <t>JB-RICE 8 SCR + oxida-AI01</t>
        </is>
      </c>
      <c r="H4755" s="12" t="inlineStr">
        <is>
          <t>RICE 8 SCR + oxidation catalyst and stack</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10</v>
      </c>
      <c r="O4755" s="12" t="n">
        <v>1</v>
      </c>
      <c r="P4755" s="12" t="n"/>
      <c r="Q4755" s="12" t="n"/>
      <c r="R4755" s="12" t="n"/>
      <c r="S4755" s="12" t="inlineStr">
        <is>
          <t>Tray / conduit</t>
        </is>
      </c>
      <c r="T4755" s="16" t="n">
        <v>92</v>
      </c>
      <c r="U4755" s="16" t="n">
        <v>10</v>
      </c>
      <c r="V4755" s="16">
        <f>ROUNDUP((T4755+U4755+2*'Read Me'!$B$13)*(1+'Read Me'!$B$12),-1)</f>
        <v/>
      </c>
      <c r="W4755" s="16">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I-I-0207</t>
        </is>
      </c>
      <c r="B4756" s="12" t="inlineStr">
        <is>
          <t>I</t>
        </is>
      </c>
      <c r="C4756" s="12" t="inlineStr">
        <is>
          <t>Modular / portable power</t>
        </is>
      </c>
      <c r="D4756" s="12" t="inlineStr">
        <is>
          <t>Home run JB-RICE 8 SCR + oxida-AI01 to the control / marshalling room</t>
        </is>
      </c>
      <c r="E4756" s="12" t="inlineStr"/>
      <c r="F4756" s="12" t="inlineStr">
        <is>
          <t>PCM: power control module</t>
        </is>
      </c>
      <c r="G4756" s="12" t="inlineStr">
        <is>
          <t>JB-RICE 8 SCR + oxida-AI01</t>
        </is>
      </c>
      <c r="H4756" s="12" t="inlineStr">
        <is>
          <t>RICE 8 SCR + oxidation catalyst and stack</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6" t="n">
        <v>322</v>
      </c>
      <c r="U4756" s="16" t="n">
        <v>112</v>
      </c>
      <c r="V4756" s="16">
        <f>ROUNDUP((T4756+U4756+2*'Read Me'!$B$13)*(1+'Read Me'!$B$12),-1)</f>
        <v/>
      </c>
      <c r="W4756" s="16">
        <f>V4756*N4756*O4756</f>
        <v/>
      </c>
      <c r="X4756" s="12">
        <f>IF(LEFT(I4756,2)="MV",2*N4756*IF(L4756="1/C",O4756,1),0)</f>
        <v/>
      </c>
      <c r="Y4756" s="12">
        <f>IF(OR(LEFT(K4756,4)="LVAX",LEFT(K4756,6)="MV15AX",LEFT(K4756,4)="CTAX",LEFT(K4756,2)="W|"),2*N4756*O4756,0)</f>
        <v/>
      </c>
      <c r="Z4756" s="12" t="inlineStr"/>
      <c r="AA4756" s="12">
        <f>N4756*O4756</f>
        <v/>
      </c>
    </row>
    <row r="4757">
      <c r="A4757" s="12" t="inlineStr">
        <is>
          <t>I-I-0208</t>
        </is>
      </c>
      <c r="B4757" s="12" t="inlineStr">
        <is>
          <t>I</t>
        </is>
      </c>
      <c r="C4757" s="12" t="inlineStr">
        <is>
          <t>Modular / portable power</t>
        </is>
      </c>
      <c r="D4757" s="12" t="inlineStr">
        <is>
          <t>Discrete device to JB JB-RICE 8 SCR + oxida-DI01: 6 x 1 pr (field cables)</t>
        </is>
      </c>
      <c r="E4757" s="12" t="inlineStr"/>
      <c r="F4757" s="12" t="inlineStr">
        <is>
          <t>RICE 8 SCR + oxidation catalyst and stack</t>
        </is>
      </c>
      <c r="G4757" s="12" t="inlineStr">
        <is>
          <t>JB-RICE 8 SCR + oxida-DI01</t>
        </is>
      </c>
      <c r="H4757" s="12" t="inlineStr">
        <is>
          <t>RICE 8 SCR + oxidation catalyst and stack</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6</v>
      </c>
      <c r="O4757" s="12" t="n">
        <v>1</v>
      </c>
      <c r="P4757" s="12" t="n"/>
      <c r="Q4757" s="12" t="n"/>
      <c r="R4757" s="12" t="n"/>
      <c r="S4757" s="12" t="inlineStr">
        <is>
          <t>Tray / conduit</t>
        </is>
      </c>
      <c r="T4757" s="16" t="n">
        <v>92</v>
      </c>
      <c r="U4757" s="16" t="n">
        <v>10</v>
      </c>
      <c r="V4757" s="16">
        <f>ROUNDUP((T4757+U4757+2*'Read Me'!$B$13)*(1+'Read Me'!$B$12),-1)</f>
        <v/>
      </c>
      <c r="W4757" s="16">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I-I-0209</t>
        </is>
      </c>
      <c r="B4758" s="12" t="inlineStr">
        <is>
          <t>I</t>
        </is>
      </c>
      <c r="C4758" s="12" t="inlineStr">
        <is>
          <t>Modular / portable power</t>
        </is>
      </c>
      <c r="D4758" s="12" t="inlineStr">
        <is>
          <t>Home run JB-RICE 8 SCR + oxida-DI01 to the control / marshalling room</t>
        </is>
      </c>
      <c r="E4758" s="12" t="inlineStr"/>
      <c r="F4758" s="12" t="inlineStr">
        <is>
          <t>PCM: power control module</t>
        </is>
      </c>
      <c r="G4758" s="12" t="inlineStr">
        <is>
          <t>JB-RICE 8 SCR + oxida-DI01</t>
        </is>
      </c>
      <c r="H4758" s="12" t="inlineStr">
        <is>
          <t>RICE 8 SCR + oxidation catalyst and stack</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6" t="n">
        <v>322</v>
      </c>
      <c r="U4758" s="16" t="n">
        <v>112</v>
      </c>
      <c r="V4758" s="16">
        <f>ROUNDUP((T4758+U4758+2*'Read Me'!$B$13)*(1+'Read Me'!$B$12),-1)</f>
        <v/>
      </c>
      <c r="W4758" s="16">
        <f>V4758*N4758*O4758</f>
        <v/>
      </c>
      <c r="X4758" s="12">
        <f>IF(LEFT(I4758,2)="MV",2*N4758*IF(L4758="1/C",O4758,1),0)</f>
        <v/>
      </c>
      <c r="Y4758" s="12">
        <f>IF(OR(LEFT(K4758,4)="LVAX",LEFT(K4758,6)="MV15AX",LEFT(K4758,4)="CTAX",LEFT(K4758,2)="W|"),2*N4758*O4758,0)</f>
        <v/>
      </c>
      <c r="Z4758" s="12" t="inlineStr"/>
      <c r="AA4758" s="12">
        <f>N4758*O4758</f>
        <v/>
      </c>
    </row>
    <row r="4759">
      <c r="A4759" s="12" t="inlineStr">
        <is>
          <t>I-I-0210</t>
        </is>
      </c>
      <c r="B4759" s="12" t="inlineStr">
        <is>
          <t>I</t>
        </is>
      </c>
      <c r="C4759" s="12" t="inlineStr">
        <is>
          <t>Modular / portable power</t>
        </is>
      </c>
      <c r="D4759" s="12" t="inlineStr">
        <is>
          <t>Analog instrument to JB JB-RICE 8 radiators (-AI01: 5 x 1 pr (field cables)</t>
        </is>
      </c>
      <c r="E4759" s="12" t="inlineStr"/>
      <c r="F4759" s="12" t="inlineStr">
        <is>
          <t>RICE 8 radiators (5)</t>
        </is>
      </c>
      <c r="G4759" s="12" t="inlineStr">
        <is>
          <t>JB-RICE 8 radiators (-AI01</t>
        </is>
      </c>
      <c r="H4759" s="12" t="inlineStr">
        <is>
          <t>RICE 8 radiators (5)</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5</v>
      </c>
      <c r="O4759" s="12" t="n">
        <v>1</v>
      </c>
      <c r="P4759" s="12" t="n"/>
      <c r="Q4759" s="12" t="n"/>
      <c r="R4759" s="12" t="n"/>
      <c r="S4759" s="12" t="inlineStr">
        <is>
          <t>Tray / conduit</t>
        </is>
      </c>
      <c r="T4759" s="16" t="n">
        <v>80</v>
      </c>
      <c r="U4759" s="16" t="n">
        <v>10</v>
      </c>
      <c r="V4759" s="16">
        <f>ROUNDUP((T4759+U4759+2*'Read Me'!$B$13)*(1+'Read Me'!$B$12),-1)</f>
        <v/>
      </c>
      <c r="W4759" s="16">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I-I-0211</t>
        </is>
      </c>
      <c r="B4760" s="12" t="inlineStr">
        <is>
          <t>I</t>
        </is>
      </c>
      <c r="C4760" s="12" t="inlineStr">
        <is>
          <t>Modular / portable power</t>
        </is>
      </c>
      <c r="D4760" s="12" t="inlineStr">
        <is>
          <t>Home run JB-RICE 8 radiators (-AI01 to the control / marshalling room</t>
        </is>
      </c>
      <c r="E4760" s="12" t="inlineStr"/>
      <c r="F4760" s="12" t="inlineStr">
        <is>
          <t>PCM: power control module</t>
        </is>
      </c>
      <c r="G4760" s="12" t="inlineStr">
        <is>
          <t>JB-RICE 8 radiators (-AI01</t>
        </is>
      </c>
      <c r="H4760" s="12" t="inlineStr">
        <is>
          <t>RICE 8 radiators (5)</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Tray</t>
        </is>
      </c>
      <c r="T4760" s="16" t="n">
        <v>0</v>
      </c>
      <c r="U4760" s="16" t="n">
        <v>94</v>
      </c>
      <c r="V4760" s="16">
        <f>ROUNDUP((T4760+U4760+2*'Read Me'!$B$13)*(1+'Read Me'!$B$12),-1)</f>
        <v/>
      </c>
      <c r="W4760" s="16">
        <f>V4760*N4760*O4760</f>
        <v/>
      </c>
      <c r="X4760" s="12">
        <f>IF(LEFT(I4760,2)="MV",2*N4760*IF(L4760="1/C",O4760,1),0)</f>
        <v/>
      </c>
      <c r="Y4760" s="12">
        <f>IF(OR(LEFT(K4760,4)="LVAX",LEFT(K4760,6)="MV15AX",LEFT(K4760,4)="CTAX",LEFT(K4760,2)="W|"),2*N4760*O4760,0)</f>
        <v/>
      </c>
      <c r="Z4760" s="12" t="inlineStr"/>
      <c r="AA4760" s="12">
        <f>N4760*O4760</f>
        <v/>
      </c>
    </row>
    <row r="4761">
      <c r="A4761" s="12" t="inlineStr">
        <is>
          <t>I-I-0212</t>
        </is>
      </c>
      <c r="B4761" s="12" t="inlineStr">
        <is>
          <t>I</t>
        </is>
      </c>
      <c r="C4761" s="12" t="inlineStr">
        <is>
          <t>Modular / portable power</t>
        </is>
      </c>
      <c r="D4761" s="12" t="inlineStr">
        <is>
          <t>Discrete device to JB JB-RICE 8 radiators (-DI01: 10 x 1 pr (field cables)</t>
        </is>
      </c>
      <c r="E4761" s="12" t="inlineStr"/>
      <c r="F4761" s="12" t="inlineStr">
        <is>
          <t>RICE 8 radiators (5)</t>
        </is>
      </c>
      <c r="G4761" s="12" t="inlineStr">
        <is>
          <t>JB-RICE 8 radiators (-DI01</t>
        </is>
      </c>
      <c r="H4761" s="12" t="inlineStr">
        <is>
          <t>RICE 8 radiators (5)</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10</v>
      </c>
      <c r="O4761" s="12" t="n">
        <v>1</v>
      </c>
      <c r="P4761" s="12" t="n"/>
      <c r="Q4761" s="12" t="n"/>
      <c r="R4761" s="12" t="n"/>
      <c r="S4761" s="12" t="inlineStr">
        <is>
          <t>Tray / conduit</t>
        </is>
      </c>
      <c r="T4761" s="16" t="n">
        <v>80</v>
      </c>
      <c r="U4761" s="16" t="n">
        <v>10</v>
      </c>
      <c r="V4761" s="16">
        <f>ROUNDUP((T4761+U4761+2*'Read Me'!$B$13)*(1+'Read Me'!$B$12),-1)</f>
        <v/>
      </c>
      <c r="W4761" s="16">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I-I-0213</t>
        </is>
      </c>
      <c r="B4762" s="12" t="inlineStr">
        <is>
          <t>I</t>
        </is>
      </c>
      <c r="C4762" s="12" t="inlineStr">
        <is>
          <t>Modular / portable power</t>
        </is>
      </c>
      <c r="D4762" s="12" t="inlineStr">
        <is>
          <t>Home run JB-RICE 8 radiators (-DI01 to the control / marshalling room</t>
        </is>
      </c>
      <c r="E4762" s="12" t="inlineStr"/>
      <c r="F4762" s="12" t="inlineStr">
        <is>
          <t>PCM: power control module</t>
        </is>
      </c>
      <c r="G4762" s="12" t="inlineStr">
        <is>
          <t>JB-RICE 8 radiators (-DI01</t>
        </is>
      </c>
      <c r="H4762" s="12" t="inlineStr">
        <is>
          <t>RICE 8 radiators (5)</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Tray</t>
        </is>
      </c>
      <c r="T4762" s="16" t="n">
        <v>0</v>
      </c>
      <c r="U4762" s="16" t="n">
        <v>94</v>
      </c>
      <c r="V4762" s="16">
        <f>ROUNDUP((T4762+U4762+2*'Read Me'!$B$13)*(1+'Read Me'!$B$12),-1)</f>
        <v/>
      </c>
      <c r="W4762" s="16">
        <f>V4762*N4762*O4762</f>
        <v/>
      </c>
      <c r="X4762" s="12">
        <f>IF(LEFT(I4762,2)="MV",2*N4762*IF(L4762="1/C",O4762,1),0)</f>
        <v/>
      </c>
      <c r="Y4762" s="12">
        <f>IF(OR(LEFT(K4762,4)="LVAX",LEFT(K4762,6)="MV15AX",LEFT(K4762,4)="CTAX",LEFT(K4762,2)="W|"),2*N4762*O4762,0)</f>
        <v/>
      </c>
      <c r="Z4762" s="12" t="inlineStr"/>
      <c r="AA4762" s="12">
        <f>N4762*O4762</f>
        <v/>
      </c>
    </row>
    <row r="4763">
      <c r="A4763" s="12" t="inlineStr">
        <is>
          <t>I-I-0214</t>
        </is>
      </c>
      <c r="B4763" s="12" t="inlineStr">
        <is>
          <t>I</t>
        </is>
      </c>
      <c r="C4763" s="12" t="inlineStr">
        <is>
          <t>Modular / portable power</t>
        </is>
      </c>
      <c r="D4763" s="12" t="inlineStr">
        <is>
          <t>Instrumentation</t>
        </is>
      </c>
      <c r="E4763" s="12" t="inlineStr"/>
      <c r="F4763" s="12" t="inlineStr">
        <is>
          <t>PCM: power control module</t>
        </is>
      </c>
      <c r="G4763" s="12" t="inlineStr">
        <is>
          <t>RICE</t>
        </is>
      </c>
      <c r="H4763" s="12" t="inlineStr">
        <is>
          <t>RICE engine hall (8 engines)</t>
        </is>
      </c>
      <c r="I4763" s="12" t="inlineStr">
        <is>
          <t>Instrumentation</t>
        </is>
      </c>
      <c r="J4763" s="12" t="inlineStr">
        <is>
          <t>Instrumentation PLTC / TC-ER 300 V, #18 twisted shielded pairs, overall shield</t>
        </is>
      </c>
      <c r="K4763" s="12" t="inlineStr">
        <is>
          <t>PLTC|4 pr|18</t>
        </is>
      </c>
      <c r="L4763" s="12" t="inlineStr">
        <is>
          <t>4 pr</t>
        </is>
      </c>
      <c r="M4763" s="12" t="inlineStr">
        <is>
          <t>18</t>
        </is>
      </c>
      <c r="N4763" s="12" t="n">
        <v>1</v>
      </c>
      <c r="O4763" s="12" t="n">
        <v>1</v>
      </c>
      <c r="P4763" s="12" t="n"/>
      <c r="Q4763" s="12" t="n"/>
      <c r="R4763" s="12" t="n"/>
      <c r="S4763" s="12" t="inlineStr">
        <is>
          <t>Duct bank</t>
        </is>
      </c>
      <c r="T4763" s="16" t="n">
        <v>367</v>
      </c>
      <c r="U4763" s="16" t="n">
        <v>95</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I-I-0215</t>
        </is>
      </c>
      <c r="B4764" s="12" t="inlineStr">
        <is>
          <t>I</t>
        </is>
      </c>
      <c r="C4764" s="12" t="inlineStr">
        <is>
          <t>Modular / portable power</t>
        </is>
      </c>
      <c r="D4764" s="12" t="inlineStr">
        <is>
          <t>Instrumentation</t>
        </is>
      </c>
      <c r="E4764" s="12" t="inlineStr"/>
      <c r="F4764" s="12" t="inlineStr">
        <is>
          <t>PCM: power control module</t>
        </is>
      </c>
      <c r="G4764" s="12" t="inlineStr">
        <is>
          <t>RICE</t>
        </is>
      </c>
      <c r="H4764" s="12" t="inlineStr">
        <is>
          <t>RICE engine hall (8 engines)</t>
        </is>
      </c>
      <c r="I4764" s="12" t="inlineStr">
        <is>
          <t>Instrumentation</t>
        </is>
      </c>
      <c r="J4764" s="12" t="inlineStr">
        <is>
          <t>Instrumentation PLTC / TC-ER 300 V, #18 twisted shielded pairs, overall shield</t>
        </is>
      </c>
      <c r="K4764" s="12" t="inlineStr">
        <is>
          <t>PLTC|4 pr|18</t>
        </is>
      </c>
      <c r="L4764" s="12" t="inlineStr">
        <is>
          <t>4 pr</t>
        </is>
      </c>
      <c r="M4764" s="12" t="inlineStr">
        <is>
          <t>18</t>
        </is>
      </c>
      <c r="N4764" s="12" t="n">
        <v>1</v>
      </c>
      <c r="O4764" s="12" t="n">
        <v>1</v>
      </c>
      <c r="P4764" s="12" t="n"/>
      <c r="Q4764" s="12" t="n"/>
      <c r="R4764" s="12" t="n"/>
      <c r="S4764" s="12" t="inlineStr">
        <is>
          <t>Duct bank</t>
        </is>
      </c>
      <c r="T4764" s="16" t="n">
        <v>367</v>
      </c>
      <c r="U4764" s="16" t="n">
        <v>95</v>
      </c>
      <c r="V4764" s="16">
        <f>ROUNDUP((T4764+U4764+2*'Read Me'!$B$13)*(1+'Read Me'!$B$12),-1)</f>
        <v/>
      </c>
      <c r="W4764" s="16">
        <f>V4764*N4764*O4764</f>
        <v/>
      </c>
      <c r="X4764" s="12">
        <f>IF(LEFT(I4764,2)="MV",2*N4764*IF(L4764="1/C",O4764,1),0)</f>
        <v/>
      </c>
      <c r="Y4764" s="12">
        <f>IF(OR(LEFT(K4764,4)="LVAX",LEFT(K4764,6)="MV15AX",LEFT(K4764,4)="CTAX",LEFT(K4764,2)="W|"),2*N4764*O4764,0)</f>
        <v/>
      </c>
      <c r="Z4764" s="12" t="inlineStr"/>
      <c r="AA4764" s="12">
        <f>N4764*O4764</f>
        <v/>
      </c>
    </row>
    <row r="4765">
      <c r="A4765" s="12" t="inlineStr">
        <is>
          <t>I-I-0216</t>
        </is>
      </c>
      <c r="B4765" s="12" t="inlineStr">
        <is>
          <t>I</t>
        </is>
      </c>
      <c r="C4765" s="12" t="inlineStr">
        <is>
          <t>Modular / portable power</t>
        </is>
      </c>
      <c r="D4765" s="12" t="inlineStr">
        <is>
          <t>Instrumentation</t>
        </is>
      </c>
      <c r="E4765" s="12" t="inlineStr"/>
      <c r="F4765" s="12" t="inlineStr">
        <is>
          <t>PCM: power control module</t>
        </is>
      </c>
      <c r="G4765" s="12" t="inlineStr">
        <is>
          <t>RICE</t>
        </is>
      </c>
      <c r="H4765" s="12" t="inlineStr">
        <is>
          <t>RICE engine hall (8 engines)</t>
        </is>
      </c>
      <c r="I4765" s="12" t="inlineStr">
        <is>
          <t>Instrumentation</t>
        </is>
      </c>
      <c r="J4765" s="12" t="inlineStr">
        <is>
          <t>Instrumentation PLTC / TC-ER 300 V, #18 twisted shielded pairs, overall shield</t>
        </is>
      </c>
      <c r="K4765" s="12" t="inlineStr">
        <is>
          <t>PLTC|12 pr|18</t>
        </is>
      </c>
      <c r="L4765" s="12" t="inlineStr">
        <is>
          <t>12 pr</t>
        </is>
      </c>
      <c r="M4765" s="12" t="inlineStr">
        <is>
          <t>18</t>
        </is>
      </c>
      <c r="N4765" s="12" t="n">
        <v>1</v>
      </c>
      <c r="O4765" s="12" t="n">
        <v>1</v>
      </c>
      <c r="P4765" s="12" t="n"/>
      <c r="Q4765" s="12" t="n"/>
      <c r="R4765" s="12" t="n"/>
      <c r="S4765" s="12" t="inlineStr">
        <is>
          <t>Duct bank</t>
        </is>
      </c>
      <c r="T4765" s="16" t="n">
        <v>367</v>
      </c>
      <c r="U4765" s="16" t="n">
        <v>95</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I-I-0217</t>
        </is>
      </c>
      <c r="B4766" s="12" t="inlineStr">
        <is>
          <t>I</t>
        </is>
      </c>
      <c r="C4766" s="12" t="inlineStr">
        <is>
          <t>Modular / portable power</t>
        </is>
      </c>
      <c r="D4766" s="12" t="inlineStr">
        <is>
          <t>Instrumentation</t>
        </is>
      </c>
      <c r="E4766" s="12" t="inlineStr"/>
      <c r="F4766" s="12" t="inlineStr">
        <is>
          <t>PCM: power control module</t>
        </is>
      </c>
      <c r="G4766" s="12" t="inlineStr">
        <is>
          <t>RICE</t>
        </is>
      </c>
      <c r="H4766" s="12" t="inlineStr">
        <is>
          <t>RICE engine hall (8 engines)</t>
        </is>
      </c>
      <c r="I4766" s="12" t="inlineStr">
        <is>
          <t>Instrumentation</t>
        </is>
      </c>
      <c r="J4766" s="12" t="inlineStr">
        <is>
          <t>Instrumentation PLTC / TC-ER 300 V, #18 twisted shielded pairs, overall shield</t>
        </is>
      </c>
      <c r="K4766" s="12" t="inlineStr">
        <is>
          <t>PLTC|12 pr|18</t>
        </is>
      </c>
      <c r="L4766" s="12" t="inlineStr">
        <is>
          <t>12 pr</t>
        </is>
      </c>
      <c r="M4766" s="12" t="inlineStr">
        <is>
          <t>18</t>
        </is>
      </c>
      <c r="N4766" s="12" t="n">
        <v>1</v>
      </c>
      <c r="O4766" s="12" t="n">
        <v>1</v>
      </c>
      <c r="P4766" s="12" t="n"/>
      <c r="Q4766" s="12" t="n"/>
      <c r="R4766" s="12" t="n"/>
      <c r="S4766" s="12" t="inlineStr">
        <is>
          <t>Duct bank</t>
        </is>
      </c>
      <c r="T4766" s="16" t="n">
        <v>367</v>
      </c>
      <c r="U4766" s="16" t="n">
        <v>95</v>
      </c>
      <c r="V4766" s="16">
        <f>ROUNDUP((T4766+U4766+2*'Read Me'!$B$13)*(1+'Read Me'!$B$12),-1)</f>
        <v/>
      </c>
      <c r="W4766" s="16">
        <f>V4766*N4766*O4766</f>
        <v/>
      </c>
      <c r="X4766" s="12">
        <f>IF(LEFT(I4766,2)="MV",2*N4766*IF(L4766="1/C",O4766,1),0)</f>
        <v/>
      </c>
      <c r="Y4766" s="12">
        <f>IF(OR(LEFT(K4766,4)="LVAX",LEFT(K4766,6)="MV15AX",LEFT(K4766,4)="CTAX",LEFT(K4766,2)="W|"),2*N4766*O4766,0)</f>
        <v/>
      </c>
      <c r="Z4766" s="12" t="inlineStr"/>
      <c r="AA4766" s="12">
        <f>N4766*O4766</f>
        <v/>
      </c>
    </row>
    <row r="4767">
      <c r="A4767" s="12" t="inlineStr">
        <is>
          <t>I-I-0218</t>
        </is>
      </c>
      <c r="B4767" s="12" t="inlineStr">
        <is>
          <t>I</t>
        </is>
      </c>
      <c r="C4767" s="12" t="inlineStr">
        <is>
          <t>Modular / portable power</t>
        </is>
      </c>
      <c r="D4767" s="12" t="inlineStr">
        <is>
          <t>Instrumentation</t>
        </is>
      </c>
      <c r="E4767" s="12" t="inlineStr"/>
      <c r="F4767" s="12" t="inlineStr">
        <is>
          <t>PCM: power control module</t>
        </is>
      </c>
      <c r="G4767" s="12" t="inlineStr">
        <is>
          <t>RICE</t>
        </is>
      </c>
      <c r="H4767" s="12" t="inlineStr">
        <is>
          <t>RICE engine hall (8 engines)</t>
        </is>
      </c>
      <c r="I4767" s="12" t="inlineStr">
        <is>
          <t>Instrumentation</t>
        </is>
      </c>
      <c r="J4767" s="12" t="inlineStr">
        <is>
          <t>Instrumentation PLTC / TC-ER 300 V, #18 twisted shielded pairs, overall shield</t>
        </is>
      </c>
      <c r="K4767" s="12" t="inlineStr">
        <is>
          <t>PLTC|12 pr|18</t>
        </is>
      </c>
      <c r="L4767" s="12" t="inlineStr">
        <is>
          <t>12 pr</t>
        </is>
      </c>
      <c r="M4767" s="12" t="inlineStr">
        <is>
          <t>18</t>
        </is>
      </c>
      <c r="N4767" s="12" t="n">
        <v>1</v>
      </c>
      <c r="O4767" s="12" t="n">
        <v>1</v>
      </c>
      <c r="P4767" s="12" t="n"/>
      <c r="Q4767" s="12" t="n"/>
      <c r="R4767" s="12" t="n"/>
      <c r="S4767" s="12" t="inlineStr">
        <is>
          <t>Duct bank</t>
        </is>
      </c>
      <c r="T4767" s="16" t="n">
        <v>367</v>
      </c>
      <c r="U4767" s="16" t="n">
        <v>95</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I-I-0219</t>
        </is>
      </c>
      <c r="B4768" s="12" t="inlineStr">
        <is>
          <t>I</t>
        </is>
      </c>
      <c r="C4768" s="12" t="inlineStr">
        <is>
          <t>Modular / portable power</t>
        </is>
      </c>
      <c r="D4768" s="12" t="inlineStr">
        <is>
          <t>Instrumentation</t>
        </is>
      </c>
      <c r="E4768" s="12" t="inlineStr"/>
      <c r="F4768" s="12" t="inlineStr">
        <is>
          <t>PCM: power control module</t>
        </is>
      </c>
      <c r="G4768" s="12" t="inlineStr">
        <is>
          <t>RICE</t>
        </is>
      </c>
      <c r="H4768" s="12" t="inlineStr">
        <is>
          <t>RICE engine hall (8 engines)</t>
        </is>
      </c>
      <c r="I4768" s="12" t="inlineStr">
        <is>
          <t>Instrumentation</t>
        </is>
      </c>
      <c r="J4768" s="12" t="inlineStr">
        <is>
          <t>Instrumentation PLTC / TC-ER 300 V, #18 twisted shielded pairs, overall shield</t>
        </is>
      </c>
      <c r="K4768" s="12" t="inlineStr">
        <is>
          <t>PLTC|12 pr|18</t>
        </is>
      </c>
      <c r="L4768" s="12" t="inlineStr">
        <is>
          <t>12 pr</t>
        </is>
      </c>
      <c r="M4768" s="12" t="inlineStr">
        <is>
          <t>18</t>
        </is>
      </c>
      <c r="N4768" s="12" t="n">
        <v>1</v>
      </c>
      <c r="O4768" s="12" t="n">
        <v>1</v>
      </c>
      <c r="P4768" s="12" t="n"/>
      <c r="Q4768" s="12" t="n"/>
      <c r="R4768" s="12" t="n"/>
      <c r="S4768" s="12" t="inlineStr">
        <is>
          <t>Duct bank</t>
        </is>
      </c>
      <c r="T4768" s="16" t="n">
        <v>367</v>
      </c>
      <c r="U4768" s="16" t="n">
        <v>95</v>
      </c>
      <c r="V4768" s="16">
        <f>ROUNDUP((T4768+U4768+2*'Read Me'!$B$13)*(1+'Read Me'!$B$12),-1)</f>
        <v/>
      </c>
      <c r="W4768" s="16">
        <f>V4768*N4768*O4768</f>
        <v/>
      </c>
      <c r="X4768" s="12">
        <f>IF(LEFT(I4768,2)="MV",2*N4768*IF(L4768="1/C",O4768,1),0)</f>
        <v/>
      </c>
      <c r="Y4768" s="12">
        <f>IF(OR(LEFT(K4768,4)="LVAX",LEFT(K4768,6)="MV15AX",LEFT(K4768,4)="CTAX",LEFT(K4768,2)="W|"),2*N4768*O4768,0)</f>
        <v/>
      </c>
      <c r="Z4768" s="12" t="inlineStr"/>
      <c r="AA4768" s="12">
        <f>N4768*O4768</f>
        <v/>
      </c>
    </row>
    <row r="4769">
      <c r="A4769" s="12" t="inlineStr">
        <is>
          <t>I-I-0220</t>
        </is>
      </c>
      <c r="B4769" s="12" t="inlineStr">
        <is>
          <t>I</t>
        </is>
      </c>
      <c r="C4769" s="12" t="inlineStr">
        <is>
          <t>Modular / portable power</t>
        </is>
      </c>
      <c r="D4769" s="12" t="inlineStr">
        <is>
          <t>Instrumentation</t>
        </is>
      </c>
      <c r="E4769" s="12" t="inlineStr"/>
      <c r="F4769" s="12" t="inlineStr">
        <is>
          <t>PCM: power control module</t>
        </is>
      </c>
      <c r="G4769" s="12" t="inlineStr">
        <is>
          <t>RICE</t>
        </is>
      </c>
      <c r="H4769" s="12" t="inlineStr">
        <is>
          <t>RICE engine hall (8 engines)</t>
        </is>
      </c>
      <c r="I4769" s="12" t="inlineStr">
        <is>
          <t>Instrumentation</t>
        </is>
      </c>
      <c r="J4769" s="12" t="inlineStr">
        <is>
          <t>Instrumentation PLTC / TC-ER 300 V, #18 twisted shielded pairs, overall shield</t>
        </is>
      </c>
      <c r="K4769" s="12" t="inlineStr">
        <is>
          <t>PLTC|12 pr|18</t>
        </is>
      </c>
      <c r="L4769" s="12" t="inlineStr">
        <is>
          <t>12 pr</t>
        </is>
      </c>
      <c r="M4769" s="12" t="inlineStr">
        <is>
          <t>18</t>
        </is>
      </c>
      <c r="N4769" s="12" t="n">
        <v>1</v>
      </c>
      <c r="O4769" s="12" t="n">
        <v>1</v>
      </c>
      <c r="P4769" s="12" t="n"/>
      <c r="Q4769" s="12" t="n"/>
      <c r="R4769" s="12" t="n"/>
      <c r="S4769" s="12" t="inlineStr">
        <is>
          <t>Duct bank</t>
        </is>
      </c>
      <c r="T4769" s="16" t="n">
        <v>367</v>
      </c>
      <c r="U4769" s="16" t="n">
        <v>95</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I-I-0221</t>
        </is>
      </c>
      <c r="B4770" s="12" t="inlineStr">
        <is>
          <t>I</t>
        </is>
      </c>
      <c r="C4770" s="12" t="inlineStr">
        <is>
          <t>Modular / portable power</t>
        </is>
      </c>
      <c r="D4770" s="12" t="inlineStr">
        <is>
          <t>Instrumentation</t>
        </is>
      </c>
      <c r="E4770" s="12" t="inlineStr"/>
      <c r="F4770" s="12" t="inlineStr">
        <is>
          <t>PCM: power control module</t>
        </is>
      </c>
      <c r="G4770" s="12" t="inlineStr">
        <is>
          <t>RICE</t>
        </is>
      </c>
      <c r="H4770" s="12" t="inlineStr">
        <is>
          <t>RICE engine hall (8 engines)</t>
        </is>
      </c>
      <c r="I4770" s="12" t="inlineStr">
        <is>
          <t>Instrumentation</t>
        </is>
      </c>
      <c r="J4770" s="12" t="inlineStr">
        <is>
          <t>Instrumentation PLTC / TC-ER 300 V, #18 twisted shielded pairs, overall shield</t>
        </is>
      </c>
      <c r="K4770" s="12" t="inlineStr">
        <is>
          <t>PLTC|12 pr|18</t>
        </is>
      </c>
      <c r="L4770" s="12" t="inlineStr">
        <is>
          <t>12 pr</t>
        </is>
      </c>
      <c r="M4770" s="12" t="inlineStr">
        <is>
          <t>18</t>
        </is>
      </c>
      <c r="N4770" s="12" t="n">
        <v>1</v>
      </c>
      <c r="O4770" s="12" t="n">
        <v>1</v>
      </c>
      <c r="P4770" s="12" t="n"/>
      <c r="Q4770" s="12" t="n"/>
      <c r="R4770" s="12" t="n"/>
      <c r="S4770" s="12" t="inlineStr">
        <is>
          <t>Duct bank</t>
        </is>
      </c>
      <c r="T4770" s="16" t="n">
        <v>367</v>
      </c>
      <c r="U4770" s="16" t="n">
        <v>95</v>
      </c>
      <c r="V4770" s="16">
        <f>ROUNDUP((T4770+U4770+2*'Read Me'!$B$13)*(1+'Read Me'!$B$12),-1)</f>
        <v/>
      </c>
      <c r="W4770" s="16">
        <f>V4770*N4770*O4770</f>
        <v/>
      </c>
      <c r="X4770" s="12">
        <f>IF(LEFT(I4770,2)="MV",2*N4770*IF(L4770="1/C",O4770,1),0)</f>
        <v/>
      </c>
      <c r="Y4770" s="12">
        <f>IF(OR(LEFT(K4770,4)="LVAX",LEFT(K4770,6)="MV15AX",LEFT(K4770,4)="CTAX",LEFT(K4770,2)="W|"),2*N4770*O4770,0)</f>
        <v/>
      </c>
      <c r="Z4770" s="12" t="inlineStr"/>
      <c r="AA4770" s="12">
        <f>N4770*O4770</f>
        <v/>
      </c>
    </row>
    <row r="4771">
      <c r="A4771" s="12" t="inlineStr">
        <is>
          <t>I-I-0222</t>
        </is>
      </c>
      <c r="B4771" s="12" t="inlineStr">
        <is>
          <t>I</t>
        </is>
      </c>
      <c r="C4771" s="12" t="inlineStr">
        <is>
          <t>Modular / portable power</t>
        </is>
      </c>
      <c r="D4771" s="12" t="inlineStr">
        <is>
          <t>Instrumentation</t>
        </is>
      </c>
      <c r="E4771" s="12" t="inlineStr"/>
      <c r="F4771" s="12" t="inlineStr">
        <is>
          <t>PCM: power control module</t>
        </is>
      </c>
      <c r="G4771" s="12" t="inlineStr">
        <is>
          <t>RICE</t>
        </is>
      </c>
      <c r="H4771" s="12" t="inlineStr">
        <is>
          <t>RICE engine hall (8 engines)</t>
        </is>
      </c>
      <c r="I4771" s="12" t="inlineStr">
        <is>
          <t>Instrumentation</t>
        </is>
      </c>
      <c r="J4771" s="12" t="inlineStr">
        <is>
          <t>Instrumentation PLTC / TC-ER 300 V, #18 twisted shielded pairs, overall shield</t>
        </is>
      </c>
      <c r="K4771" s="12" t="inlineStr">
        <is>
          <t>PLTC|12 pr|18</t>
        </is>
      </c>
      <c r="L4771" s="12" t="inlineStr">
        <is>
          <t>12 pr</t>
        </is>
      </c>
      <c r="M4771" s="12" t="inlineStr">
        <is>
          <t>18</t>
        </is>
      </c>
      <c r="N4771" s="12" t="n">
        <v>1</v>
      </c>
      <c r="O4771" s="12" t="n">
        <v>1</v>
      </c>
      <c r="P4771" s="12" t="n"/>
      <c r="Q4771" s="12" t="n"/>
      <c r="R4771" s="12" t="n"/>
      <c r="S4771" s="12" t="inlineStr">
        <is>
          <t>Duct bank</t>
        </is>
      </c>
      <c r="T4771" s="16" t="n">
        <v>367</v>
      </c>
      <c r="U4771" s="16" t="n">
        <v>95</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I-I-0223</t>
        </is>
      </c>
      <c r="B4772" s="12" t="inlineStr">
        <is>
          <t>I</t>
        </is>
      </c>
      <c r="C4772" s="12" t="inlineStr">
        <is>
          <t>Modular / portable power</t>
        </is>
      </c>
      <c r="D4772" s="12" t="inlineStr">
        <is>
          <t>Instrumentation</t>
        </is>
      </c>
      <c r="E4772" s="12" t="inlineStr"/>
      <c r="F4772" s="12" t="inlineStr">
        <is>
          <t>PCM: power control module</t>
        </is>
      </c>
      <c r="G4772" s="12" t="inlineStr">
        <is>
          <t>RICE</t>
        </is>
      </c>
      <c r="H4772" s="12" t="inlineStr">
        <is>
          <t>RICE engine hall (8 engines)</t>
        </is>
      </c>
      <c r="I4772" s="12" t="inlineStr">
        <is>
          <t>Instrumentation</t>
        </is>
      </c>
      <c r="J4772" s="12" t="inlineStr">
        <is>
          <t>Instrumentation PLTC / TC-ER 300 V, #18 twisted shielded pairs, overall shield</t>
        </is>
      </c>
      <c r="K4772" s="12" t="inlineStr">
        <is>
          <t>PLTC|12 pr|18</t>
        </is>
      </c>
      <c r="L4772" s="12" t="inlineStr">
        <is>
          <t>12 pr</t>
        </is>
      </c>
      <c r="M4772" s="12" t="inlineStr">
        <is>
          <t>18</t>
        </is>
      </c>
      <c r="N4772" s="12" t="n">
        <v>1</v>
      </c>
      <c r="O4772" s="12" t="n">
        <v>1</v>
      </c>
      <c r="P4772" s="12" t="n"/>
      <c r="Q4772" s="12" t="n"/>
      <c r="R4772" s="12" t="n"/>
      <c r="S4772" s="12" t="inlineStr">
        <is>
          <t>Duct bank</t>
        </is>
      </c>
      <c r="T4772" s="16" t="n">
        <v>367</v>
      </c>
      <c r="U4772" s="16" t="n">
        <v>95</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I-I-0224</t>
        </is>
      </c>
      <c r="B4773" s="12" t="inlineStr">
        <is>
          <t>I</t>
        </is>
      </c>
      <c r="C4773" s="12" t="inlineStr">
        <is>
          <t>Modular / portable power</t>
        </is>
      </c>
      <c r="D4773" s="12" t="inlineStr">
        <is>
          <t>Thermocouples</t>
        </is>
      </c>
      <c r="E4773" s="12" t="inlineStr"/>
      <c r="F4773" s="12" t="inlineStr">
        <is>
          <t>PCM: power control module</t>
        </is>
      </c>
      <c r="G4773" s="12" t="inlineStr">
        <is>
          <t>RICE</t>
        </is>
      </c>
      <c r="H4773" s="12" t="inlineStr">
        <is>
          <t>RICE engine hall (8 engines)</t>
        </is>
      </c>
      <c r="I4773" s="12" t="inlineStr">
        <is>
          <t>Instrumentation</t>
        </is>
      </c>
      <c r="J4773" s="12" t="inlineStr">
        <is>
          <t>Thermocouple extension KX, #16 shielded pairs, PLTC</t>
        </is>
      </c>
      <c r="K4773" s="12" t="inlineStr">
        <is>
          <t>TCX|12 pr|16</t>
        </is>
      </c>
      <c r="L4773" s="12" t="inlineStr">
        <is>
          <t>12 pr</t>
        </is>
      </c>
      <c r="M4773" s="12" t="inlineStr">
        <is>
          <t>16</t>
        </is>
      </c>
      <c r="N4773" s="12" t="n">
        <v>1</v>
      </c>
      <c r="O4773" s="12" t="n">
        <v>1</v>
      </c>
      <c r="P4773" s="12" t="n"/>
      <c r="Q4773" s="12" t="n"/>
      <c r="R4773" s="12" t="n"/>
      <c r="S4773" s="12" t="inlineStr">
        <is>
          <t>Duct bank</t>
        </is>
      </c>
      <c r="T4773" s="16" t="n">
        <v>367</v>
      </c>
      <c r="U4773" s="16" t="n">
        <v>95</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I-I-0225</t>
        </is>
      </c>
      <c r="B4774" s="12" t="inlineStr">
        <is>
          <t>I</t>
        </is>
      </c>
      <c r="C4774" s="12" t="inlineStr">
        <is>
          <t>Modular / portable power</t>
        </is>
      </c>
      <c r="D4774" s="12" t="inlineStr">
        <is>
          <t>Thermocouples</t>
        </is>
      </c>
      <c r="E4774" s="12" t="inlineStr"/>
      <c r="F4774" s="12" t="inlineStr">
        <is>
          <t>PCM: power control module</t>
        </is>
      </c>
      <c r="G4774" s="12" t="inlineStr">
        <is>
          <t>RICE</t>
        </is>
      </c>
      <c r="H4774" s="12" t="inlineStr">
        <is>
          <t>RICE engine hall (8 engines)</t>
        </is>
      </c>
      <c r="I4774" s="12" t="inlineStr">
        <is>
          <t>Instrumentation</t>
        </is>
      </c>
      <c r="J4774" s="12" t="inlineStr">
        <is>
          <t>Thermocouple extension KX, #16 shielded pairs, PLTC</t>
        </is>
      </c>
      <c r="K4774" s="12" t="inlineStr">
        <is>
          <t>TCX|12 pr|16</t>
        </is>
      </c>
      <c r="L4774" s="12" t="inlineStr">
        <is>
          <t>12 pr</t>
        </is>
      </c>
      <c r="M4774" s="12" t="inlineStr">
        <is>
          <t>16</t>
        </is>
      </c>
      <c r="N4774" s="12" t="n">
        <v>1</v>
      </c>
      <c r="O4774" s="12" t="n">
        <v>1</v>
      </c>
      <c r="P4774" s="12" t="n"/>
      <c r="Q4774" s="12" t="n"/>
      <c r="R4774" s="12" t="n"/>
      <c r="S4774" s="12" t="inlineStr">
        <is>
          <t>Duct bank</t>
        </is>
      </c>
      <c r="T4774" s="16" t="n">
        <v>367</v>
      </c>
      <c r="U4774" s="16" t="n">
        <v>95</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I-I-0226</t>
        </is>
      </c>
      <c r="B4775" s="12" t="inlineStr">
        <is>
          <t>I</t>
        </is>
      </c>
      <c r="C4775" s="12" t="inlineStr">
        <is>
          <t>Modular / portable power</t>
        </is>
      </c>
      <c r="D4775" s="12" t="inlineStr">
        <is>
          <t>Thermocouples</t>
        </is>
      </c>
      <c r="E4775" s="12" t="inlineStr"/>
      <c r="F4775" s="12" t="inlineStr">
        <is>
          <t>PCM: power control module</t>
        </is>
      </c>
      <c r="G4775" s="12" t="inlineStr">
        <is>
          <t>RICE</t>
        </is>
      </c>
      <c r="H4775" s="12" t="inlineStr">
        <is>
          <t>RICE engine hall (8 engines)</t>
        </is>
      </c>
      <c r="I4775" s="12" t="inlineStr">
        <is>
          <t>Instrumentation</t>
        </is>
      </c>
      <c r="J4775" s="12" t="inlineStr">
        <is>
          <t>Thermocouple extension KX, #16 shielded pairs, PLTC</t>
        </is>
      </c>
      <c r="K4775" s="12" t="inlineStr">
        <is>
          <t>TCX|12 pr|16</t>
        </is>
      </c>
      <c r="L4775" s="12" t="inlineStr">
        <is>
          <t>12 pr</t>
        </is>
      </c>
      <c r="M4775" s="12" t="inlineStr">
        <is>
          <t>16</t>
        </is>
      </c>
      <c r="N4775" s="12" t="n">
        <v>1</v>
      </c>
      <c r="O4775" s="12" t="n">
        <v>1</v>
      </c>
      <c r="P4775" s="12" t="n"/>
      <c r="Q4775" s="12" t="n"/>
      <c r="R4775" s="12" t="n"/>
      <c r="S4775" s="12" t="inlineStr">
        <is>
          <t>Duct bank</t>
        </is>
      </c>
      <c r="T4775" s="16" t="n">
        <v>367</v>
      </c>
      <c r="U4775" s="16" t="n">
        <v>95</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I-I-0227</t>
        </is>
      </c>
      <c r="B4776" s="12" t="inlineStr">
        <is>
          <t>I</t>
        </is>
      </c>
      <c r="C4776" s="12" t="inlineStr">
        <is>
          <t>Modular / portable power</t>
        </is>
      </c>
      <c r="D4776" s="12" t="inlineStr">
        <is>
          <t>Thermocouples</t>
        </is>
      </c>
      <c r="E4776" s="12" t="inlineStr"/>
      <c r="F4776" s="12" t="inlineStr">
        <is>
          <t>PCM: power control module</t>
        </is>
      </c>
      <c r="G4776" s="12" t="inlineStr">
        <is>
          <t>RICE</t>
        </is>
      </c>
      <c r="H4776" s="12" t="inlineStr">
        <is>
          <t>RICE engine hall (8 engines)</t>
        </is>
      </c>
      <c r="I4776" s="12" t="inlineStr">
        <is>
          <t>Instrumentation</t>
        </is>
      </c>
      <c r="J4776" s="12" t="inlineStr">
        <is>
          <t>Thermocouple extension KX, #16 shielded pairs, PLTC</t>
        </is>
      </c>
      <c r="K4776" s="12" t="inlineStr">
        <is>
          <t>TCX|12 pr|16</t>
        </is>
      </c>
      <c r="L4776" s="12" t="inlineStr">
        <is>
          <t>12 pr</t>
        </is>
      </c>
      <c r="M4776" s="12" t="inlineStr">
        <is>
          <t>16</t>
        </is>
      </c>
      <c r="N4776" s="12" t="n">
        <v>1</v>
      </c>
      <c r="O4776" s="12" t="n">
        <v>1</v>
      </c>
      <c r="P4776" s="12" t="n"/>
      <c r="Q4776" s="12" t="n"/>
      <c r="R4776" s="12" t="n"/>
      <c r="S4776" s="12" t="inlineStr">
        <is>
          <t>Duct bank</t>
        </is>
      </c>
      <c r="T4776" s="16" t="n">
        <v>367</v>
      </c>
      <c r="U4776" s="16" t="n">
        <v>95</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I-I-0228</t>
        </is>
      </c>
      <c r="B4777" s="12" t="inlineStr">
        <is>
          <t>I</t>
        </is>
      </c>
      <c r="C4777" s="12" t="inlineStr">
        <is>
          <t>Modular / portable power</t>
        </is>
      </c>
      <c r="D4777" s="12" t="inlineStr">
        <is>
          <t>Thermocouples</t>
        </is>
      </c>
      <c r="E4777" s="12" t="inlineStr"/>
      <c r="F4777" s="12" t="inlineStr">
        <is>
          <t>PCM: power control module</t>
        </is>
      </c>
      <c r="G4777" s="12" t="inlineStr">
        <is>
          <t>RICE</t>
        </is>
      </c>
      <c r="H4777" s="12" t="inlineStr">
        <is>
          <t>RICE engine hall (8 engines)</t>
        </is>
      </c>
      <c r="I4777" s="12" t="inlineStr">
        <is>
          <t>Instrumentation</t>
        </is>
      </c>
      <c r="J4777" s="12" t="inlineStr">
        <is>
          <t>Thermocouple extension KX, #16 shielded pairs, PLTC</t>
        </is>
      </c>
      <c r="K4777" s="12" t="inlineStr">
        <is>
          <t>TCX|12 pr|16</t>
        </is>
      </c>
      <c r="L4777" s="12" t="inlineStr">
        <is>
          <t>12 pr</t>
        </is>
      </c>
      <c r="M4777" s="12" t="inlineStr">
        <is>
          <t>16</t>
        </is>
      </c>
      <c r="N4777" s="12" t="n">
        <v>1</v>
      </c>
      <c r="O4777" s="12" t="n">
        <v>1</v>
      </c>
      <c r="P4777" s="12" t="n"/>
      <c r="Q4777" s="12" t="n"/>
      <c r="R4777" s="12" t="n"/>
      <c r="S4777" s="12" t="inlineStr">
        <is>
          <t>Duct bank</t>
        </is>
      </c>
      <c r="T4777" s="16" t="n">
        <v>367</v>
      </c>
      <c r="U4777" s="16" t="n">
        <v>95</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I-I-0229</t>
        </is>
      </c>
      <c r="B4778" s="12" t="inlineStr">
        <is>
          <t>I</t>
        </is>
      </c>
      <c r="C4778" s="12" t="inlineStr">
        <is>
          <t>Modular / portable power</t>
        </is>
      </c>
      <c r="D4778" s="12" t="inlineStr">
        <is>
          <t>Thermocouples</t>
        </is>
      </c>
      <c r="E4778" s="12" t="inlineStr"/>
      <c r="F4778" s="12" t="inlineStr">
        <is>
          <t>PCM: power control module</t>
        </is>
      </c>
      <c r="G4778" s="12" t="inlineStr">
        <is>
          <t>RICE</t>
        </is>
      </c>
      <c r="H4778" s="12" t="inlineStr">
        <is>
          <t>RICE engine hall (8 engines)</t>
        </is>
      </c>
      <c r="I4778" s="12" t="inlineStr">
        <is>
          <t>Instrumentation</t>
        </is>
      </c>
      <c r="J4778" s="12" t="inlineStr">
        <is>
          <t>Thermocouple extension KX, #16 shielded pairs, PLTC</t>
        </is>
      </c>
      <c r="K4778" s="12" t="inlineStr">
        <is>
          <t>TCX|12 pr|16</t>
        </is>
      </c>
      <c r="L4778" s="12" t="inlineStr">
        <is>
          <t>12 pr</t>
        </is>
      </c>
      <c r="M4778" s="12" t="inlineStr">
        <is>
          <t>16</t>
        </is>
      </c>
      <c r="N4778" s="12" t="n">
        <v>1</v>
      </c>
      <c r="O4778" s="12" t="n">
        <v>1</v>
      </c>
      <c r="P4778" s="12" t="n"/>
      <c r="Q4778" s="12" t="n"/>
      <c r="R4778" s="12" t="n"/>
      <c r="S4778" s="12" t="inlineStr">
        <is>
          <t>Duct bank</t>
        </is>
      </c>
      <c r="T4778" s="16" t="n">
        <v>367</v>
      </c>
      <c r="U4778" s="16" t="n">
        <v>95</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I-I-0230</t>
        </is>
      </c>
      <c r="B4779" s="12" t="inlineStr">
        <is>
          <t>I</t>
        </is>
      </c>
      <c r="C4779" s="12" t="inlineStr">
        <is>
          <t>Modular / portable power</t>
        </is>
      </c>
      <c r="D4779" s="12" t="inlineStr">
        <is>
          <t>Analog instrument to JB JB-RICE-1-AI01: 20 x 1 pr (field cables)</t>
        </is>
      </c>
      <c r="E4779" s="12" t="inlineStr">
        <is>
          <t>RICE-1</t>
        </is>
      </c>
      <c r="F4779" s="12" t="inlineStr">
        <is>
          <t>RICE engine-generator 1</t>
        </is>
      </c>
      <c r="G4779" s="12" t="inlineStr">
        <is>
          <t>JB-RICE-1-AI01</t>
        </is>
      </c>
      <c r="H4779" s="12" t="inlineStr">
        <is>
          <t>RICE engine-generator 1</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20</v>
      </c>
      <c r="O4779" s="12" t="n">
        <v>1</v>
      </c>
      <c r="P4779" s="12" t="n"/>
      <c r="Q4779" s="12" t="n"/>
      <c r="R4779" s="12" t="n"/>
      <c r="S4779" s="12" t="inlineStr">
        <is>
          <t>Tray / conduit</t>
        </is>
      </c>
      <c r="T4779" s="16" t="n">
        <v>72</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I-I-0231</t>
        </is>
      </c>
      <c r="B4780" s="12" t="inlineStr">
        <is>
          <t>I</t>
        </is>
      </c>
      <c r="C4780" s="12" t="inlineStr">
        <is>
          <t>Modular / portable power</t>
        </is>
      </c>
      <c r="D4780" s="12" t="inlineStr">
        <is>
          <t>Home run JB-RICE-1-AI01 to the control / marshalling room</t>
        </is>
      </c>
      <c r="E4780" s="12" t="inlineStr"/>
      <c r="F4780" s="12" t="inlineStr">
        <is>
          <t>PCM: power control module</t>
        </is>
      </c>
      <c r="G4780" s="12" t="inlineStr">
        <is>
          <t>JB-RICE-1-AI01</t>
        </is>
      </c>
      <c r="H4780" s="12" t="inlineStr">
        <is>
          <t>RICE engine-generator 1</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550</v>
      </c>
      <c r="U4780" s="16" t="n">
        <v>137</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I-I-0232</t>
        </is>
      </c>
      <c r="B4781" s="12" t="inlineStr">
        <is>
          <t>I</t>
        </is>
      </c>
      <c r="C4781" s="12" t="inlineStr">
        <is>
          <t>Modular / portable power</t>
        </is>
      </c>
      <c r="D4781" s="12" t="inlineStr">
        <is>
          <t>Analog instrument to JB JB-RICE-1-AI02: 20 x 1 pr (field cables)</t>
        </is>
      </c>
      <c r="E4781" s="12" t="inlineStr">
        <is>
          <t>RICE-1</t>
        </is>
      </c>
      <c r="F4781" s="12" t="inlineStr">
        <is>
          <t>RICE engine-generator 1</t>
        </is>
      </c>
      <c r="G4781" s="12" t="inlineStr">
        <is>
          <t>JB-RICE-1-AI02</t>
        </is>
      </c>
      <c r="H4781" s="12" t="inlineStr">
        <is>
          <t>RICE engine-generator 1</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72</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I-I-0233</t>
        </is>
      </c>
      <c r="B4782" s="12" t="inlineStr">
        <is>
          <t>I</t>
        </is>
      </c>
      <c r="C4782" s="12" t="inlineStr">
        <is>
          <t>Modular / portable power</t>
        </is>
      </c>
      <c r="D4782" s="12" t="inlineStr">
        <is>
          <t>Home run JB-RICE-1-AI02 to the control / marshalling room</t>
        </is>
      </c>
      <c r="E4782" s="12" t="inlineStr"/>
      <c r="F4782" s="12" t="inlineStr">
        <is>
          <t>PCM: power control module</t>
        </is>
      </c>
      <c r="G4782" s="12" t="inlineStr">
        <is>
          <t>JB-RICE-1-AI02</t>
        </is>
      </c>
      <c r="H4782" s="12" t="inlineStr">
        <is>
          <t>RICE engine-generator 1</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550</v>
      </c>
      <c r="U4782" s="16" t="n">
        <v>137</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I-I-0234</t>
        </is>
      </c>
      <c r="B4783" s="12" t="inlineStr">
        <is>
          <t>I</t>
        </is>
      </c>
      <c r="C4783" s="12" t="inlineStr">
        <is>
          <t>Modular / portable power</t>
        </is>
      </c>
      <c r="D4783" s="12" t="inlineStr">
        <is>
          <t>Analog instrument to JB JB-RICE-1-AI03: 20 x 1 pr (field cables)</t>
        </is>
      </c>
      <c r="E4783" s="12" t="inlineStr">
        <is>
          <t>RICE-1</t>
        </is>
      </c>
      <c r="F4783" s="12" t="inlineStr">
        <is>
          <t>RICE engine-generator 1</t>
        </is>
      </c>
      <c r="G4783" s="12" t="inlineStr">
        <is>
          <t>JB-RICE-1-AI03</t>
        </is>
      </c>
      <c r="H4783" s="12" t="inlineStr">
        <is>
          <t>RICE engine-generator 1</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72</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I-I-0235</t>
        </is>
      </c>
      <c r="B4784" s="12" t="inlineStr">
        <is>
          <t>I</t>
        </is>
      </c>
      <c r="C4784" s="12" t="inlineStr">
        <is>
          <t>Modular / portable power</t>
        </is>
      </c>
      <c r="D4784" s="12" t="inlineStr">
        <is>
          <t>Home run JB-RICE-1-AI03 to the control / marshalling room</t>
        </is>
      </c>
      <c r="E4784" s="12" t="inlineStr"/>
      <c r="F4784" s="12" t="inlineStr">
        <is>
          <t>PCM: power control module</t>
        </is>
      </c>
      <c r="G4784" s="12" t="inlineStr">
        <is>
          <t>JB-RICE-1-AI03</t>
        </is>
      </c>
      <c r="H4784" s="12" t="inlineStr">
        <is>
          <t>RICE engine-generator 1</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550</v>
      </c>
      <c r="U4784" s="16" t="n">
        <v>137</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I-I-0236</t>
        </is>
      </c>
      <c r="B4785" s="12" t="inlineStr">
        <is>
          <t>I</t>
        </is>
      </c>
      <c r="C4785" s="12" t="inlineStr">
        <is>
          <t>Modular / portable power</t>
        </is>
      </c>
      <c r="D4785" s="12" t="inlineStr">
        <is>
          <t>Analog instrument to JB JB-RICE-1-AI04: 20 x 1 pr (field cables)</t>
        </is>
      </c>
      <c r="E4785" s="12" t="inlineStr">
        <is>
          <t>RICE-1</t>
        </is>
      </c>
      <c r="F4785" s="12" t="inlineStr">
        <is>
          <t>RICE engine-generator 1</t>
        </is>
      </c>
      <c r="G4785" s="12" t="inlineStr">
        <is>
          <t>JB-RICE-1-AI04</t>
        </is>
      </c>
      <c r="H4785" s="12" t="inlineStr">
        <is>
          <t>RICE engine-generator 1</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72</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I-I-0237</t>
        </is>
      </c>
      <c r="B4786" s="12" t="inlineStr">
        <is>
          <t>I</t>
        </is>
      </c>
      <c r="C4786" s="12" t="inlineStr">
        <is>
          <t>Modular / portable power</t>
        </is>
      </c>
      <c r="D4786" s="12" t="inlineStr">
        <is>
          <t>Home run JB-RICE-1-AI04 to the control / marshalling room</t>
        </is>
      </c>
      <c r="E4786" s="12" t="inlineStr"/>
      <c r="F4786" s="12" t="inlineStr">
        <is>
          <t>PCM: power control module</t>
        </is>
      </c>
      <c r="G4786" s="12" t="inlineStr">
        <is>
          <t>JB-RICE-1-AI04</t>
        </is>
      </c>
      <c r="H4786" s="12" t="inlineStr">
        <is>
          <t>RICE engine-generator 1</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550</v>
      </c>
      <c r="U4786" s="16" t="n">
        <v>137</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I-I-0238</t>
        </is>
      </c>
      <c r="B4787" s="12" t="inlineStr">
        <is>
          <t>I</t>
        </is>
      </c>
      <c r="C4787" s="12" t="inlineStr">
        <is>
          <t>Modular / portable power</t>
        </is>
      </c>
      <c r="D4787" s="12" t="inlineStr">
        <is>
          <t>Discrete device to JB JB-RICE-1-DI01: 20 x 1 pr (field cables)</t>
        </is>
      </c>
      <c r="E4787" s="12" t="inlineStr">
        <is>
          <t>RICE-1</t>
        </is>
      </c>
      <c r="F4787" s="12" t="inlineStr">
        <is>
          <t>RICE engine-generator 1</t>
        </is>
      </c>
      <c r="G4787" s="12" t="inlineStr">
        <is>
          <t>JB-RICE-1-DI01</t>
        </is>
      </c>
      <c r="H4787" s="12" t="inlineStr">
        <is>
          <t>RICE engine-generator 1</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72</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I-I-0239</t>
        </is>
      </c>
      <c r="B4788" s="12" t="inlineStr">
        <is>
          <t>I</t>
        </is>
      </c>
      <c r="C4788" s="12" t="inlineStr">
        <is>
          <t>Modular / portable power</t>
        </is>
      </c>
      <c r="D4788" s="12" t="inlineStr">
        <is>
          <t>Home run JB-RICE-1-DI01 to the control / marshalling room</t>
        </is>
      </c>
      <c r="E4788" s="12" t="inlineStr"/>
      <c r="F4788" s="12" t="inlineStr">
        <is>
          <t>PCM: power control module</t>
        </is>
      </c>
      <c r="G4788" s="12" t="inlineStr">
        <is>
          <t>JB-RICE-1-DI01</t>
        </is>
      </c>
      <c r="H4788" s="12" t="inlineStr">
        <is>
          <t>RICE engine-generator 1</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550</v>
      </c>
      <c r="U4788" s="16" t="n">
        <v>137</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I-I-0240</t>
        </is>
      </c>
      <c r="B4789" s="12" t="inlineStr">
        <is>
          <t>I</t>
        </is>
      </c>
      <c r="C4789" s="12" t="inlineStr">
        <is>
          <t>Modular / portable power</t>
        </is>
      </c>
      <c r="D4789" s="12" t="inlineStr">
        <is>
          <t>Discrete device to JB JB-RICE-1-DI02: 20 x 1 pr (field cables)</t>
        </is>
      </c>
      <c r="E4789" s="12" t="inlineStr">
        <is>
          <t>RICE-1</t>
        </is>
      </c>
      <c r="F4789" s="12" t="inlineStr">
        <is>
          <t>RICE engine-generator 1</t>
        </is>
      </c>
      <c r="G4789" s="12" t="inlineStr">
        <is>
          <t>JB-RICE-1-DI02</t>
        </is>
      </c>
      <c r="H4789" s="12" t="inlineStr">
        <is>
          <t>RICE engine-generator 1</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72</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I-I-0241</t>
        </is>
      </c>
      <c r="B4790" s="12" t="inlineStr">
        <is>
          <t>I</t>
        </is>
      </c>
      <c r="C4790" s="12" t="inlineStr">
        <is>
          <t>Modular / portable power</t>
        </is>
      </c>
      <c r="D4790" s="12" t="inlineStr">
        <is>
          <t>Home run JB-RICE-1-DI02 to the control / marshalling room</t>
        </is>
      </c>
      <c r="E4790" s="12" t="inlineStr"/>
      <c r="F4790" s="12" t="inlineStr">
        <is>
          <t>PCM: power control module</t>
        </is>
      </c>
      <c r="G4790" s="12" t="inlineStr">
        <is>
          <t>JB-RICE-1-DI02</t>
        </is>
      </c>
      <c r="H4790" s="12" t="inlineStr">
        <is>
          <t>RICE engine-generator 1</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550</v>
      </c>
      <c r="U4790" s="16" t="n">
        <v>137</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I-I-0242</t>
        </is>
      </c>
      <c r="B4791" s="12" t="inlineStr">
        <is>
          <t>I</t>
        </is>
      </c>
      <c r="C4791" s="12" t="inlineStr">
        <is>
          <t>Modular / portable power</t>
        </is>
      </c>
      <c r="D4791" s="12" t="inlineStr">
        <is>
          <t>Discrete device to JB JB-RICE-1-DI03: 20 x 1 pr (field cables)</t>
        </is>
      </c>
      <c r="E4791" s="12" t="inlineStr">
        <is>
          <t>RICE-1</t>
        </is>
      </c>
      <c r="F4791" s="12" t="inlineStr">
        <is>
          <t>RICE engine-generator 1</t>
        </is>
      </c>
      <c r="G4791" s="12" t="inlineStr">
        <is>
          <t>JB-RICE-1-DI03</t>
        </is>
      </c>
      <c r="H4791" s="12" t="inlineStr">
        <is>
          <t>RICE engine-generator 1</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72</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I-I-0243</t>
        </is>
      </c>
      <c r="B4792" s="12" t="inlineStr">
        <is>
          <t>I</t>
        </is>
      </c>
      <c r="C4792" s="12" t="inlineStr">
        <is>
          <t>Modular / portable power</t>
        </is>
      </c>
      <c r="D4792" s="12" t="inlineStr">
        <is>
          <t>Home run JB-RICE-1-DI03 to the control / marshalling room</t>
        </is>
      </c>
      <c r="E4792" s="12" t="inlineStr"/>
      <c r="F4792" s="12" t="inlineStr">
        <is>
          <t>PCM: power control module</t>
        </is>
      </c>
      <c r="G4792" s="12" t="inlineStr">
        <is>
          <t>JB-RICE-1-DI03</t>
        </is>
      </c>
      <c r="H4792" s="12" t="inlineStr">
        <is>
          <t>RICE engine-generator 1</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550</v>
      </c>
      <c r="U4792" s="16" t="n">
        <v>137</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I-I-0244</t>
        </is>
      </c>
      <c r="B4793" s="12" t="inlineStr">
        <is>
          <t>I</t>
        </is>
      </c>
      <c r="C4793" s="12" t="inlineStr">
        <is>
          <t>Modular / portable power</t>
        </is>
      </c>
      <c r="D4793" s="12" t="inlineStr">
        <is>
          <t>Thermocouple to TC JB JB-RICE-1-TC01: 20 x 1 pr (field cables)</t>
        </is>
      </c>
      <c r="E4793" s="12" t="inlineStr">
        <is>
          <t>RICE-1</t>
        </is>
      </c>
      <c r="F4793" s="12" t="inlineStr">
        <is>
          <t>RICE engine-generator 1</t>
        </is>
      </c>
      <c r="G4793" s="12" t="inlineStr">
        <is>
          <t>JB-RICE-1-TC01</t>
        </is>
      </c>
      <c r="H4793" s="12" t="inlineStr">
        <is>
          <t>RICE engine-generator 1</t>
        </is>
      </c>
      <c r="I4793" s="12" t="inlineStr">
        <is>
          <t>Instrumentation</t>
        </is>
      </c>
      <c r="J4793" s="12" t="inlineStr">
        <is>
          <t>Thermocouple extension KX, #16 shielded pairs, PLTC</t>
        </is>
      </c>
      <c r="K4793" s="12" t="inlineStr">
        <is>
          <t>TCX|1 pr|16</t>
        </is>
      </c>
      <c r="L4793" s="12" t="inlineStr">
        <is>
          <t>1 pr</t>
        </is>
      </c>
      <c r="M4793" s="12" t="inlineStr">
        <is>
          <t>16</t>
        </is>
      </c>
      <c r="N4793" s="12" t="n">
        <v>20</v>
      </c>
      <c r="O4793" s="12" t="n">
        <v>1</v>
      </c>
      <c r="P4793" s="12" t="n"/>
      <c r="Q4793" s="12" t="n"/>
      <c r="R4793" s="12" t="n"/>
      <c r="S4793" s="12" t="inlineStr">
        <is>
          <t>Tray / conduit</t>
        </is>
      </c>
      <c r="T4793" s="16" t="n">
        <v>72</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I-I-0245</t>
        </is>
      </c>
      <c r="B4794" s="12" t="inlineStr">
        <is>
          <t>I</t>
        </is>
      </c>
      <c r="C4794" s="12" t="inlineStr">
        <is>
          <t>Modular / portable power</t>
        </is>
      </c>
      <c r="D4794" s="12" t="inlineStr">
        <is>
          <t>Home run JB-RICE-1-TC01 to the control / marshalling room</t>
        </is>
      </c>
      <c r="E4794" s="12" t="inlineStr"/>
      <c r="F4794" s="12" t="inlineStr">
        <is>
          <t>PCM: power control module</t>
        </is>
      </c>
      <c r="G4794" s="12" t="inlineStr">
        <is>
          <t>JB-RICE-1-TC01</t>
        </is>
      </c>
      <c r="H4794" s="12" t="inlineStr">
        <is>
          <t>RICE engine-generator 1</t>
        </is>
      </c>
      <c r="I4794" s="12" t="inlineStr">
        <is>
          <t>Instrumentation</t>
        </is>
      </c>
      <c r="J4794" s="12" t="inlineStr">
        <is>
          <t>Thermocouple extension KX, #16 shielded pairs, PLTC</t>
        </is>
      </c>
      <c r="K4794" s="12" t="inlineStr">
        <is>
          <t>TCX|24 pr|16</t>
        </is>
      </c>
      <c r="L4794" s="12" t="inlineStr">
        <is>
          <t>24 pr</t>
        </is>
      </c>
      <c r="M4794" s="12" t="inlineStr">
        <is>
          <t>16</t>
        </is>
      </c>
      <c r="N4794" s="12" t="n">
        <v>1</v>
      </c>
      <c r="O4794" s="12" t="n">
        <v>1</v>
      </c>
      <c r="P4794" s="12" t="n"/>
      <c r="Q4794" s="12" t="n"/>
      <c r="R4794" s="12" t="n"/>
      <c r="S4794" s="12" t="inlineStr">
        <is>
          <t>Duct bank</t>
        </is>
      </c>
      <c r="T4794" s="16" t="n">
        <v>550</v>
      </c>
      <c r="U4794" s="16" t="n">
        <v>137</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I-I-0246</t>
        </is>
      </c>
      <c r="B4795" s="12" t="inlineStr">
        <is>
          <t>I</t>
        </is>
      </c>
      <c r="C4795" s="12" t="inlineStr">
        <is>
          <t>Modular / portable power</t>
        </is>
      </c>
      <c r="D4795" s="12" t="inlineStr">
        <is>
          <t>Thermocouple to TC JB JB-RICE-1-TC02: 10 x 1 pr (field cables)</t>
        </is>
      </c>
      <c r="E4795" s="12" t="inlineStr">
        <is>
          <t>RICE-1</t>
        </is>
      </c>
      <c r="F4795" s="12" t="inlineStr">
        <is>
          <t>RICE engine-generator 1</t>
        </is>
      </c>
      <c r="G4795" s="12" t="inlineStr">
        <is>
          <t>JB-RICE-1-TC02</t>
        </is>
      </c>
      <c r="H4795" s="12" t="inlineStr">
        <is>
          <t>RICE engine-generator 1</t>
        </is>
      </c>
      <c r="I4795" s="12" t="inlineStr">
        <is>
          <t>Instrumentation</t>
        </is>
      </c>
      <c r="J4795" s="12" t="inlineStr">
        <is>
          <t>Thermocouple extension KX, #16 shielded pairs, PLTC</t>
        </is>
      </c>
      <c r="K4795" s="12" t="inlineStr">
        <is>
          <t>TCX|1 pr|16</t>
        </is>
      </c>
      <c r="L4795" s="12" t="inlineStr">
        <is>
          <t>1 pr</t>
        </is>
      </c>
      <c r="M4795" s="12" t="inlineStr">
        <is>
          <t>16</t>
        </is>
      </c>
      <c r="N4795" s="12" t="n">
        <v>10</v>
      </c>
      <c r="O4795" s="12" t="n">
        <v>1</v>
      </c>
      <c r="P4795" s="12" t="n"/>
      <c r="Q4795" s="12" t="n"/>
      <c r="R4795" s="12" t="n"/>
      <c r="S4795" s="12" t="inlineStr">
        <is>
          <t>Tray / conduit</t>
        </is>
      </c>
      <c r="T4795" s="16" t="n">
        <v>72</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I-I-0247</t>
        </is>
      </c>
      <c r="B4796" s="12" t="inlineStr">
        <is>
          <t>I</t>
        </is>
      </c>
      <c r="C4796" s="12" t="inlineStr">
        <is>
          <t>Modular / portable power</t>
        </is>
      </c>
      <c r="D4796" s="12" t="inlineStr">
        <is>
          <t>Home run JB-RICE-1-TC02 to the control / marshalling room</t>
        </is>
      </c>
      <c r="E4796" s="12" t="inlineStr"/>
      <c r="F4796" s="12" t="inlineStr">
        <is>
          <t>PCM: power control module</t>
        </is>
      </c>
      <c r="G4796" s="12" t="inlineStr">
        <is>
          <t>JB-RICE-1-TC02</t>
        </is>
      </c>
      <c r="H4796" s="12" t="inlineStr">
        <is>
          <t>RICE engine-generator 1</t>
        </is>
      </c>
      <c r="I4796" s="12" t="inlineStr">
        <is>
          <t>Instrumentation</t>
        </is>
      </c>
      <c r="J4796" s="12" t="inlineStr">
        <is>
          <t>Thermocouple extension KX, #16 shielded pairs, PLTC</t>
        </is>
      </c>
      <c r="K4796" s="12" t="inlineStr">
        <is>
          <t>TCX|24 pr|16</t>
        </is>
      </c>
      <c r="L4796" s="12" t="inlineStr">
        <is>
          <t>24 pr</t>
        </is>
      </c>
      <c r="M4796" s="12" t="inlineStr">
        <is>
          <t>16</t>
        </is>
      </c>
      <c r="N4796" s="12" t="n">
        <v>1</v>
      </c>
      <c r="O4796" s="12" t="n">
        <v>1</v>
      </c>
      <c r="P4796" s="12" t="n"/>
      <c r="Q4796" s="12" t="n"/>
      <c r="R4796" s="12" t="n"/>
      <c r="S4796" s="12" t="inlineStr">
        <is>
          <t>Duct bank</t>
        </is>
      </c>
      <c r="T4796" s="16" t="n">
        <v>550</v>
      </c>
      <c r="U4796" s="16" t="n">
        <v>137</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I-I-0248</t>
        </is>
      </c>
      <c r="B4797" s="12" t="inlineStr">
        <is>
          <t>I</t>
        </is>
      </c>
      <c r="C4797" s="12" t="inlineStr">
        <is>
          <t>Modular / portable power</t>
        </is>
      </c>
      <c r="D4797" s="12" t="inlineStr">
        <is>
          <t>RTD to JB JB-RICE-1-RTD01: 10 x 1 tri (field cables)</t>
        </is>
      </c>
      <c r="E4797" s="12" t="inlineStr">
        <is>
          <t>RICE-1</t>
        </is>
      </c>
      <c r="F4797" s="12" t="inlineStr">
        <is>
          <t>RICE engine-generator 1</t>
        </is>
      </c>
      <c r="G4797" s="12" t="inlineStr">
        <is>
          <t>JB-RICE-1-RTD01</t>
        </is>
      </c>
      <c r="H4797" s="12" t="inlineStr">
        <is>
          <t>RICE engine-generator 1</t>
        </is>
      </c>
      <c r="I4797" s="12" t="inlineStr">
        <is>
          <t>Instrumentation</t>
        </is>
      </c>
      <c r="J4797" s="12" t="inlineStr">
        <is>
          <t>RTD cable, #18 shielded triads, PLTC</t>
        </is>
      </c>
      <c r="K4797" s="12" t="inlineStr">
        <is>
          <t>RTD|1 tri|18</t>
        </is>
      </c>
      <c r="L4797" s="12" t="inlineStr">
        <is>
          <t>1 tri</t>
        </is>
      </c>
      <c r="M4797" s="12" t="inlineStr">
        <is>
          <t>18</t>
        </is>
      </c>
      <c r="N4797" s="12" t="n">
        <v>10</v>
      </c>
      <c r="O4797" s="12" t="n">
        <v>1</v>
      </c>
      <c r="P4797" s="12" t="n"/>
      <c r="Q4797" s="12" t="n"/>
      <c r="R4797" s="12" t="n"/>
      <c r="S4797" s="12" t="inlineStr">
        <is>
          <t>Tray / conduit</t>
        </is>
      </c>
      <c r="T4797" s="16" t="n">
        <v>72</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I-I-0249</t>
        </is>
      </c>
      <c r="B4798" s="12" t="inlineStr">
        <is>
          <t>I</t>
        </is>
      </c>
      <c r="C4798" s="12" t="inlineStr">
        <is>
          <t>Modular / portable power</t>
        </is>
      </c>
      <c r="D4798" s="12" t="inlineStr">
        <is>
          <t>Home run JB-RICE-1-RTD01 to the control / marshalling room</t>
        </is>
      </c>
      <c r="E4798" s="12" t="inlineStr"/>
      <c r="F4798" s="12" t="inlineStr">
        <is>
          <t>PCM: power control module</t>
        </is>
      </c>
      <c r="G4798" s="12" t="inlineStr">
        <is>
          <t>JB-RICE-1-RTD01</t>
        </is>
      </c>
      <c r="H4798" s="12" t="inlineStr">
        <is>
          <t>RICE engine-generator 1</t>
        </is>
      </c>
      <c r="I4798" s="12" t="inlineStr">
        <is>
          <t>Instrumentation</t>
        </is>
      </c>
      <c r="J4798" s="12" t="inlineStr">
        <is>
          <t>RTD cable, #18 shielded triads, PLTC</t>
        </is>
      </c>
      <c r="K4798" s="12" t="inlineStr">
        <is>
          <t>RTD|12 tri|18</t>
        </is>
      </c>
      <c r="L4798" s="12" t="inlineStr">
        <is>
          <t>12 tri</t>
        </is>
      </c>
      <c r="M4798" s="12" t="inlineStr">
        <is>
          <t>18</t>
        </is>
      </c>
      <c r="N4798" s="12" t="n">
        <v>1</v>
      </c>
      <c r="O4798" s="12" t="n">
        <v>1</v>
      </c>
      <c r="P4798" s="12" t="n"/>
      <c r="Q4798" s="12" t="n"/>
      <c r="R4798" s="12" t="n"/>
      <c r="S4798" s="12" t="inlineStr">
        <is>
          <t>Duct bank</t>
        </is>
      </c>
      <c r="T4798" s="16" t="n">
        <v>550</v>
      </c>
      <c r="U4798" s="16" t="n">
        <v>137</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I-I-0250</t>
        </is>
      </c>
      <c r="B4799" s="12" t="inlineStr">
        <is>
          <t>I</t>
        </is>
      </c>
      <c r="C4799" s="12" t="inlineStr">
        <is>
          <t>Modular / portable power</t>
        </is>
      </c>
      <c r="D4799" s="12" t="inlineStr">
        <is>
          <t>RTD to JB JB-RICE-1-RTD02: 2 x 1 tri (field cables)</t>
        </is>
      </c>
      <c r="E4799" s="12" t="inlineStr">
        <is>
          <t>RICE-1</t>
        </is>
      </c>
      <c r="F4799" s="12" t="inlineStr">
        <is>
          <t>RICE engine-generator 1</t>
        </is>
      </c>
      <c r="G4799" s="12" t="inlineStr">
        <is>
          <t>JB-RICE-1-RTD02</t>
        </is>
      </c>
      <c r="H4799" s="12" t="inlineStr">
        <is>
          <t>RICE engine-generator 1</t>
        </is>
      </c>
      <c r="I4799" s="12" t="inlineStr">
        <is>
          <t>Instrumentation</t>
        </is>
      </c>
      <c r="J4799" s="12" t="inlineStr">
        <is>
          <t>RTD cable, #18 shielded triads, PLTC</t>
        </is>
      </c>
      <c r="K4799" s="12" t="inlineStr">
        <is>
          <t>RTD|1 tri|18</t>
        </is>
      </c>
      <c r="L4799" s="12" t="inlineStr">
        <is>
          <t>1 tri</t>
        </is>
      </c>
      <c r="M4799" s="12" t="inlineStr">
        <is>
          <t>18</t>
        </is>
      </c>
      <c r="N4799" s="12" t="n">
        <v>2</v>
      </c>
      <c r="O4799" s="12" t="n">
        <v>1</v>
      </c>
      <c r="P4799" s="12" t="n"/>
      <c r="Q4799" s="12" t="n"/>
      <c r="R4799" s="12" t="n"/>
      <c r="S4799" s="12" t="inlineStr">
        <is>
          <t>Tray / conduit</t>
        </is>
      </c>
      <c r="T4799" s="16" t="n">
        <v>72</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I-I-0251</t>
        </is>
      </c>
      <c r="B4800" s="12" t="inlineStr">
        <is>
          <t>I</t>
        </is>
      </c>
      <c r="C4800" s="12" t="inlineStr">
        <is>
          <t>Modular / portable power</t>
        </is>
      </c>
      <c r="D4800" s="12" t="inlineStr">
        <is>
          <t>Home run JB-RICE-1-RTD02 to the control / marshalling room</t>
        </is>
      </c>
      <c r="E4800" s="12" t="inlineStr"/>
      <c r="F4800" s="12" t="inlineStr">
        <is>
          <t>PCM: power control module</t>
        </is>
      </c>
      <c r="G4800" s="12" t="inlineStr">
        <is>
          <t>JB-RICE-1-RTD02</t>
        </is>
      </c>
      <c r="H4800" s="12" t="inlineStr">
        <is>
          <t>RICE engine-generator 1</t>
        </is>
      </c>
      <c r="I4800" s="12" t="inlineStr">
        <is>
          <t>Instrumentation</t>
        </is>
      </c>
      <c r="J4800" s="12" t="inlineStr">
        <is>
          <t>RTD cable, #18 shielded triads, PLTC</t>
        </is>
      </c>
      <c r="K4800" s="12" t="inlineStr">
        <is>
          <t>RTD|12 tri|18</t>
        </is>
      </c>
      <c r="L4800" s="12" t="inlineStr">
        <is>
          <t>12 tri</t>
        </is>
      </c>
      <c r="M4800" s="12" t="inlineStr">
        <is>
          <t>18</t>
        </is>
      </c>
      <c r="N4800" s="12" t="n">
        <v>1</v>
      </c>
      <c r="O4800" s="12" t="n">
        <v>1</v>
      </c>
      <c r="P4800" s="12" t="n"/>
      <c r="Q4800" s="12" t="n"/>
      <c r="R4800" s="12" t="n"/>
      <c r="S4800" s="12" t="inlineStr">
        <is>
          <t>Duct bank</t>
        </is>
      </c>
      <c r="T4800" s="16" t="n">
        <v>550</v>
      </c>
      <c r="U4800" s="16" t="n">
        <v>137</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I-I-0252</t>
        </is>
      </c>
      <c r="B4801" s="12" t="inlineStr">
        <is>
          <t>I</t>
        </is>
      </c>
      <c r="C4801" s="12" t="inlineStr">
        <is>
          <t>Modular / portable power</t>
        </is>
      </c>
      <c r="D4801" s="12" t="inlineStr">
        <is>
          <t>Analog instrument to JB JB-RICE-2-AI01: 20 x 1 pr (field cables)</t>
        </is>
      </c>
      <c r="E4801" s="12" t="inlineStr">
        <is>
          <t>RICE-2</t>
        </is>
      </c>
      <c r="F4801" s="12" t="inlineStr">
        <is>
          <t>RICE engine-generator 2</t>
        </is>
      </c>
      <c r="G4801" s="12" t="inlineStr">
        <is>
          <t>JB-RICE-2-AI01</t>
        </is>
      </c>
      <c r="H4801" s="12" t="inlineStr">
        <is>
          <t>RICE engine-generator 2</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72</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I-I-0253</t>
        </is>
      </c>
      <c r="B4802" s="12" t="inlineStr">
        <is>
          <t>I</t>
        </is>
      </c>
      <c r="C4802" s="12" t="inlineStr">
        <is>
          <t>Modular / portable power</t>
        </is>
      </c>
      <c r="D4802" s="12" t="inlineStr">
        <is>
          <t>Home run JB-RICE-2-AI01 to the control / marshalling room</t>
        </is>
      </c>
      <c r="E4802" s="12" t="inlineStr"/>
      <c r="F4802" s="12" t="inlineStr">
        <is>
          <t>PCM: power control module</t>
        </is>
      </c>
      <c r="G4802" s="12" t="inlineStr">
        <is>
          <t>JB-RICE-2-AI01</t>
        </is>
      </c>
      <c r="H4802" s="12" t="inlineStr">
        <is>
          <t>RICE engine-generator 2</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550</v>
      </c>
      <c r="U4802" s="16" t="n">
        <v>109</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I-I-0254</t>
        </is>
      </c>
      <c r="B4803" s="12" t="inlineStr">
        <is>
          <t>I</t>
        </is>
      </c>
      <c r="C4803" s="12" t="inlineStr">
        <is>
          <t>Modular / portable power</t>
        </is>
      </c>
      <c r="D4803" s="12" t="inlineStr">
        <is>
          <t>Analog instrument to JB JB-RICE-2-AI02: 20 x 1 pr (field cables)</t>
        </is>
      </c>
      <c r="E4803" s="12" t="inlineStr">
        <is>
          <t>RICE-2</t>
        </is>
      </c>
      <c r="F4803" s="12" t="inlineStr">
        <is>
          <t>RICE engine-generator 2</t>
        </is>
      </c>
      <c r="G4803" s="12" t="inlineStr">
        <is>
          <t>JB-RICE-2-AI02</t>
        </is>
      </c>
      <c r="H4803" s="12" t="inlineStr">
        <is>
          <t>RICE engine-generator 2</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72</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I-I-0255</t>
        </is>
      </c>
      <c r="B4804" s="12" t="inlineStr">
        <is>
          <t>I</t>
        </is>
      </c>
      <c r="C4804" s="12" t="inlineStr">
        <is>
          <t>Modular / portable power</t>
        </is>
      </c>
      <c r="D4804" s="12" t="inlineStr">
        <is>
          <t>Home run JB-RICE-2-AI02 to the control / marshalling room</t>
        </is>
      </c>
      <c r="E4804" s="12" t="inlineStr"/>
      <c r="F4804" s="12" t="inlineStr">
        <is>
          <t>PCM: power control module</t>
        </is>
      </c>
      <c r="G4804" s="12" t="inlineStr">
        <is>
          <t>JB-RICE-2-AI02</t>
        </is>
      </c>
      <c r="H4804" s="12" t="inlineStr">
        <is>
          <t>RICE engine-generator 2</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550</v>
      </c>
      <c r="U4804" s="16" t="n">
        <v>109</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I-I-0256</t>
        </is>
      </c>
      <c r="B4805" s="12" t="inlineStr">
        <is>
          <t>I</t>
        </is>
      </c>
      <c r="C4805" s="12" t="inlineStr">
        <is>
          <t>Modular / portable power</t>
        </is>
      </c>
      <c r="D4805" s="12" t="inlineStr">
        <is>
          <t>Analog instrument to JB JB-RICE-2-AI03: 20 x 1 pr (field cables)</t>
        </is>
      </c>
      <c r="E4805" s="12" t="inlineStr">
        <is>
          <t>RICE-2</t>
        </is>
      </c>
      <c r="F4805" s="12" t="inlineStr">
        <is>
          <t>RICE engine-generator 2</t>
        </is>
      </c>
      <c r="G4805" s="12" t="inlineStr">
        <is>
          <t>JB-RICE-2-AI03</t>
        </is>
      </c>
      <c r="H4805" s="12" t="inlineStr">
        <is>
          <t>RICE engine-generator 2</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72</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I-I-0257</t>
        </is>
      </c>
      <c r="B4806" s="12" t="inlineStr">
        <is>
          <t>I</t>
        </is>
      </c>
      <c r="C4806" s="12" t="inlineStr">
        <is>
          <t>Modular / portable power</t>
        </is>
      </c>
      <c r="D4806" s="12" t="inlineStr">
        <is>
          <t>Home run JB-RICE-2-AI03 to the control / marshalling room</t>
        </is>
      </c>
      <c r="E4806" s="12" t="inlineStr"/>
      <c r="F4806" s="12" t="inlineStr">
        <is>
          <t>PCM: power control module</t>
        </is>
      </c>
      <c r="G4806" s="12" t="inlineStr">
        <is>
          <t>JB-RICE-2-AI03</t>
        </is>
      </c>
      <c r="H4806" s="12" t="inlineStr">
        <is>
          <t>RICE engine-generator 2</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550</v>
      </c>
      <c r="U4806" s="16" t="n">
        <v>109</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I-I-0258</t>
        </is>
      </c>
      <c r="B4807" s="12" t="inlineStr">
        <is>
          <t>I</t>
        </is>
      </c>
      <c r="C4807" s="12" t="inlineStr">
        <is>
          <t>Modular / portable power</t>
        </is>
      </c>
      <c r="D4807" s="12" t="inlineStr">
        <is>
          <t>Analog instrument to JB JB-RICE-2-AI04: 20 x 1 pr (field cables)</t>
        </is>
      </c>
      <c r="E4807" s="12" t="inlineStr">
        <is>
          <t>RICE-2</t>
        </is>
      </c>
      <c r="F4807" s="12" t="inlineStr">
        <is>
          <t>RICE engine-generator 2</t>
        </is>
      </c>
      <c r="G4807" s="12" t="inlineStr">
        <is>
          <t>JB-RICE-2-AI04</t>
        </is>
      </c>
      <c r="H4807" s="12" t="inlineStr">
        <is>
          <t>RICE engine-generator 2</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20</v>
      </c>
      <c r="O4807" s="12" t="n">
        <v>1</v>
      </c>
      <c r="P4807" s="12" t="n"/>
      <c r="Q4807" s="12" t="n"/>
      <c r="R4807" s="12" t="n"/>
      <c r="S4807" s="12" t="inlineStr">
        <is>
          <t>Tray / conduit</t>
        </is>
      </c>
      <c r="T4807" s="16" t="n">
        <v>72</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I-I-0259</t>
        </is>
      </c>
      <c r="B4808" s="12" t="inlineStr">
        <is>
          <t>I</t>
        </is>
      </c>
      <c r="C4808" s="12" t="inlineStr">
        <is>
          <t>Modular / portable power</t>
        </is>
      </c>
      <c r="D4808" s="12" t="inlineStr">
        <is>
          <t>Home run JB-RICE-2-AI04 to the control / marshalling room</t>
        </is>
      </c>
      <c r="E4808" s="12" t="inlineStr"/>
      <c r="F4808" s="12" t="inlineStr">
        <is>
          <t>PCM: power control module</t>
        </is>
      </c>
      <c r="G4808" s="12" t="inlineStr">
        <is>
          <t>JB-RICE-2-AI04</t>
        </is>
      </c>
      <c r="H4808" s="12" t="inlineStr">
        <is>
          <t>RICE engine-generator 2</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Duct bank</t>
        </is>
      </c>
      <c r="T4808" s="16" t="n">
        <v>550</v>
      </c>
      <c r="U4808" s="16" t="n">
        <v>109</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I-I-0260</t>
        </is>
      </c>
      <c r="B4809" s="12" t="inlineStr">
        <is>
          <t>I</t>
        </is>
      </c>
      <c r="C4809" s="12" t="inlineStr">
        <is>
          <t>Modular / portable power</t>
        </is>
      </c>
      <c r="D4809" s="12" t="inlineStr">
        <is>
          <t>Discrete device to JB JB-RICE-2-DI01: 20 x 1 pr (field cables)</t>
        </is>
      </c>
      <c r="E4809" s="12" t="inlineStr">
        <is>
          <t>RICE-2</t>
        </is>
      </c>
      <c r="F4809" s="12" t="inlineStr">
        <is>
          <t>RICE engine-generator 2</t>
        </is>
      </c>
      <c r="G4809" s="12" t="inlineStr">
        <is>
          <t>JB-RICE-2-DI01</t>
        </is>
      </c>
      <c r="H4809" s="12" t="inlineStr">
        <is>
          <t>RICE engine-generator 2</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20</v>
      </c>
      <c r="O4809" s="12" t="n">
        <v>1</v>
      </c>
      <c r="P4809" s="12" t="n"/>
      <c r="Q4809" s="12" t="n"/>
      <c r="R4809" s="12" t="n"/>
      <c r="S4809" s="12" t="inlineStr">
        <is>
          <t>Tray / conduit</t>
        </is>
      </c>
      <c r="T4809" s="16" t="n">
        <v>72</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I-I-0261</t>
        </is>
      </c>
      <c r="B4810" s="12" t="inlineStr">
        <is>
          <t>I</t>
        </is>
      </c>
      <c r="C4810" s="12" t="inlineStr">
        <is>
          <t>Modular / portable power</t>
        </is>
      </c>
      <c r="D4810" s="12" t="inlineStr">
        <is>
          <t>Home run JB-RICE-2-DI01 to the control / marshalling room</t>
        </is>
      </c>
      <c r="E4810" s="12" t="inlineStr"/>
      <c r="F4810" s="12" t="inlineStr">
        <is>
          <t>PCM: power control module</t>
        </is>
      </c>
      <c r="G4810" s="12" t="inlineStr">
        <is>
          <t>JB-RICE-2-DI01</t>
        </is>
      </c>
      <c r="H4810" s="12" t="inlineStr">
        <is>
          <t>RICE engine-generator 2</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Duct bank</t>
        </is>
      </c>
      <c r="T4810" s="16" t="n">
        <v>550</v>
      </c>
      <c r="U4810" s="16" t="n">
        <v>109</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I-I-0262</t>
        </is>
      </c>
      <c r="B4811" s="12" t="inlineStr">
        <is>
          <t>I</t>
        </is>
      </c>
      <c r="C4811" s="12" t="inlineStr">
        <is>
          <t>Modular / portable power</t>
        </is>
      </c>
      <c r="D4811" s="12" t="inlineStr">
        <is>
          <t>Discrete device to JB JB-RICE-2-DI02: 20 x 1 pr (field cables)</t>
        </is>
      </c>
      <c r="E4811" s="12" t="inlineStr">
        <is>
          <t>RICE-2</t>
        </is>
      </c>
      <c r="F4811" s="12" t="inlineStr">
        <is>
          <t>RICE engine-generator 2</t>
        </is>
      </c>
      <c r="G4811" s="12" t="inlineStr">
        <is>
          <t>JB-RICE-2-DI02</t>
        </is>
      </c>
      <c r="H4811" s="12" t="inlineStr">
        <is>
          <t>RICE engine-generator 2</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20</v>
      </c>
      <c r="O4811" s="12" t="n">
        <v>1</v>
      </c>
      <c r="P4811" s="12" t="n"/>
      <c r="Q4811" s="12" t="n"/>
      <c r="R4811" s="12" t="n"/>
      <c r="S4811" s="12" t="inlineStr">
        <is>
          <t>Tray / conduit</t>
        </is>
      </c>
      <c r="T4811" s="16" t="n">
        <v>72</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I-I-0263</t>
        </is>
      </c>
      <c r="B4812" s="12" t="inlineStr">
        <is>
          <t>I</t>
        </is>
      </c>
      <c r="C4812" s="12" t="inlineStr">
        <is>
          <t>Modular / portable power</t>
        </is>
      </c>
      <c r="D4812" s="12" t="inlineStr">
        <is>
          <t>Home run JB-RICE-2-DI02 to the control / marshalling room</t>
        </is>
      </c>
      <c r="E4812" s="12" t="inlineStr"/>
      <c r="F4812" s="12" t="inlineStr">
        <is>
          <t>PCM: power control module</t>
        </is>
      </c>
      <c r="G4812" s="12" t="inlineStr">
        <is>
          <t>JB-RICE-2-DI02</t>
        </is>
      </c>
      <c r="H4812" s="12" t="inlineStr">
        <is>
          <t>RICE engine-generator 2</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Duct bank</t>
        </is>
      </c>
      <c r="T4812" s="16" t="n">
        <v>550</v>
      </c>
      <c r="U4812" s="16" t="n">
        <v>109</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I-I-0264</t>
        </is>
      </c>
      <c r="B4813" s="12" t="inlineStr">
        <is>
          <t>I</t>
        </is>
      </c>
      <c r="C4813" s="12" t="inlineStr">
        <is>
          <t>Modular / portable power</t>
        </is>
      </c>
      <c r="D4813" s="12" t="inlineStr">
        <is>
          <t>Discrete device to JB JB-RICE-2-DI03: 20 x 1 pr (field cables)</t>
        </is>
      </c>
      <c r="E4813" s="12" t="inlineStr">
        <is>
          <t>RICE-2</t>
        </is>
      </c>
      <c r="F4813" s="12" t="inlineStr">
        <is>
          <t>RICE engine-generator 2</t>
        </is>
      </c>
      <c r="G4813" s="12" t="inlineStr">
        <is>
          <t>JB-RICE-2-DI03</t>
        </is>
      </c>
      <c r="H4813" s="12" t="inlineStr">
        <is>
          <t>RICE engine-generator 2</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20</v>
      </c>
      <c r="O4813" s="12" t="n">
        <v>1</v>
      </c>
      <c r="P4813" s="12" t="n"/>
      <c r="Q4813" s="12" t="n"/>
      <c r="R4813" s="12" t="n"/>
      <c r="S4813" s="12" t="inlineStr">
        <is>
          <t>Tray / conduit</t>
        </is>
      </c>
      <c r="T4813" s="16" t="n">
        <v>72</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I-I-0265</t>
        </is>
      </c>
      <c r="B4814" s="12" t="inlineStr">
        <is>
          <t>I</t>
        </is>
      </c>
      <c r="C4814" s="12" t="inlineStr">
        <is>
          <t>Modular / portable power</t>
        </is>
      </c>
      <c r="D4814" s="12" t="inlineStr">
        <is>
          <t>Home run JB-RICE-2-DI03 to the control / marshalling room</t>
        </is>
      </c>
      <c r="E4814" s="12" t="inlineStr"/>
      <c r="F4814" s="12" t="inlineStr">
        <is>
          <t>PCM: power control module</t>
        </is>
      </c>
      <c r="G4814" s="12" t="inlineStr">
        <is>
          <t>JB-RICE-2-DI03</t>
        </is>
      </c>
      <c r="H4814" s="12" t="inlineStr">
        <is>
          <t>RICE engine-generator 2</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Duct bank</t>
        </is>
      </c>
      <c r="T4814" s="16" t="n">
        <v>550</v>
      </c>
      <c r="U4814" s="16" t="n">
        <v>109</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I-I-0266</t>
        </is>
      </c>
      <c r="B4815" s="12" t="inlineStr">
        <is>
          <t>I</t>
        </is>
      </c>
      <c r="C4815" s="12" t="inlineStr">
        <is>
          <t>Modular / portable power</t>
        </is>
      </c>
      <c r="D4815" s="12" t="inlineStr">
        <is>
          <t>Thermocouple to TC JB JB-RICE-2-TC01: 20 x 1 pr (field cables)</t>
        </is>
      </c>
      <c r="E4815" s="12" t="inlineStr">
        <is>
          <t>RICE-2</t>
        </is>
      </c>
      <c r="F4815" s="12" t="inlineStr">
        <is>
          <t>RICE engine-generator 2</t>
        </is>
      </c>
      <c r="G4815" s="12" t="inlineStr">
        <is>
          <t>JB-RICE-2-TC01</t>
        </is>
      </c>
      <c r="H4815" s="12" t="inlineStr">
        <is>
          <t>RICE engine-generator 2</t>
        </is>
      </c>
      <c r="I4815" s="12" t="inlineStr">
        <is>
          <t>Instrumentation</t>
        </is>
      </c>
      <c r="J4815" s="12" t="inlineStr">
        <is>
          <t>Thermocouple extension KX, #16 shielded pairs, PLTC</t>
        </is>
      </c>
      <c r="K4815" s="12" t="inlineStr">
        <is>
          <t>TCX|1 pr|16</t>
        </is>
      </c>
      <c r="L4815" s="12" t="inlineStr">
        <is>
          <t>1 pr</t>
        </is>
      </c>
      <c r="M4815" s="12" t="inlineStr">
        <is>
          <t>16</t>
        </is>
      </c>
      <c r="N4815" s="12" t="n">
        <v>20</v>
      </c>
      <c r="O4815" s="12" t="n">
        <v>1</v>
      </c>
      <c r="P4815" s="12" t="n"/>
      <c r="Q4815" s="12" t="n"/>
      <c r="R4815" s="12" t="n"/>
      <c r="S4815" s="12" t="inlineStr">
        <is>
          <t>Tray / conduit</t>
        </is>
      </c>
      <c r="T4815" s="16" t="n">
        <v>72</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I-I-0267</t>
        </is>
      </c>
      <c r="B4816" s="12" t="inlineStr">
        <is>
          <t>I</t>
        </is>
      </c>
      <c r="C4816" s="12" t="inlineStr">
        <is>
          <t>Modular / portable power</t>
        </is>
      </c>
      <c r="D4816" s="12" t="inlineStr">
        <is>
          <t>Home run JB-RICE-2-TC01 to the control / marshalling room</t>
        </is>
      </c>
      <c r="E4816" s="12" t="inlineStr"/>
      <c r="F4816" s="12" t="inlineStr">
        <is>
          <t>PCM: power control module</t>
        </is>
      </c>
      <c r="G4816" s="12" t="inlineStr">
        <is>
          <t>JB-RICE-2-TC01</t>
        </is>
      </c>
      <c r="H4816" s="12" t="inlineStr">
        <is>
          <t>RICE engine-generator 2</t>
        </is>
      </c>
      <c r="I4816" s="12" t="inlineStr">
        <is>
          <t>Instrumentation</t>
        </is>
      </c>
      <c r="J4816" s="12" t="inlineStr">
        <is>
          <t>Thermocouple extension KX, #16 shielded pairs, PLTC</t>
        </is>
      </c>
      <c r="K4816" s="12" t="inlineStr">
        <is>
          <t>TCX|24 pr|16</t>
        </is>
      </c>
      <c r="L4816" s="12" t="inlineStr">
        <is>
          <t>24 pr</t>
        </is>
      </c>
      <c r="M4816" s="12" t="inlineStr">
        <is>
          <t>16</t>
        </is>
      </c>
      <c r="N4816" s="12" t="n">
        <v>1</v>
      </c>
      <c r="O4816" s="12" t="n">
        <v>1</v>
      </c>
      <c r="P4816" s="12" t="n"/>
      <c r="Q4816" s="12" t="n"/>
      <c r="R4816" s="12" t="n"/>
      <c r="S4816" s="12" t="inlineStr">
        <is>
          <t>Duct bank</t>
        </is>
      </c>
      <c r="T4816" s="16" t="n">
        <v>550</v>
      </c>
      <c r="U4816" s="16" t="n">
        <v>109</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I-I-0268</t>
        </is>
      </c>
      <c r="B4817" s="12" t="inlineStr">
        <is>
          <t>I</t>
        </is>
      </c>
      <c r="C4817" s="12" t="inlineStr">
        <is>
          <t>Modular / portable power</t>
        </is>
      </c>
      <c r="D4817" s="12" t="inlineStr">
        <is>
          <t>Thermocouple to TC JB JB-RICE-2-TC02: 10 x 1 pr (field cables)</t>
        </is>
      </c>
      <c r="E4817" s="12" t="inlineStr">
        <is>
          <t>RICE-2</t>
        </is>
      </c>
      <c r="F4817" s="12" t="inlineStr">
        <is>
          <t>RICE engine-generator 2</t>
        </is>
      </c>
      <c r="G4817" s="12" t="inlineStr">
        <is>
          <t>JB-RICE-2-TC02</t>
        </is>
      </c>
      <c r="H4817" s="12" t="inlineStr">
        <is>
          <t>RICE engine-generator 2</t>
        </is>
      </c>
      <c r="I4817" s="12" t="inlineStr">
        <is>
          <t>Instrumentation</t>
        </is>
      </c>
      <c r="J4817" s="12" t="inlineStr">
        <is>
          <t>Thermocouple extension KX, #16 shielded pairs, PLTC</t>
        </is>
      </c>
      <c r="K4817" s="12" t="inlineStr">
        <is>
          <t>TCX|1 pr|16</t>
        </is>
      </c>
      <c r="L4817" s="12" t="inlineStr">
        <is>
          <t>1 pr</t>
        </is>
      </c>
      <c r="M4817" s="12" t="inlineStr">
        <is>
          <t>16</t>
        </is>
      </c>
      <c r="N4817" s="12" t="n">
        <v>10</v>
      </c>
      <c r="O4817" s="12" t="n">
        <v>1</v>
      </c>
      <c r="P4817" s="12" t="n"/>
      <c r="Q4817" s="12" t="n"/>
      <c r="R4817" s="12" t="n"/>
      <c r="S4817" s="12" t="inlineStr">
        <is>
          <t>Tray / conduit</t>
        </is>
      </c>
      <c r="T4817" s="16" t="n">
        <v>72</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I-I-0269</t>
        </is>
      </c>
      <c r="B4818" s="12" t="inlineStr">
        <is>
          <t>I</t>
        </is>
      </c>
      <c r="C4818" s="12" t="inlineStr">
        <is>
          <t>Modular / portable power</t>
        </is>
      </c>
      <c r="D4818" s="12" t="inlineStr">
        <is>
          <t>Home run JB-RICE-2-TC02 to the control / marshalling room</t>
        </is>
      </c>
      <c r="E4818" s="12" t="inlineStr"/>
      <c r="F4818" s="12" t="inlineStr">
        <is>
          <t>PCM: power control module</t>
        </is>
      </c>
      <c r="G4818" s="12" t="inlineStr">
        <is>
          <t>JB-RICE-2-TC02</t>
        </is>
      </c>
      <c r="H4818" s="12" t="inlineStr">
        <is>
          <t>RICE engine-generator 2</t>
        </is>
      </c>
      <c r="I4818" s="12" t="inlineStr">
        <is>
          <t>Instrumentation</t>
        </is>
      </c>
      <c r="J4818" s="12" t="inlineStr">
        <is>
          <t>Thermocouple extension KX, #16 shielded pairs, PLTC</t>
        </is>
      </c>
      <c r="K4818" s="12" t="inlineStr">
        <is>
          <t>TCX|24 pr|16</t>
        </is>
      </c>
      <c r="L4818" s="12" t="inlineStr">
        <is>
          <t>24 pr</t>
        </is>
      </c>
      <c r="M4818" s="12" t="inlineStr">
        <is>
          <t>16</t>
        </is>
      </c>
      <c r="N4818" s="12" t="n">
        <v>1</v>
      </c>
      <c r="O4818" s="12" t="n">
        <v>1</v>
      </c>
      <c r="P4818" s="12" t="n"/>
      <c r="Q4818" s="12" t="n"/>
      <c r="R4818" s="12" t="n"/>
      <c r="S4818" s="12" t="inlineStr">
        <is>
          <t>Duct bank</t>
        </is>
      </c>
      <c r="T4818" s="16" t="n">
        <v>550</v>
      </c>
      <c r="U4818" s="16" t="n">
        <v>109</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I-I-0270</t>
        </is>
      </c>
      <c r="B4819" s="12" t="inlineStr">
        <is>
          <t>I</t>
        </is>
      </c>
      <c r="C4819" s="12" t="inlineStr">
        <is>
          <t>Modular / portable power</t>
        </is>
      </c>
      <c r="D4819" s="12" t="inlineStr">
        <is>
          <t>RTD to JB JB-RICE-2-RTD01: 10 x 1 tri (field cables)</t>
        </is>
      </c>
      <c r="E4819" s="12" t="inlineStr">
        <is>
          <t>RICE-2</t>
        </is>
      </c>
      <c r="F4819" s="12" t="inlineStr">
        <is>
          <t>RICE engine-generator 2</t>
        </is>
      </c>
      <c r="G4819" s="12" t="inlineStr">
        <is>
          <t>JB-RICE-2-RTD01</t>
        </is>
      </c>
      <c r="H4819" s="12" t="inlineStr">
        <is>
          <t>RICE engine-generator 2</t>
        </is>
      </c>
      <c r="I4819" s="12" t="inlineStr">
        <is>
          <t>Instrumentation</t>
        </is>
      </c>
      <c r="J4819" s="12" t="inlineStr">
        <is>
          <t>RTD cable, #18 shielded triads, PLTC</t>
        </is>
      </c>
      <c r="K4819" s="12" t="inlineStr">
        <is>
          <t>RTD|1 tri|18</t>
        </is>
      </c>
      <c r="L4819" s="12" t="inlineStr">
        <is>
          <t>1 tri</t>
        </is>
      </c>
      <c r="M4819" s="12" t="inlineStr">
        <is>
          <t>18</t>
        </is>
      </c>
      <c r="N4819" s="12" t="n">
        <v>10</v>
      </c>
      <c r="O4819" s="12" t="n">
        <v>1</v>
      </c>
      <c r="P4819" s="12" t="n"/>
      <c r="Q4819" s="12" t="n"/>
      <c r="R4819" s="12" t="n"/>
      <c r="S4819" s="12" t="inlineStr">
        <is>
          <t>Tray / conduit</t>
        </is>
      </c>
      <c r="T4819" s="16" t="n">
        <v>72</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I-I-0271</t>
        </is>
      </c>
      <c r="B4820" s="12" t="inlineStr">
        <is>
          <t>I</t>
        </is>
      </c>
      <c r="C4820" s="12" t="inlineStr">
        <is>
          <t>Modular / portable power</t>
        </is>
      </c>
      <c r="D4820" s="12" t="inlineStr">
        <is>
          <t>Home run JB-RICE-2-RTD01 to the control / marshalling room</t>
        </is>
      </c>
      <c r="E4820" s="12" t="inlineStr"/>
      <c r="F4820" s="12" t="inlineStr">
        <is>
          <t>PCM: power control module</t>
        </is>
      </c>
      <c r="G4820" s="12" t="inlineStr">
        <is>
          <t>JB-RICE-2-RTD01</t>
        </is>
      </c>
      <c r="H4820" s="12" t="inlineStr">
        <is>
          <t>RICE engine-generator 2</t>
        </is>
      </c>
      <c r="I4820" s="12" t="inlineStr">
        <is>
          <t>Instrumentation</t>
        </is>
      </c>
      <c r="J4820" s="12" t="inlineStr">
        <is>
          <t>RTD cable, #18 shielded triads, PLTC</t>
        </is>
      </c>
      <c r="K4820" s="12" t="inlineStr">
        <is>
          <t>RTD|12 tri|18</t>
        </is>
      </c>
      <c r="L4820" s="12" t="inlineStr">
        <is>
          <t>12 tri</t>
        </is>
      </c>
      <c r="M4820" s="12" t="inlineStr">
        <is>
          <t>18</t>
        </is>
      </c>
      <c r="N4820" s="12" t="n">
        <v>1</v>
      </c>
      <c r="O4820" s="12" t="n">
        <v>1</v>
      </c>
      <c r="P4820" s="12" t="n"/>
      <c r="Q4820" s="12" t="n"/>
      <c r="R4820" s="12" t="n"/>
      <c r="S4820" s="12" t="inlineStr">
        <is>
          <t>Duct bank</t>
        </is>
      </c>
      <c r="T4820" s="16" t="n">
        <v>550</v>
      </c>
      <c r="U4820" s="16" t="n">
        <v>109</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I-I-0272</t>
        </is>
      </c>
      <c r="B4821" s="12" t="inlineStr">
        <is>
          <t>I</t>
        </is>
      </c>
      <c r="C4821" s="12" t="inlineStr">
        <is>
          <t>Modular / portable power</t>
        </is>
      </c>
      <c r="D4821" s="12" t="inlineStr">
        <is>
          <t>RTD to JB JB-RICE-2-RTD02: 2 x 1 tri (field cables)</t>
        </is>
      </c>
      <c r="E4821" s="12" t="inlineStr">
        <is>
          <t>RICE-2</t>
        </is>
      </c>
      <c r="F4821" s="12" t="inlineStr">
        <is>
          <t>RICE engine-generator 2</t>
        </is>
      </c>
      <c r="G4821" s="12" t="inlineStr">
        <is>
          <t>JB-RICE-2-RTD02</t>
        </is>
      </c>
      <c r="H4821" s="12" t="inlineStr">
        <is>
          <t>RICE engine-generator 2</t>
        </is>
      </c>
      <c r="I4821" s="12" t="inlineStr">
        <is>
          <t>Instrumentation</t>
        </is>
      </c>
      <c r="J4821" s="12" t="inlineStr">
        <is>
          <t>RTD cable, #18 shielded triads, PLTC</t>
        </is>
      </c>
      <c r="K4821" s="12" t="inlineStr">
        <is>
          <t>RTD|1 tri|18</t>
        </is>
      </c>
      <c r="L4821" s="12" t="inlineStr">
        <is>
          <t>1 tri</t>
        </is>
      </c>
      <c r="M4821" s="12" t="inlineStr">
        <is>
          <t>18</t>
        </is>
      </c>
      <c r="N4821" s="12" t="n">
        <v>2</v>
      </c>
      <c r="O4821" s="12" t="n">
        <v>1</v>
      </c>
      <c r="P4821" s="12" t="n"/>
      <c r="Q4821" s="12" t="n"/>
      <c r="R4821" s="12" t="n"/>
      <c r="S4821" s="12" t="inlineStr">
        <is>
          <t>Tray / conduit</t>
        </is>
      </c>
      <c r="T4821" s="16" t="n">
        <v>72</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I-I-0273</t>
        </is>
      </c>
      <c r="B4822" s="12" t="inlineStr">
        <is>
          <t>I</t>
        </is>
      </c>
      <c r="C4822" s="12" t="inlineStr">
        <is>
          <t>Modular / portable power</t>
        </is>
      </c>
      <c r="D4822" s="12" t="inlineStr">
        <is>
          <t>Home run JB-RICE-2-RTD02 to the control / marshalling room</t>
        </is>
      </c>
      <c r="E4822" s="12" t="inlineStr"/>
      <c r="F4822" s="12" t="inlineStr">
        <is>
          <t>PCM: power control module</t>
        </is>
      </c>
      <c r="G4822" s="12" t="inlineStr">
        <is>
          <t>JB-RICE-2-RTD02</t>
        </is>
      </c>
      <c r="H4822" s="12" t="inlineStr">
        <is>
          <t>RICE engine-generator 2</t>
        </is>
      </c>
      <c r="I4822" s="12" t="inlineStr">
        <is>
          <t>Instrumentation</t>
        </is>
      </c>
      <c r="J4822" s="12" t="inlineStr">
        <is>
          <t>RTD cable, #18 shielded triads, PLTC</t>
        </is>
      </c>
      <c r="K4822" s="12" t="inlineStr">
        <is>
          <t>RTD|12 tri|18</t>
        </is>
      </c>
      <c r="L4822" s="12" t="inlineStr">
        <is>
          <t>12 tri</t>
        </is>
      </c>
      <c r="M4822" s="12" t="inlineStr">
        <is>
          <t>18</t>
        </is>
      </c>
      <c r="N4822" s="12" t="n">
        <v>1</v>
      </c>
      <c r="O4822" s="12" t="n">
        <v>1</v>
      </c>
      <c r="P4822" s="12" t="n"/>
      <c r="Q4822" s="12" t="n"/>
      <c r="R4822" s="12" t="n"/>
      <c r="S4822" s="12" t="inlineStr">
        <is>
          <t>Duct bank</t>
        </is>
      </c>
      <c r="T4822" s="16" t="n">
        <v>550</v>
      </c>
      <c r="U4822" s="16" t="n">
        <v>109</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I-I-0274</t>
        </is>
      </c>
      <c r="B4823" s="12" t="inlineStr">
        <is>
          <t>I</t>
        </is>
      </c>
      <c r="C4823" s="12" t="inlineStr">
        <is>
          <t>Modular / portable power</t>
        </is>
      </c>
      <c r="D4823" s="12" t="inlineStr">
        <is>
          <t>Analog instrument to JB JB-RICE-3-AI01: 20 x 1 pr (field cables)</t>
        </is>
      </c>
      <c r="E4823" s="12" t="inlineStr">
        <is>
          <t>RICE-3</t>
        </is>
      </c>
      <c r="F4823" s="12" t="inlineStr">
        <is>
          <t>RICE engine-generator 3</t>
        </is>
      </c>
      <c r="G4823" s="12" t="inlineStr">
        <is>
          <t>JB-RICE-3-AI01</t>
        </is>
      </c>
      <c r="H4823" s="12" t="inlineStr">
        <is>
          <t>RICE engine-generator 3</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72</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I-I-0275</t>
        </is>
      </c>
      <c r="B4824" s="12" t="inlineStr">
        <is>
          <t>I</t>
        </is>
      </c>
      <c r="C4824" s="12" t="inlineStr">
        <is>
          <t>Modular / portable power</t>
        </is>
      </c>
      <c r="D4824" s="12" t="inlineStr">
        <is>
          <t>Home run JB-RICE-3-AI01 to the control / marshalling room</t>
        </is>
      </c>
      <c r="E4824" s="12" t="inlineStr"/>
      <c r="F4824" s="12" t="inlineStr">
        <is>
          <t>PCM: power control module</t>
        </is>
      </c>
      <c r="G4824" s="12" t="inlineStr">
        <is>
          <t>JB-RICE-3-AI01</t>
        </is>
      </c>
      <c r="H4824" s="12" t="inlineStr">
        <is>
          <t>RICE engine-generator 3</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6" t="n">
        <v>550</v>
      </c>
      <c r="U4824" s="16" t="n">
        <v>81</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I-I-0276</t>
        </is>
      </c>
      <c r="B4825" s="12" t="inlineStr">
        <is>
          <t>I</t>
        </is>
      </c>
      <c r="C4825" s="12" t="inlineStr">
        <is>
          <t>Modular / portable power</t>
        </is>
      </c>
      <c r="D4825" s="12" t="inlineStr">
        <is>
          <t>Analog instrument to JB JB-RICE-3-AI02: 20 x 1 pr (field cables)</t>
        </is>
      </c>
      <c r="E4825" s="12" t="inlineStr">
        <is>
          <t>RICE-3</t>
        </is>
      </c>
      <c r="F4825" s="12" t="inlineStr">
        <is>
          <t>RICE engine-generator 3</t>
        </is>
      </c>
      <c r="G4825" s="12" t="inlineStr">
        <is>
          <t>JB-RICE-3-AI02</t>
        </is>
      </c>
      <c r="H4825" s="12" t="inlineStr">
        <is>
          <t>RICE engine-generator 3</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72</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I-I-0277</t>
        </is>
      </c>
      <c r="B4826" s="12" t="inlineStr">
        <is>
          <t>I</t>
        </is>
      </c>
      <c r="C4826" s="12" t="inlineStr">
        <is>
          <t>Modular / portable power</t>
        </is>
      </c>
      <c r="D4826" s="12" t="inlineStr">
        <is>
          <t>Home run JB-RICE-3-AI02 to the control / marshalling room</t>
        </is>
      </c>
      <c r="E4826" s="12" t="inlineStr"/>
      <c r="F4826" s="12" t="inlineStr">
        <is>
          <t>PCM: power control module</t>
        </is>
      </c>
      <c r="G4826" s="12" t="inlineStr">
        <is>
          <t>JB-RICE-3-AI02</t>
        </is>
      </c>
      <c r="H4826" s="12" t="inlineStr">
        <is>
          <t>RICE engine-generator 3</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6" t="n">
        <v>550</v>
      </c>
      <c r="U4826" s="16" t="n">
        <v>81</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I-I-0278</t>
        </is>
      </c>
      <c r="B4827" s="12" t="inlineStr">
        <is>
          <t>I</t>
        </is>
      </c>
      <c r="C4827" s="12" t="inlineStr">
        <is>
          <t>Modular / portable power</t>
        </is>
      </c>
      <c r="D4827" s="12" t="inlineStr">
        <is>
          <t>Analog instrument to JB JB-RICE-3-AI03: 20 x 1 pr (field cables)</t>
        </is>
      </c>
      <c r="E4827" s="12" t="inlineStr">
        <is>
          <t>RICE-3</t>
        </is>
      </c>
      <c r="F4827" s="12" t="inlineStr">
        <is>
          <t>RICE engine-generator 3</t>
        </is>
      </c>
      <c r="G4827" s="12" t="inlineStr">
        <is>
          <t>JB-RICE-3-AI03</t>
        </is>
      </c>
      <c r="H4827" s="12" t="inlineStr">
        <is>
          <t>RICE engine-generator 3</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72</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I-I-0279</t>
        </is>
      </c>
      <c r="B4828" s="12" t="inlineStr">
        <is>
          <t>I</t>
        </is>
      </c>
      <c r="C4828" s="12" t="inlineStr">
        <is>
          <t>Modular / portable power</t>
        </is>
      </c>
      <c r="D4828" s="12" t="inlineStr">
        <is>
          <t>Home run JB-RICE-3-AI03 to the control / marshalling room</t>
        </is>
      </c>
      <c r="E4828" s="12" t="inlineStr"/>
      <c r="F4828" s="12" t="inlineStr">
        <is>
          <t>PCM: power control module</t>
        </is>
      </c>
      <c r="G4828" s="12" t="inlineStr">
        <is>
          <t>JB-RICE-3-AI03</t>
        </is>
      </c>
      <c r="H4828" s="12" t="inlineStr">
        <is>
          <t>RICE engine-generator 3</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Duct bank</t>
        </is>
      </c>
      <c r="T4828" s="16" t="n">
        <v>550</v>
      </c>
      <c r="U4828" s="16" t="n">
        <v>81</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I-I-0280</t>
        </is>
      </c>
      <c r="B4829" s="12" t="inlineStr">
        <is>
          <t>I</t>
        </is>
      </c>
      <c r="C4829" s="12" t="inlineStr">
        <is>
          <t>Modular / portable power</t>
        </is>
      </c>
      <c r="D4829" s="12" t="inlineStr">
        <is>
          <t>Analog instrument to JB JB-RICE-3-AI04: 20 x 1 pr (field cables)</t>
        </is>
      </c>
      <c r="E4829" s="12" t="inlineStr">
        <is>
          <t>RICE-3</t>
        </is>
      </c>
      <c r="F4829" s="12" t="inlineStr">
        <is>
          <t>RICE engine-generator 3</t>
        </is>
      </c>
      <c r="G4829" s="12" t="inlineStr">
        <is>
          <t>JB-RICE-3-AI04</t>
        </is>
      </c>
      <c r="H4829" s="12" t="inlineStr">
        <is>
          <t>RICE engine-generator 3</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72</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I-I-0281</t>
        </is>
      </c>
      <c r="B4830" s="12" t="inlineStr">
        <is>
          <t>I</t>
        </is>
      </c>
      <c r="C4830" s="12" t="inlineStr">
        <is>
          <t>Modular / portable power</t>
        </is>
      </c>
      <c r="D4830" s="12" t="inlineStr">
        <is>
          <t>Home run JB-RICE-3-AI04 to the control / marshalling room</t>
        </is>
      </c>
      <c r="E4830" s="12" t="inlineStr"/>
      <c r="F4830" s="12" t="inlineStr">
        <is>
          <t>PCM: power control module</t>
        </is>
      </c>
      <c r="G4830" s="12" t="inlineStr">
        <is>
          <t>JB-RICE-3-AI04</t>
        </is>
      </c>
      <c r="H4830" s="12" t="inlineStr">
        <is>
          <t>RICE engine-generator 3</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Duct bank</t>
        </is>
      </c>
      <c r="T4830" s="16" t="n">
        <v>550</v>
      </c>
      <c r="U4830" s="16" t="n">
        <v>81</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I-I-0282</t>
        </is>
      </c>
      <c r="B4831" s="12" t="inlineStr">
        <is>
          <t>I</t>
        </is>
      </c>
      <c r="C4831" s="12" t="inlineStr">
        <is>
          <t>Modular / portable power</t>
        </is>
      </c>
      <c r="D4831" s="12" t="inlineStr">
        <is>
          <t>Discrete device to JB JB-RICE-3-DI01: 20 x 1 pr (field cables)</t>
        </is>
      </c>
      <c r="E4831" s="12" t="inlineStr">
        <is>
          <t>RICE-3</t>
        </is>
      </c>
      <c r="F4831" s="12" t="inlineStr">
        <is>
          <t>RICE engine-generator 3</t>
        </is>
      </c>
      <c r="G4831" s="12" t="inlineStr">
        <is>
          <t>JB-RICE-3-DI01</t>
        </is>
      </c>
      <c r="H4831" s="12" t="inlineStr">
        <is>
          <t>RICE engine-generator 3</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72</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I-I-0283</t>
        </is>
      </c>
      <c r="B4832" s="12" t="inlineStr">
        <is>
          <t>I</t>
        </is>
      </c>
      <c r="C4832" s="12" t="inlineStr">
        <is>
          <t>Modular / portable power</t>
        </is>
      </c>
      <c r="D4832" s="12" t="inlineStr">
        <is>
          <t>Home run JB-RICE-3-DI01 to the control / marshalling room</t>
        </is>
      </c>
      <c r="E4832" s="12" t="inlineStr"/>
      <c r="F4832" s="12" t="inlineStr">
        <is>
          <t>PCM: power control module</t>
        </is>
      </c>
      <c r="G4832" s="12" t="inlineStr">
        <is>
          <t>JB-RICE-3-DI01</t>
        </is>
      </c>
      <c r="H4832" s="12" t="inlineStr">
        <is>
          <t>RICE engine-generator 3</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Duct bank</t>
        </is>
      </c>
      <c r="T4832" s="16" t="n">
        <v>550</v>
      </c>
      <c r="U4832" s="16" t="n">
        <v>81</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I-I-0284</t>
        </is>
      </c>
      <c r="B4833" s="12" t="inlineStr">
        <is>
          <t>I</t>
        </is>
      </c>
      <c r="C4833" s="12" t="inlineStr">
        <is>
          <t>Modular / portable power</t>
        </is>
      </c>
      <c r="D4833" s="12" t="inlineStr">
        <is>
          <t>Discrete device to JB JB-RICE-3-DI02: 20 x 1 pr (field cables)</t>
        </is>
      </c>
      <c r="E4833" s="12" t="inlineStr">
        <is>
          <t>RICE-3</t>
        </is>
      </c>
      <c r="F4833" s="12" t="inlineStr">
        <is>
          <t>RICE engine-generator 3</t>
        </is>
      </c>
      <c r="G4833" s="12" t="inlineStr">
        <is>
          <t>JB-RICE-3-DI02</t>
        </is>
      </c>
      <c r="H4833" s="12" t="inlineStr">
        <is>
          <t>RICE engine-generator 3</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6" t="n">
        <v>72</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I-I-0285</t>
        </is>
      </c>
      <c r="B4834" s="12" t="inlineStr">
        <is>
          <t>I</t>
        </is>
      </c>
      <c r="C4834" s="12" t="inlineStr">
        <is>
          <t>Modular / portable power</t>
        </is>
      </c>
      <c r="D4834" s="12" t="inlineStr">
        <is>
          <t>Home run JB-RICE-3-DI02 to the control / marshalling room</t>
        </is>
      </c>
      <c r="E4834" s="12" t="inlineStr"/>
      <c r="F4834" s="12" t="inlineStr">
        <is>
          <t>PCM: power control module</t>
        </is>
      </c>
      <c r="G4834" s="12" t="inlineStr">
        <is>
          <t>JB-RICE-3-DI02</t>
        </is>
      </c>
      <c r="H4834" s="12" t="inlineStr">
        <is>
          <t>RICE engine-generator 3</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Duct bank</t>
        </is>
      </c>
      <c r="T4834" s="16" t="n">
        <v>550</v>
      </c>
      <c r="U4834" s="16" t="n">
        <v>81</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I-I-0286</t>
        </is>
      </c>
      <c r="B4835" s="12" t="inlineStr">
        <is>
          <t>I</t>
        </is>
      </c>
      <c r="C4835" s="12" t="inlineStr">
        <is>
          <t>Modular / portable power</t>
        </is>
      </c>
      <c r="D4835" s="12" t="inlineStr">
        <is>
          <t>Discrete device to JB JB-RICE-3-DI03: 20 x 1 pr (field cables)</t>
        </is>
      </c>
      <c r="E4835" s="12" t="inlineStr">
        <is>
          <t>RICE-3</t>
        </is>
      </c>
      <c r="F4835" s="12" t="inlineStr">
        <is>
          <t>RICE engine-generator 3</t>
        </is>
      </c>
      <c r="G4835" s="12" t="inlineStr">
        <is>
          <t>JB-RICE-3-DI03</t>
        </is>
      </c>
      <c r="H4835" s="12" t="inlineStr">
        <is>
          <t>RICE engine-generator 3</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72</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I-I-0287</t>
        </is>
      </c>
      <c r="B4836" s="12" t="inlineStr">
        <is>
          <t>I</t>
        </is>
      </c>
      <c r="C4836" s="12" t="inlineStr">
        <is>
          <t>Modular / portable power</t>
        </is>
      </c>
      <c r="D4836" s="12" t="inlineStr">
        <is>
          <t>Home run JB-RICE-3-DI03 to the control / marshalling room</t>
        </is>
      </c>
      <c r="E4836" s="12" t="inlineStr"/>
      <c r="F4836" s="12" t="inlineStr">
        <is>
          <t>PCM: power control module</t>
        </is>
      </c>
      <c r="G4836" s="12" t="inlineStr">
        <is>
          <t>JB-RICE-3-DI03</t>
        </is>
      </c>
      <c r="H4836" s="12" t="inlineStr">
        <is>
          <t>RICE engine-generator 3</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Duct bank</t>
        </is>
      </c>
      <c r="T4836" s="16" t="n">
        <v>550</v>
      </c>
      <c r="U4836" s="16" t="n">
        <v>81</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I-I-0288</t>
        </is>
      </c>
      <c r="B4837" s="12" t="inlineStr">
        <is>
          <t>I</t>
        </is>
      </c>
      <c r="C4837" s="12" t="inlineStr">
        <is>
          <t>Modular / portable power</t>
        </is>
      </c>
      <c r="D4837" s="12" t="inlineStr">
        <is>
          <t>Thermocouple to TC JB JB-RICE-3-TC01: 20 x 1 pr (field cables)</t>
        </is>
      </c>
      <c r="E4837" s="12" t="inlineStr">
        <is>
          <t>RICE-3</t>
        </is>
      </c>
      <c r="F4837" s="12" t="inlineStr">
        <is>
          <t>RICE engine-generator 3</t>
        </is>
      </c>
      <c r="G4837" s="12" t="inlineStr">
        <is>
          <t>JB-RICE-3-TC01</t>
        </is>
      </c>
      <c r="H4837" s="12" t="inlineStr">
        <is>
          <t>RICE engine-generator 3</t>
        </is>
      </c>
      <c r="I4837" s="12" t="inlineStr">
        <is>
          <t>Instrumentation</t>
        </is>
      </c>
      <c r="J4837" s="12" t="inlineStr">
        <is>
          <t>Thermocouple extension KX, #16 shielded pairs, PLTC</t>
        </is>
      </c>
      <c r="K4837" s="12" t="inlineStr">
        <is>
          <t>TCX|1 pr|16</t>
        </is>
      </c>
      <c r="L4837" s="12" t="inlineStr">
        <is>
          <t>1 pr</t>
        </is>
      </c>
      <c r="M4837" s="12" t="inlineStr">
        <is>
          <t>16</t>
        </is>
      </c>
      <c r="N4837" s="12" t="n">
        <v>20</v>
      </c>
      <c r="O4837" s="12" t="n">
        <v>1</v>
      </c>
      <c r="P4837" s="12" t="n"/>
      <c r="Q4837" s="12" t="n"/>
      <c r="R4837" s="12" t="n"/>
      <c r="S4837" s="12" t="inlineStr">
        <is>
          <t>Tray / conduit</t>
        </is>
      </c>
      <c r="T4837" s="16" t="n">
        <v>72</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I-I-0289</t>
        </is>
      </c>
      <c r="B4838" s="12" t="inlineStr">
        <is>
          <t>I</t>
        </is>
      </c>
      <c r="C4838" s="12" t="inlineStr">
        <is>
          <t>Modular / portable power</t>
        </is>
      </c>
      <c r="D4838" s="12" t="inlineStr">
        <is>
          <t>Home run JB-RICE-3-TC01 to the control / marshalling room</t>
        </is>
      </c>
      <c r="E4838" s="12" t="inlineStr"/>
      <c r="F4838" s="12" t="inlineStr">
        <is>
          <t>PCM: power control module</t>
        </is>
      </c>
      <c r="G4838" s="12" t="inlineStr">
        <is>
          <t>JB-RICE-3-TC01</t>
        </is>
      </c>
      <c r="H4838" s="12" t="inlineStr">
        <is>
          <t>RICE engine-generator 3</t>
        </is>
      </c>
      <c r="I4838" s="12" t="inlineStr">
        <is>
          <t>Instrumentation</t>
        </is>
      </c>
      <c r="J4838" s="12" t="inlineStr">
        <is>
          <t>Thermocouple extension KX, #16 shielded pairs, PLTC</t>
        </is>
      </c>
      <c r="K4838" s="12" t="inlineStr">
        <is>
          <t>TCX|24 pr|16</t>
        </is>
      </c>
      <c r="L4838" s="12" t="inlineStr">
        <is>
          <t>24 pr</t>
        </is>
      </c>
      <c r="M4838" s="12" t="inlineStr">
        <is>
          <t>16</t>
        </is>
      </c>
      <c r="N4838" s="12" t="n">
        <v>1</v>
      </c>
      <c r="O4838" s="12" t="n">
        <v>1</v>
      </c>
      <c r="P4838" s="12" t="n"/>
      <c r="Q4838" s="12" t="n"/>
      <c r="R4838" s="12" t="n"/>
      <c r="S4838" s="12" t="inlineStr">
        <is>
          <t>Duct bank</t>
        </is>
      </c>
      <c r="T4838" s="16" t="n">
        <v>550</v>
      </c>
      <c r="U4838" s="16" t="n">
        <v>81</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I-I-0290</t>
        </is>
      </c>
      <c r="B4839" s="12" t="inlineStr">
        <is>
          <t>I</t>
        </is>
      </c>
      <c r="C4839" s="12" t="inlineStr">
        <is>
          <t>Modular / portable power</t>
        </is>
      </c>
      <c r="D4839" s="12" t="inlineStr">
        <is>
          <t>Thermocouple to TC JB JB-RICE-3-TC02: 10 x 1 pr (field cables)</t>
        </is>
      </c>
      <c r="E4839" s="12" t="inlineStr">
        <is>
          <t>RICE-3</t>
        </is>
      </c>
      <c r="F4839" s="12" t="inlineStr">
        <is>
          <t>RICE engine-generator 3</t>
        </is>
      </c>
      <c r="G4839" s="12" t="inlineStr">
        <is>
          <t>JB-RICE-3-TC02</t>
        </is>
      </c>
      <c r="H4839" s="12" t="inlineStr">
        <is>
          <t>RICE engine-generator 3</t>
        </is>
      </c>
      <c r="I4839" s="12" t="inlineStr">
        <is>
          <t>Instrumentation</t>
        </is>
      </c>
      <c r="J4839" s="12" t="inlineStr">
        <is>
          <t>Thermocouple extension KX, #16 shielded pairs, PLTC</t>
        </is>
      </c>
      <c r="K4839" s="12" t="inlineStr">
        <is>
          <t>TCX|1 pr|16</t>
        </is>
      </c>
      <c r="L4839" s="12" t="inlineStr">
        <is>
          <t>1 pr</t>
        </is>
      </c>
      <c r="M4839" s="12" t="inlineStr">
        <is>
          <t>16</t>
        </is>
      </c>
      <c r="N4839" s="12" t="n">
        <v>10</v>
      </c>
      <c r="O4839" s="12" t="n">
        <v>1</v>
      </c>
      <c r="P4839" s="12" t="n"/>
      <c r="Q4839" s="12" t="n"/>
      <c r="R4839" s="12" t="n"/>
      <c r="S4839" s="12" t="inlineStr">
        <is>
          <t>Tray / conduit</t>
        </is>
      </c>
      <c r="T4839" s="16" t="n">
        <v>72</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I-I-0291</t>
        </is>
      </c>
      <c r="B4840" s="12" t="inlineStr">
        <is>
          <t>I</t>
        </is>
      </c>
      <c r="C4840" s="12" t="inlineStr">
        <is>
          <t>Modular / portable power</t>
        </is>
      </c>
      <c r="D4840" s="12" t="inlineStr">
        <is>
          <t>Home run JB-RICE-3-TC02 to the control / marshalling room</t>
        </is>
      </c>
      <c r="E4840" s="12" t="inlineStr"/>
      <c r="F4840" s="12" t="inlineStr">
        <is>
          <t>PCM: power control module</t>
        </is>
      </c>
      <c r="G4840" s="12" t="inlineStr">
        <is>
          <t>JB-RICE-3-TC02</t>
        </is>
      </c>
      <c r="H4840" s="12" t="inlineStr">
        <is>
          <t>RICE engine-generator 3</t>
        </is>
      </c>
      <c r="I4840" s="12" t="inlineStr">
        <is>
          <t>Instrumentation</t>
        </is>
      </c>
      <c r="J4840" s="12" t="inlineStr">
        <is>
          <t>Thermocouple extension KX, #16 shielded pairs, PLTC</t>
        </is>
      </c>
      <c r="K4840" s="12" t="inlineStr">
        <is>
          <t>TCX|24 pr|16</t>
        </is>
      </c>
      <c r="L4840" s="12" t="inlineStr">
        <is>
          <t>24 pr</t>
        </is>
      </c>
      <c r="M4840" s="12" t="inlineStr">
        <is>
          <t>16</t>
        </is>
      </c>
      <c r="N4840" s="12" t="n">
        <v>1</v>
      </c>
      <c r="O4840" s="12" t="n">
        <v>1</v>
      </c>
      <c r="P4840" s="12" t="n"/>
      <c r="Q4840" s="12" t="n"/>
      <c r="R4840" s="12" t="n"/>
      <c r="S4840" s="12" t="inlineStr">
        <is>
          <t>Duct bank</t>
        </is>
      </c>
      <c r="T4840" s="16" t="n">
        <v>550</v>
      </c>
      <c r="U4840" s="16" t="n">
        <v>81</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I-I-0292</t>
        </is>
      </c>
      <c r="B4841" s="12" t="inlineStr">
        <is>
          <t>I</t>
        </is>
      </c>
      <c r="C4841" s="12" t="inlineStr">
        <is>
          <t>Modular / portable power</t>
        </is>
      </c>
      <c r="D4841" s="12" t="inlineStr">
        <is>
          <t>RTD to JB JB-RICE-3-RTD01: 10 x 1 tri (field cables)</t>
        </is>
      </c>
      <c r="E4841" s="12" t="inlineStr">
        <is>
          <t>RICE-3</t>
        </is>
      </c>
      <c r="F4841" s="12" t="inlineStr">
        <is>
          <t>RICE engine-generator 3</t>
        </is>
      </c>
      <c r="G4841" s="12" t="inlineStr">
        <is>
          <t>JB-RICE-3-RTD01</t>
        </is>
      </c>
      <c r="H4841" s="12" t="inlineStr">
        <is>
          <t>RICE engine-generator 3</t>
        </is>
      </c>
      <c r="I4841" s="12" t="inlineStr">
        <is>
          <t>Instrumentation</t>
        </is>
      </c>
      <c r="J4841" s="12" t="inlineStr">
        <is>
          <t>RTD cable, #18 shielded triads, PLTC</t>
        </is>
      </c>
      <c r="K4841" s="12" t="inlineStr">
        <is>
          <t>RTD|1 tri|18</t>
        </is>
      </c>
      <c r="L4841" s="12" t="inlineStr">
        <is>
          <t>1 tri</t>
        </is>
      </c>
      <c r="M4841" s="12" t="inlineStr">
        <is>
          <t>18</t>
        </is>
      </c>
      <c r="N4841" s="12" t="n">
        <v>10</v>
      </c>
      <c r="O4841" s="12" t="n">
        <v>1</v>
      </c>
      <c r="P4841" s="12" t="n"/>
      <c r="Q4841" s="12" t="n"/>
      <c r="R4841" s="12" t="n"/>
      <c r="S4841" s="12" t="inlineStr">
        <is>
          <t>Tray / conduit</t>
        </is>
      </c>
      <c r="T4841" s="16" t="n">
        <v>72</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I-I-0293</t>
        </is>
      </c>
      <c r="B4842" s="12" t="inlineStr">
        <is>
          <t>I</t>
        </is>
      </c>
      <c r="C4842" s="12" t="inlineStr">
        <is>
          <t>Modular / portable power</t>
        </is>
      </c>
      <c r="D4842" s="12" t="inlineStr">
        <is>
          <t>Home run JB-RICE-3-RTD01 to the control / marshalling room</t>
        </is>
      </c>
      <c r="E4842" s="12" t="inlineStr"/>
      <c r="F4842" s="12" t="inlineStr">
        <is>
          <t>PCM: power control module</t>
        </is>
      </c>
      <c r="G4842" s="12" t="inlineStr">
        <is>
          <t>JB-RICE-3-RTD01</t>
        </is>
      </c>
      <c r="H4842" s="12" t="inlineStr">
        <is>
          <t>RICE engine-generator 3</t>
        </is>
      </c>
      <c r="I4842" s="12" t="inlineStr">
        <is>
          <t>Instrumentation</t>
        </is>
      </c>
      <c r="J4842" s="12" t="inlineStr">
        <is>
          <t>RTD cable, #18 shielded triads, PLTC</t>
        </is>
      </c>
      <c r="K4842" s="12" t="inlineStr">
        <is>
          <t>RTD|12 tri|18</t>
        </is>
      </c>
      <c r="L4842" s="12" t="inlineStr">
        <is>
          <t>12 tri</t>
        </is>
      </c>
      <c r="M4842" s="12" t="inlineStr">
        <is>
          <t>18</t>
        </is>
      </c>
      <c r="N4842" s="12" t="n">
        <v>1</v>
      </c>
      <c r="O4842" s="12" t="n">
        <v>1</v>
      </c>
      <c r="P4842" s="12" t="n"/>
      <c r="Q4842" s="12" t="n"/>
      <c r="R4842" s="12" t="n"/>
      <c r="S4842" s="12" t="inlineStr">
        <is>
          <t>Duct bank</t>
        </is>
      </c>
      <c r="T4842" s="16" t="n">
        <v>550</v>
      </c>
      <c r="U4842" s="16" t="n">
        <v>81</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I-I-0294</t>
        </is>
      </c>
      <c r="B4843" s="12" t="inlineStr">
        <is>
          <t>I</t>
        </is>
      </c>
      <c r="C4843" s="12" t="inlineStr">
        <is>
          <t>Modular / portable power</t>
        </is>
      </c>
      <c r="D4843" s="12" t="inlineStr">
        <is>
          <t>RTD to JB JB-RICE-3-RTD02: 2 x 1 tri (field cables)</t>
        </is>
      </c>
      <c r="E4843" s="12" t="inlineStr">
        <is>
          <t>RICE-3</t>
        </is>
      </c>
      <c r="F4843" s="12" t="inlineStr">
        <is>
          <t>RICE engine-generator 3</t>
        </is>
      </c>
      <c r="G4843" s="12" t="inlineStr">
        <is>
          <t>JB-RICE-3-RTD02</t>
        </is>
      </c>
      <c r="H4843" s="12" t="inlineStr">
        <is>
          <t>RICE engine-generator 3</t>
        </is>
      </c>
      <c r="I4843" s="12" t="inlineStr">
        <is>
          <t>Instrumentation</t>
        </is>
      </c>
      <c r="J4843" s="12" t="inlineStr">
        <is>
          <t>RTD cable, #18 shielded triads, PLTC</t>
        </is>
      </c>
      <c r="K4843" s="12" t="inlineStr">
        <is>
          <t>RTD|1 tri|18</t>
        </is>
      </c>
      <c r="L4843" s="12" t="inlineStr">
        <is>
          <t>1 tri</t>
        </is>
      </c>
      <c r="M4843" s="12" t="inlineStr">
        <is>
          <t>18</t>
        </is>
      </c>
      <c r="N4843" s="12" t="n">
        <v>2</v>
      </c>
      <c r="O4843" s="12" t="n">
        <v>1</v>
      </c>
      <c r="P4843" s="12" t="n"/>
      <c r="Q4843" s="12" t="n"/>
      <c r="R4843" s="12" t="n"/>
      <c r="S4843" s="12" t="inlineStr">
        <is>
          <t>Tray / conduit</t>
        </is>
      </c>
      <c r="T4843" s="16" t="n">
        <v>72</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I-I-0295</t>
        </is>
      </c>
      <c r="B4844" s="12" t="inlineStr">
        <is>
          <t>I</t>
        </is>
      </c>
      <c r="C4844" s="12" t="inlineStr">
        <is>
          <t>Modular / portable power</t>
        </is>
      </c>
      <c r="D4844" s="12" t="inlineStr">
        <is>
          <t>Home run JB-RICE-3-RTD02 to the control / marshalling room</t>
        </is>
      </c>
      <c r="E4844" s="12" t="inlineStr"/>
      <c r="F4844" s="12" t="inlineStr">
        <is>
          <t>PCM: power control module</t>
        </is>
      </c>
      <c r="G4844" s="12" t="inlineStr">
        <is>
          <t>JB-RICE-3-RTD02</t>
        </is>
      </c>
      <c r="H4844" s="12" t="inlineStr">
        <is>
          <t>RICE engine-generator 3</t>
        </is>
      </c>
      <c r="I4844" s="12" t="inlineStr">
        <is>
          <t>Instrumentation</t>
        </is>
      </c>
      <c r="J4844" s="12" t="inlineStr">
        <is>
          <t>RTD cable, #18 shielded triads, PLTC</t>
        </is>
      </c>
      <c r="K4844" s="12" t="inlineStr">
        <is>
          <t>RTD|12 tri|18</t>
        </is>
      </c>
      <c r="L4844" s="12" t="inlineStr">
        <is>
          <t>12 tri</t>
        </is>
      </c>
      <c r="M4844" s="12" t="inlineStr">
        <is>
          <t>18</t>
        </is>
      </c>
      <c r="N4844" s="12" t="n">
        <v>1</v>
      </c>
      <c r="O4844" s="12" t="n">
        <v>1</v>
      </c>
      <c r="P4844" s="12" t="n"/>
      <c r="Q4844" s="12" t="n"/>
      <c r="R4844" s="12" t="n"/>
      <c r="S4844" s="12" t="inlineStr">
        <is>
          <t>Duct bank</t>
        </is>
      </c>
      <c r="T4844" s="16" t="n">
        <v>550</v>
      </c>
      <c r="U4844" s="16" t="n">
        <v>81</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I-I-0296</t>
        </is>
      </c>
      <c r="B4845" s="12" t="inlineStr">
        <is>
          <t>I</t>
        </is>
      </c>
      <c r="C4845" s="12" t="inlineStr">
        <is>
          <t>Modular / portable power</t>
        </is>
      </c>
      <c r="D4845" s="12" t="inlineStr">
        <is>
          <t>Analog instrument to JB JB-RICE-4-AI01: 20 x 1 pr (field cables)</t>
        </is>
      </c>
      <c r="E4845" s="12" t="inlineStr">
        <is>
          <t>RICE-4</t>
        </is>
      </c>
      <c r="F4845" s="12" t="inlineStr">
        <is>
          <t>RICE engine-generator 4</t>
        </is>
      </c>
      <c r="G4845" s="12" t="inlineStr">
        <is>
          <t>JB-RICE-4-AI01</t>
        </is>
      </c>
      <c r="H4845" s="12" t="inlineStr">
        <is>
          <t>RICE engine-generator 4</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6" t="n">
        <v>72</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I-I-0297</t>
        </is>
      </c>
      <c r="B4846" s="12" t="inlineStr">
        <is>
          <t>I</t>
        </is>
      </c>
      <c r="C4846" s="12" t="inlineStr">
        <is>
          <t>Modular / portable power</t>
        </is>
      </c>
      <c r="D4846" s="12" t="inlineStr">
        <is>
          <t>Home run JB-RICE-4-AI01 to the control / marshalling room</t>
        </is>
      </c>
      <c r="E4846" s="12" t="inlineStr"/>
      <c r="F4846" s="12" t="inlineStr">
        <is>
          <t>PCM: power control module</t>
        </is>
      </c>
      <c r="G4846" s="12" t="inlineStr">
        <is>
          <t>JB-RICE-4-AI01</t>
        </is>
      </c>
      <c r="H4846" s="12" t="inlineStr">
        <is>
          <t>RICE engine-generator 4</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6" t="n">
        <v>550</v>
      </c>
      <c r="U4846" s="16" t="n">
        <v>53</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I-I-0298</t>
        </is>
      </c>
      <c r="B4847" s="12" t="inlineStr">
        <is>
          <t>I</t>
        </is>
      </c>
      <c r="C4847" s="12" t="inlineStr">
        <is>
          <t>Modular / portable power</t>
        </is>
      </c>
      <c r="D4847" s="12" t="inlineStr">
        <is>
          <t>Analog instrument to JB JB-RICE-4-AI02: 20 x 1 pr (field cables)</t>
        </is>
      </c>
      <c r="E4847" s="12" t="inlineStr">
        <is>
          <t>RICE-4</t>
        </is>
      </c>
      <c r="F4847" s="12" t="inlineStr">
        <is>
          <t>RICE engine-generator 4</t>
        </is>
      </c>
      <c r="G4847" s="12" t="inlineStr">
        <is>
          <t>JB-RICE-4-AI02</t>
        </is>
      </c>
      <c r="H4847" s="12" t="inlineStr">
        <is>
          <t>RICE engine-generator 4</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6" t="n">
        <v>72</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I-I-0299</t>
        </is>
      </c>
      <c r="B4848" s="12" t="inlineStr">
        <is>
          <t>I</t>
        </is>
      </c>
      <c r="C4848" s="12" t="inlineStr">
        <is>
          <t>Modular / portable power</t>
        </is>
      </c>
      <c r="D4848" s="12" t="inlineStr">
        <is>
          <t>Home run JB-RICE-4-AI02 to the control / marshalling room</t>
        </is>
      </c>
      <c r="E4848" s="12" t="inlineStr"/>
      <c r="F4848" s="12" t="inlineStr">
        <is>
          <t>PCM: power control module</t>
        </is>
      </c>
      <c r="G4848" s="12" t="inlineStr">
        <is>
          <t>JB-RICE-4-AI02</t>
        </is>
      </c>
      <c r="H4848" s="12" t="inlineStr">
        <is>
          <t>RICE engine-generator 4</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6" t="n">
        <v>550</v>
      </c>
      <c r="U4848" s="16" t="n">
        <v>53</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I-I-0300</t>
        </is>
      </c>
      <c r="B4849" s="12" t="inlineStr">
        <is>
          <t>I</t>
        </is>
      </c>
      <c r="C4849" s="12" t="inlineStr">
        <is>
          <t>Modular / portable power</t>
        </is>
      </c>
      <c r="D4849" s="12" t="inlineStr">
        <is>
          <t>Analog instrument to JB JB-RICE-4-AI03: 20 x 1 pr (field cables)</t>
        </is>
      </c>
      <c r="E4849" s="12" t="inlineStr">
        <is>
          <t>RICE-4</t>
        </is>
      </c>
      <c r="F4849" s="12" t="inlineStr">
        <is>
          <t>RICE engine-generator 4</t>
        </is>
      </c>
      <c r="G4849" s="12" t="inlineStr">
        <is>
          <t>JB-RICE-4-AI03</t>
        </is>
      </c>
      <c r="H4849" s="12" t="inlineStr">
        <is>
          <t>RICE engine-generator 4</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6" t="n">
        <v>72</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I-I-0301</t>
        </is>
      </c>
      <c r="B4850" s="12" t="inlineStr">
        <is>
          <t>I</t>
        </is>
      </c>
      <c r="C4850" s="12" t="inlineStr">
        <is>
          <t>Modular / portable power</t>
        </is>
      </c>
      <c r="D4850" s="12" t="inlineStr">
        <is>
          <t>Home run JB-RICE-4-AI03 to the control / marshalling room</t>
        </is>
      </c>
      <c r="E4850" s="12" t="inlineStr"/>
      <c r="F4850" s="12" t="inlineStr">
        <is>
          <t>PCM: power control module</t>
        </is>
      </c>
      <c r="G4850" s="12" t="inlineStr">
        <is>
          <t>JB-RICE-4-AI03</t>
        </is>
      </c>
      <c r="H4850" s="12" t="inlineStr">
        <is>
          <t>RICE engine-generator 4</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Duct bank</t>
        </is>
      </c>
      <c r="T4850" s="16" t="n">
        <v>550</v>
      </c>
      <c r="U4850" s="16" t="n">
        <v>53</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I-I-0302</t>
        </is>
      </c>
      <c r="B4851" s="12" t="inlineStr">
        <is>
          <t>I</t>
        </is>
      </c>
      <c r="C4851" s="12" t="inlineStr">
        <is>
          <t>Modular / portable power</t>
        </is>
      </c>
      <c r="D4851" s="12" t="inlineStr">
        <is>
          <t>Analog instrument to JB JB-RICE-4-AI04: 20 x 1 pr (field cables)</t>
        </is>
      </c>
      <c r="E4851" s="12" t="inlineStr">
        <is>
          <t>RICE-4</t>
        </is>
      </c>
      <c r="F4851" s="12" t="inlineStr">
        <is>
          <t>RICE engine-generator 4</t>
        </is>
      </c>
      <c r="G4851" s="12" t="inlineStr">
        <is>
          <t>JB-RICE-4-AI04</t>
        </is>
      </c>
      <c r="H4851" s="12" t="inlineStr">
        <is>
          <t>RICE engine-generator 4</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6" t="n">
        <v>72</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I-I-0303</t>
        </is>
      </c>
      <c r="B4852" s="12" t="inlineStr">
        <is>
          <t>I</t>
        </is>
      </c>
      <c r="C4852" s="12" t="inlineStr">
        <is>
          <t>Modular / portable power</t>
        </is>
      </c>
      <c r="D4852" s="12" t="inlineStr">
        <is>
          <t>Home run JB-RICE-4-AI04 to the control / marshalling room</t>
        </is>
      </c>
      <c r="E4852" s="12" t="inlineStr"/>
      <c r="F4852" s="12" t="inlineStr">
        <is>
          <t>PCM: power control module</t>
        </is>
      </c>
      <c r="G4852" s="12" t="inlineStr">
        <is>
          <t>JB-RICE-4-AI04</t>
        </is>
      </c>
      <c r="H4852" s="12" t="inlineStr">
        <is>
          <t>RICE engine-generator 4</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Duct bank</t>
        </is>
      </c>
      <c r="T4852" s="16" t="n">
        <v>550</v>
      </c>
      <c r="U4852" s="16" t="n">
        <v>53</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I-I-0304</t>
        </is>
      </c>
      <c r="B4853" s="12" t="inlineStr">
        <is>
          <t>I</t>
        </is>
      </c>
      <c r="C4853" s="12" t="inlineStr">
        <is>
          <t>Modular / portable power</t>
        </is>
      </c>
      <c r="D4853" s="12" t="inlineStr">
        <is>
          <t>Discrete device to JB JB-RICE-4-DI01: 20 x 1 pr (field cables)</t>
        </is>
      </c>
      <c r="E4853" s="12" t="inlineStr">
        <is>
          <t>RICE-4</t>
        </is>
      </c>
      <c r="F4853" s="12" t="inlineStr">
        <is>
          <t>RICE engine-generator 4</t>
        </is>
      </c>
      <c r="G4853" s="12" t="inlineStr">
        <is>
          <t>JB-RICE-4-DI01</t>
        </is>
      </c>
      <c r="H4853" s="12" t="inlineStr">
        <is>
          <t>RICE engine-generator 4</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20</v>
      </c>
      <c r="O4853" s="12" t="n">
        <v>1</v>
      </c>
      <c r="P4853" s="12" t="n"/>
      <c r="Q4853" s="12" t="n"/>
      <c r="R4853" s="12" t="n"/>
      <c r="S4853" s="12" t="inlineStr">
        <is>
          <t>Tray / conduit</t>
        </is>
      </c>
      <c r="T4853" s="16" t="n">
        <v>72</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I-I-0305</t>
        </is>
      </c>
      <c r="B4854" s="12" t="inlineStr">
        <is>
          <t>I</t>
        </is>
      </c>
      <c r="C4854" s="12" t="inlineStr">
        <is>
          <t>Modular / portable power</t>
        </is>
      </c>
      <c r="D4854" s="12" t="inlineStr">
        <is>
          <t>Home run JB-RICE-4-DI01 to the control / marshalling room</t>
        </is>
      </c>
      <c r="E4854" s="12" t="inlineStr"/>
      <c r="F4854" s="12" t="inlineStr">
        <is>
          <t>PCM: power control module</t>
        </is>
      </c>
      <c r="G4854" s="12" t="inlineStr">
        <is>
          <t>JB-RICE-4-DI01</t>
        </is>
      </c>
      <c r="H4854" s="12" t="inlineStr">
        <is>
          <t>RICE engine-generator 4</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6" t="n">
        <v>550</v>
      </c>
      <c r="U4854" s="16" t="n">
        <v>53</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I-I-0306</t>
        </is>
      </c>
      <c r="B4855" s="12" t="inlineStr">
        <is>
          <t>I</t>
        </is>
      </c>
      <c r="C4855" s="12" t="inlineStr">
        <is>
          <t>Modular / portable power</t>
        </is>
      </c>
      <c r="D4855" s="12" t="inlineStr">
        <is>
          <t>Discrete device to JB JB-RICE-4-DI02: 20 x 1 pr (field cables)</t>
        </is>
      </c>
      <c r="E4855" s="12" t="inlineStr">
        <is>
          <t>RICE-4</t>
        </is>
      </c>
      <c r="F4855" s="12" t="inlineStr">
        <is>
          <t>RICE engine-generator 4</t>
        </is>
      </c>
      <c r="G4855" s="12" t="inlineStr">
        <is>
          <t>JB-RICE-4-DI02</t>
        </is>
      </c>
      <c r="H4855" s="12" t="inlineStr">
        <is>
          <t>RICE engine-generator 4</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6" t="n">
        <v>72</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I-I-0307</t>
        </is>
      </c>
      <c r="B4856" s="12" t="inlineStr">
        <is>
          <t>I</t>
        </is>
      </c>
      <c r="C4856" s="12" t="inlineStr">
        <is>
          <t>Modular / portable power</t>
        </is>
      </c>
      <c r="D4856" s="12" t="inlineStr">
        <is>
          <t>Home run JB-RICE-4-DI02 to the control / marshalling room</t>
        </is>
      </c>
      <c r="E4856" s="12" t="inlineStr"/>
      <c r="F4856" s="12" t="inlineStr">
        <is>
          <t>PCM: power control module</t>
        </is>
      </c>
      <c r="G4856" s="12" t="inlineStr">
        <is>
          <t>JB-RICE-4-DI02</t>
        </is>
      </c>
      <c r="H4856" s="12" t="inlineStr">
        <is>
          <t>RICE engine-generator 4</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6" t="n">
        <v>550</v>
      </c>
      <c r="U4856" s="16" t="n">
        <v>53</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I-I-0308</t>
        </is>
      </c>
      <c r="B4857" s="12" t="inlineStr">
        <is>
          <t>I</t>
        </is>
      </c>
      <c r="C4857" s="12" t="inlineStr">
        <is>
          <t>Modular / portable power</t>
        </is>
      </c>
      <c r="D4857" s="12" t="inlineStr">
        <is>
          <t>Discrete device to JB JB-RICE-4-DI03: 20 x 1 pr (field cables)</t>
        </is>
      </c>
      <c r="E4857" s="12" t="inlineStr">
        <is>
          <t>RICE-4</t>
        </is>
      </c>
      <c r="F4857" s="12" t="inlineStr">
        <is>
          <t>RICE engine-generator 4</t>
        </is>
      </c>
      <c r="G4857" s="12" t="inlineStr">
        <is>
          <t>JB-RICE-4-DI03</t>
        </is>
      </c>
      <c r="H4857" s="12" t="inlineStr">
        <is>
          <t>RICE engine-generator 4</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6" t="n">
        <v>72</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I-I-0309</t>
        </is>
      </c>
      <c r="B4858" s="12" t="inlineStr">
        <is>
          <t>I</t>
        </is>
      </c>
      <c r="C4858" s="12" t="inlineStr">
        <is>
          <t>Modular / portable power</t>
        </is>
      </c>
      <c r="D4858" s="12" t="inlineStr">
        <is>
          <t>Home run JB-RICE-4-DI03 to the control / marshalling room</t>
        </is>
      </c>
      <c r="E4858" s="12" t="inlineStr"/>
      <c r="F4858" s="12" t="inlineStr">
        <is>
          <t>PCM: power control module</t>
        </is>
      </c>
      <c r="G4858" s="12" t="inlineStr">
        <is>
          <t>JB-RICE-4-DI03</t>
        </is>
      </c>
      <c r="H4858" s="12" t="inlineStr">
        <is>
          <t>RICE engine-generator 4</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550</v>
      </c>
      <c r="U4858" s="16" t="n">
        <v>53</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I-I-0310</t>
        </is>
      </c>
      <c r="B4859" s="12" t="inlineStr">
        <is>
          <t>I</t>
        </is>
      </c>
      <c r="C4859" s="12" t="inlineStr">
        <is>
          <t>Modular / portable power</t>
        </is>
      </c>
      <c r="D4859" s="12" t="inlineStr">
        <is>
          <t>Thermocouple to TC JB JB-RICE-4-TC01: 20 x 1 pr (field cables)</t>
        </is>
      </c>
      <c r="E4859" s="12" t="inlineStr">
        <is>
          <t>RICE-4</t>
        </is>
      </c>
      <c r="F4859" s="12" t="inlineStr">
        <is>
          <t>RICE engine-generator 4</t>
        </is>
      </c>
      <c r="G4859" s="12" t="inlineStr">
        <is>
          <t>JB-RICE-4-TC01</t>
        </is>
      </c>
      <c r="H4859" s="12" t="inlineStr">
        <is>
          <t>RICE engine-generator 4</t>
        </is>
      </c>
      <c r="I4859" s="12" t="inlineStr">
        <is>
          <t>Instrumentation</t>
        </is>
      </c>
      <c r="J4859" s="12" t="inlineStr">
        <is>
          <t>Thermocouple extension KX, #16 shielded pairs, PLTC</t>
        </is>
      </c>
      <c r="K4859" s="12" t="inlineStr">
        <is>
          <t>TCX|1 pr|16</t>
        </is>
      </c>
      <c r="L4859" s="12" t="inlineStr">
        <is>
          <t>1 pr</t>
        </is>
      </c>
      <c r="M4859" s="12" t="inlineStr">
        <is>
          <t>16</t>
        </is>
      </c>
      <c r="N4859" s="12" t="n">
        <v>20</v>
      </c>
      <c r="O4859" s="12" t="n">
        <v>1</v>
      </c>
      <c r="P4859" s="12" t="n"/>
      <c r="Q4859" s="12" t="n"/>
      <c r="R4859" s="12" t="n"/>
      <c r="S4859" s="12" t="inlineStr">
        <is>
          <t>Tray / conduit</t>
        </is>
      </c>
      <c r="T4859" s="16" t="n">
        <v>72</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I-I-0311</t>
        </is>
      </c>
      <c r="B4860" s="12" t="inlineStr">
        <is>
          <t>I</t>
        </is>
      </c>
      <c r="C4860" s="12" t="inlineStr">
        <is>
          <t>Modular / portable power</t>
        </is>
      </c>
      <c r="D4860" s="12" t="inlineStr">
        <is>
          <t>Home run JB-RICE-4-TC01 to the control / marshalling room</t>
        </is>
      </c>
      <c r="E4860" s="12" t="inlineStr"/>
      <c r="F4860" s="12" t="inlineStr">
        <is>
          <t>PCM: power control module</t>
        </is>
      </c>
      <c r="G4860" s="12" t="inlineStr">
        <is>
          <t>JB-RICE-4-TC01</t>
        </is>
      </c>
      <c r="H4860" s="12" t="inlineStr">
        <is>
          <t>RICE engine-generator 4</t>
        </is>
      </c>
      <c r="I4860" s="12" t="inlineStr">
        <is>
          <t>Instrumentation</t>
        </is>
      </c>
      <c r="J4860" s="12" t="inlineStr">
        <is>
          <t>Thermocouple extension KX, #16 shielded pairs, PLTC</t>
        </is>
      </c>
      <c r="K4860" s="12" t="inlineStr">
        <is>
          <t>TCX|24 pr|16</t>
        </is>
      </c>
      <c r="L4860" s="12" t="inlineStr">
        <is>
          <t>24 pr</t>
        </is>
      </c>
      <c r="M4860" s="12" t="inlineStr">
        <is>
          <t>16</t>
        </is>
      </c>
      <c r="N4860" s="12" t="n">
        <v>1</v>
      </c>
      <c r="O4860" s="12" t="n">
        <v>1</v>
      </c>
      <c r="P4860" s="12" t="n"/>
      <c r="Q4860" s="12" t="n"/>
      <c r="R4860" s="12" t="n"/>
      <c r="S4860" s="12" t="inlineStr">
        <is>
          <t>Duct bank</t>
        </is>
      </c>
      <c r="T4860" s="16" t="n">
        <v>550</v>
      </c>
      <c r="U4860" s="16" t="n">
        <v>53</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I-I-0312</t>
        </is>
      </c>
      <c r="B4861" s="12" t="inlineStr">
        <is>
          <t>I</t>
        </is>
      </c>
      <c r="C4861" s="12" t="inlineStr">
        <is>
          <t>Modular / portable power</t>
        </is>
      </c>
      <c r="D4861" s="12" t="inlineStr">
        <is>
          <t>Thermocouple to TC JB JB-RICE-4-TC02: 10 x 1 pr (field cables)</t>
        </is>
      </c>
      <c r="E4861" s="12" t="inlineStr">
        <is>
          <t>RICE-4</t>
        </is>
      </c>
      <c r="F4861" s="12" t="inlineStr">
        <is>
          <t>RICE engine-generator 4</t>
        </is>
      </c>
      <c r="G4861" s="12" t="inlineStr">
        <is>
          <t>JB-RICE-4-TC02</t>
        </is>
      </c>
      <c r="H4861" s="12" t="inlineStr">
        <is>
          <t>RICE engine-generator 4</t>
        </is>
      </c>
      <c r="I4861" s="12" t="inlineStr">
        <is>
          <t>Instrumentation</t>
        </is>
      </c>
      <c r="J4861" s="12" t="inlineStr">
        <is>
          <t>Thermocouple extension KX, #16 shielded pairs, PLTC</t>
        </is>
      </c>
      <c r="K4861" s="12" t="inlineStr">
        <is>
          <t>TCX|1 pr|16</t>
        </is>
      </c>
      <c r="L4861" s="12" t="inlineStr">
        <is>
          <t>1 pr</t>
        </is>
      </c>
      <c r="M4861" s="12" t="inlineStr">
        <is>
          <t>16</t>
        </is>
      </c>
      <c r="N4861" s="12" t="n">
        <v>10</v>
      </c>
      <c r="O4861" s="12" t="n">
        <v>1</v>
      </c>
      <c r="P4861" s="12" t="n"/>
      <c r="Q4861" s="12" t="n"/>
      <c r="R4861" s="12" t="n"/>
      <c r="S4861" s="12" t="inlineStr">
        <is>
          <t>Tray / conduit</t>
        </is>
      </c>
      <c r="T4861" s="16" t="n">
        <v>72</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I-I-0313</t>
        </is>
      </c>
      <c r="B4862" s="12" t="inlineStr">
        <is>
          <t>I</t>
        </is>
      </c>
      <c r="C4862" s="12" t="inlineStr">
        <is>
          <t>Modular / portable power</t>
        </is>
      </c>
      <c r="D4862" s="12" t="inlineStr">
        <is>
          <t>Home run JB-RICE-4-TC02 to the control / marshalling room</t>
        </is>
      </c>
      <c r="E4862" s="12" t="inlineStr"/>
      <c r="F4862" s="12" t="inlineStr">
        <is>
          <t>PCM: power control module</t>
        </is>
      </c>
      <c r="G4862" s="12" t="inlineStr">
        <is>
          <t>JB-RICE-4-TC02</t>
        </is>
      </c>
      <c r="H4862" s="12" t="inlineStr">
        <is>
          <t>RICE engine-generator 4</t>
        </is>
      </c>
      <c r="I4862" s="12" t="inlineStr">
        <is>
          <t>Instrumentation</t>
        </is>
      </c>
      <c r="J4862" s="12" t="inlineStr">
        <is>
          <t>Thermocouple extension KX, #16 shielded pairs, PLTC</t>
        </is>
      </c>
      <c r="K4862" s="12" t="inlineStr">
        <is>
          <t>TCX|24 pr|16</t>
        </is>
      </c>
      <c r="L4862" s="12" t="inlineStr">
        <is>
          <t>24 pr</t>
        </is>
      </c>
      <c r="M4862" s="12" t="inlineStr">
        <is>
          <t>16</t>
        </is>
      </c>
      <c r="N4862" s="12" t="n">
        <v>1</v>
      </c>
      <c r="O4862" s="12" t="n">
        <v>1</v>
      </c>
      <c r="P4862" s="12" t="n"/>
      <c r="Q4862" s="12" t="n"/>
      <c r="R4862" s="12" t="n"/>
      <c r="S4862" s="12" t="inlineStr">
        <is>
          <t>Duct bank</t>
        </is>
      </c>
      <c r="T4862" s="16" t="n">
        <v>550</v>
      </c>
      <c r="U4862" s="16" t="n">
        <v>53</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I-I-0314</t>
        </is>
      </c>
      <c r="B4863" s="12" t="inlineStr">
        <is>
          <t>I</t>
        </is>
      </c>
      <c r="C4863" s="12" t="inlineStr">
        <is>
          <t>Modular / portable power</t>
        </is>
      </c>
      <c r="D4863" s="12" t="inlineStr">
        <is>
          <t>RTD to JB JB-RICE-4-RTD01: 10 x 1 tri (field cables)</t>
        </is>
      </c>
      <c r="E4863" s="12" t="inlineStr">
        <is>
          <t>RICE-4</t>
        </is>
      </c>
      <c r="F4863" s="12" t="inlineStr">
        <is>
          <t>RICE engine-generator 4</t>
        </is>
      </c>
      <c r="G4863" s="12" t="inlineStr">
        <is>
          <t>JB-RICE-4-RTD01</t>
        </is>
      </c>
      <c r="H4863" s="12" t="inlineStr">
        <is>
          <t>RICE engine-generator 4</t>
        </is>
      </c>
      <c r="I4863" s="12" t="inlineStr">
        <is>
          <t>Instrumentation</t>
        </is>
      </c>
      <c r="J4863" s="12" t="inlineStr">
        <is>
          <t>RTD cable, #18 shielded triads, PLTC</t>
        </is>
      </c>
      <c r="K4863" s="12" t="inlineStr">
        <is>
          <t>RTD|1 tri|18</t>
        </is>
      </c>
      <c r="L4863" s="12" t="inlineStr">
        <is>
          <t>1 tri</t>
        </is>
      </c>
      <c r="M4863" s="12" t="inlineStr">
        <is>
          <t>18</t>
        </is>
      </c>
      <c r="N4863" s="12" t="n">
        <v>10</v>
      </c>
      <c r="O4863" s="12" t="n">
        <v>1</v>
      </c>
      <c r="P4863" s="12" t="n"/>
      <c r="Q4863" s="12" t="n"/>
      <c r="R4863" s="12" t="n"/>
      <c r="S4863" s="12" t="inlineStr">
        <is>
          <t>Tray / conduit</t>
        </is>
      </c>
      <c r="T4863" s="16" t="n">
        <v>72</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I-I-0315</t>
        </is>
      </c>
      <c r="B4864" s="12" t="inlineStr">
        <is>
          <t>I</t>
        </is>
      </c>
      <c r="C4864" s="12" t="inlineStr">
        <is>
          <t>Modular / portable power</t>
        </is>
      </c>
      <c r="D4864" s="12" t="inlineStr">
        <is>
          <t>Home run JB-RICE-4-RTD01 to the control / marshalling room</t>
        </is>
      </c>
      <c r="E4864" s="12" t="inlineStr"/>
      <c r="F4864" s="12" t="inlineStr">
        <is>
          <t>PCM: power control module</t>
        </is>
      </c>
      <c r="G4864" s="12" t="inlineStr">
        <is>
          <t>JB-RICE-4-RTD01</t>
        </is>
      </c>
      <c r="H4864" s="12" t="inlineStr">
        <is>
          <t>RICE engine-generator 4</t>
        </is>
      </c>
      <c r="I4864" s="12" t="inlineStr">
        <is>
          <t>Instrumentation</t>
        </is>
      </c>
      <c r="J4864" s="12" t="inlineStr">
        <is>
          <t>RTD cable, #18 shielded triads, PLTC</t>
        </is>
      </c>
      <c r="K4864" s="12" t="inlineStr">
        <is>
          <t>RTD|12 tri|18</t>
        </is>
      </c>
      <c r="L4864" s="12" t="inlineStr">
        <is>
          <t>12 tri</t>
        </is>
      </c>
      <c r="M4864" s="12" t="inlineStr">
        <is>
          <t>18</t>
        </is>
      </c>
      <c r="N4864" s="12" t="n">
        <v>1</v>
      </c>
      <c r="O4864" s="12" t="n">
        <v>1</v>
      </c>
      <c r="P4864" s="12" t="n"/>
      <c r="Q4864" s="12" t="n"/>
      <c r="R4864" s="12" t="n"/>
      <c r="S4864" s="12" t="inlineStr">
        <is>
          <t>Duct bank</t>
        </is>
      </c>
      <c r="T4864" s="16" t="n">
        <v>550</v>
      </c>
      <c r="U4864" s="16" t="n">
        <v>53</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I-I-0316</t>
        </is>
      </c>
      <c r="B4865" s="12" t="inlineStr">
        <is>
          <t>I</t>
        </is>
      </c>
      <c r="C4865" s="12" t="inlineStr">
        <is>
          <t>Modular / portable power</t>
        </is>
      </c>
      <c r="D4865" s="12" t="inlineStr">
        <is>
          <t>RTD to JB JB-RICE-4-RTD02: 2 x 1 tri (field cables)</t>
        </is>
      </c>
      <c r="E4865" s="12" t="inlineStr">
        <is>
          <t>RICE-4</t>
        </is>
      </c>
      <c r="F4865" s="12" t="inlineStr">
        <is>
          <t>RICE engine-generator 4</t>
        </is>
      </c>
      <c r="G4865" s="12" t="inlineStr">
        <is>
          <t>JB-RICE-4-RTD02</t>
        </is>
      </c>
      <c r="H4865" s="12" t="inlineStr">
        <is>
          <t>RICE engine-generator 4</t>
        </is>
      </c>
      <c r="I4865" s="12" t="inlineStr">
        <is>
          <t>Instrumentation</t>
        </is>
      </c>
      <c r="J4865" s="12" t="inlineStr">
        <is>
          <t>RTD cable, #18 shielded triads, PLTC</t>
        </is>
      </c>
      <c r="K4865" s="12" t="inlineStr">
        <is>
          <t>RTD|1 tri|18</t>
        </is>
      </c>
      <c r="L4865" s="12" t="inlineStr">
        <is>
          <t>1 tri</t>
        </is>
      </c>
      <c r="M4865" s="12" t="inlineStr">
        <is>
          <t>18</t>
        </is>
      </c>
      <c r="N4865" s="12" t="n">
        <v>2</v>
      </c>
      <c r="O4865" s="12" t="n">
        <v>1</v>
      </c>
      <c r="P4865" s="12" t="n"/>
      <c r="Q4865" s="12" t="n"/>
      <c r="R4865" s="12" t="n"/>
      <c r="S4865" s="12" t="inlineStr">
        <is>
          <t>Tray / conduit</t>
        </is>
      </c>
      <c r="T4865" s="16" t="n">
        <v>72</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I-I-0317</t>
        </is>
      </c>
      <c r="B4866" s="12" t="inlineStr">
        <is>
          <t>I</t>
        </is>
      </c>
      <c r="C4866" s="12" t="inlineStr">
        <is>
          <t>Modular / portable power</t>
        </is>
      </c>
      <c r="D4866" s="12" t="inlineStr">
        <is>
          <t>Home run JB-RICE-4-RTD02 to the control / marshalling room</t>
        </is>
      </c>
      <c r="E4866" s="12" t="inlineStr"/>
      <c r="F4866" s="12" t="inlineStr">
        <is>
          <t>PCM: power control module</t>
        </is>
      </c>
      <c r="G4866" s="12" t="inlineStr">
        <is>
          <t>JB-RICE-4-RTD02</t>
        </is>
      </c>
      <c r="H4866" s="12" t="inlineStr">
        <is>
          <t>RICE engine-generator 4</t>
        </is>
      </c>
      <c r="I4866" s="12" t="inlineStr">
        <is>
          <t>Instrumentation</t>
        </is>
      </c>
      <c r="J4866" s="12" t="inlineStr">
        <is>
          <t>RTD cable, #18 shielded triads, PLTC</t>
        </is>
      </c>
      <c r="K4866" s="12" t="inlineStr">
        <is>
          <t>RTD|12 tri|18</t>
        </is>
      </c>
      <c r="L4866" s="12" t="inlineStr">
        <is>
          <t>12 tri</t>
        </is>
      </c>
      <c r="M4866" s="12" t="inlineStr">
        <is>
          <t>18</t>
        </is>
      </c>
      <c r="N4866" s="12" t="n">
        <v>1</v>
      </c>
      <c r="O4866" s="12" t="n">
        <v>1</v>
      </c>
      <c r="P4866" s="12" t="n"/>
      <c r="Q4866" s="12" t="n"/>
      <c r="R4866" s="12" t="n"/>
      <c r="S4866" s="12" t="inlineStr">
        <is>
          <t>Duct bank</t>
        </is>
      </c>
      <c r="T4866" s="16" t="n">
        <v>550</v>
      </c>
      <c r="U4866" s="16" t="n">
        <v>53</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I-I-0318</t>
        </is>
      </c>
      <c r="B4867" s="12" t="inlineStr">
        <is>
          <t>I</t>
        </is>
      </c>
      <c r="C4867" s="12" t="inlineStr">
        <is>
          <t>Modular / portable power</t>
        </is>
      </c>
      <c r="D4867" s="12" t="inlineStr">
        <is>
          <t>Analog instrument to JB JB-RICE-5-AI01: 20 x 1 pr (field cables)</t>
        </is>
      </c>
      <c r="E4867" s="12" t="inlineStr">
        <is>
          <t>RICE-5</t>
        </is>
      </c>
      <c r="F4867" s="12" t="inlineStr">
        <is>
          <t>RICE engine-generator 5</t>
        </is>
      </c>
      <c r="G4867" s="12" t="inlineStr">
        <is>
          <t>JB-RICE-5-AI01</t>
        </is>
      </c>
      <c r="H4867" s="12" t="inlineStr">
        <is>
          <t>RICE engine-generator 5</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72</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I-I-0319</t>
        </is>
      </c>
      <c r="B4868" s="12" t="inlineStr">
        <is>
          <t>I</t>
        </is>
      </c>
      <c r="C4868" s="12" t="inlineStr">
        <is>
          <t>Modular / portable power</t>
        </is>
      </c>
      <c r="D4868" s="12" t="inlineStr">
        <is>
          <t>Home run JB-RICE-5-AI01 to the control / marshalling room</t>
        </is>
      </c>
      <c r="E4868" s="12" t="inlineStr"/>
      <c r="F4868" s="12" t="inlineStr">
        <is>
          <t>PCM: power control module</t>
        </is>
      </c>
      <c r="G4868" s="12" t="inlineStr">
        <is>
          <t>JB-RICE-5-AI01</t>
        </is>
      </c>
      <c r="H4868" s="12" t="inlineStr">
        <is>
          <t>RICE engine-generator 5</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6" t="n">
        <v>367</v>
      </c>
      <c r="U4868" s="16" t="n">
        <v>208</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I-I-0320</t>
        </is>
      </c>
      <c r="B4869" s="12" t="inlineStr">
        <is>
          <t>I</t>
        </is>
      </c>
      <c r="C4869" s="12" t="inlineStr">
        <is>
          <t>Modular / portable power</t>
        </is>
      </c>
      <c r="D4869" s="12" t="inlineStr">
        <is>
          <t>Analog instrument to JB JB-RICE-5-AI02: 20 x 1 pr (field cables)</t>
        </is>
      </c>
      <c r="E4869" s="12" t="inlineStr">
        <is>
          <t>RICE-5</t>
        </is>
      </c>
      <c r="F4869" s="12" t="inlineStr">
        <is>
          <t>RICE engine-generator 5</t>
        </is>
      </c>
      <c r="G4869" s="12" t="inlineStr">
        <is>
          <t>JB-RICE-5-AI02</t>
        </is>
      </c>
      <c r="H4869" s="12" t="inlineStr">
        <is>
          <t>RICE engine-generator 5</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72</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I-I-0321</t>
        </is>
      </c>
      <c r="B4870" s="12" t="inlineStr">
        <is>
          <t>I</t>
        </is>
      </c>
      <c r="C4870" s="12" t="inlineStr">
        <is>
          <t>Modular / portable power</t>
        </is>
      </c>
      <c r="D4870" s="12" t="inlineStr">
        <is>
          <t>Home run JB-RICE-5-AI02 to the control / marshalling room</t>
        </is>
      </c>
      <c r="E4870" s="12" t="inlineStr"/>
      <c r="F4870" s="12" t="inlineStr">
        <is>
          <t>PCM: power control module</t>
        </is>
      </c>
      <c r="G4870" s="12" t="inlineStr">
        <is>
          <t>JB-RICE-5-AI02</t>
        </is>
      </c>
      <c r="H4870" s="12" t="inlineStr">
        <is>
          <t>RICE engine-generator 5</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6" t="n">
        <v>367</v>
      </c>
      <c r="U4870" s="16" t="n">
        <v>208</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I-I-0322</t>
        </is>
      </c>
      <c r="B4871" s="12" t="inlineStr">
        <is>
          <t>I</t>
        </is>
      </c>
      <c r="C4871" s="12" t="inlineStr">
        <is>
          <t>Modular / portable power</t>
        </is>
      </c>
      <c r="D4871" s="12" t="inlineStr">
        <is>
          <t>Analog instrument to JB JB-RICE-5-AI03: 20 x 1 pr (field cables)</t>
        </is>
      </c>
      <c r="E4871" s="12" t="inlineStr">
        <is>
          <t>RICE-5</t>
        </is>
      </c>
      <c r="F4871" s="12" t="inlineStr">
        <is>
          <t>RICE engine-generator 5</t>
        </is>
      </c>
      <c r="G4871" s="12" t="inlineStr">
        <is>
          <t>JB-RICE-5-AI03</t>
        </is>
      </c>
      <c r="H4871" s="12" t="inlineStr">
        <is>
          <t>RICE engine-generator 5</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72</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I-I-0323</t>
        </is>
      </c>
      <c r="B4872" s="12" t="inlineStr">
        <is>
          <t>I</t>
        </is>
      </c>
      <c r="C4872" s="12" t="inlineStr">
        <is>
          <t>Modular / portable power</t>
        </is>
      </c>
      <c r="D4872" s="12" t="inlineStr">
        <is>
          <t>Home run JB-RICE-5-AI03 to the control / marshalling room</t>
        </is>
      </c>
      <c r="E4872" s="12" t="inlineStr"/>
      <c r="F4872" s="12" t="inlineStr">
        <is>
          <t>PCM: power control module</t>
        </is>
      </c>
      <c r="G4872" s="12" t="inlineStr">
        <is>
          <t>JB-RICE-5-AI03</t>
        </is>
      </c>
      <c r="H4872" s="12" t="inlineStr">
        <is>
          <t>RICE engine-generator 5</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6" t="n">
        <v>367</v>
      </c>
      <c r="U4872" s="16" t="n">
        <v>208</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I-I-0324</t>
        </is>
      </c>
      <c r="B4873" s="12" t="inlineStr">
        <is>
          <t>I</t>
        </is>
      </c>
      <c r="C4873" s="12" t="inlineStr">
        <is>
          <t>Modular / portable power</t>
        </is>
      </c>
      <c r="D4873" s="12" t="inlineStr">
        <is>
          <t>Analog instrument to JB JB-RICE-5-AI04: 20 x 1 pr (field cables)</t>
        </is>
      </c>
      <c r="E4873" s="12" t="inlineStr">
        <is>
          <t>RICE-5</t>
        </is>
      </c>
      <c r="F4873" s="12" t="inlineStr">
        <is>
          <t>RICE engine-generator 5</t>
        </is>
      </c>
      <c r="G4873" s="12" t="inlineStr">
        <is>
          <t>JB-RICE-5-AI04</t>
        </is>
      </c>
      <c r="H4873" s="12" t="inlineStr">
        <is>
          <t>RICE engine-generator 5</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72</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I-I-0325</t>
        </is>
      </c>
      <c r="B4874" s="12" t="inlineStr">
        <is>
          <t>I</t>
        </is>
      </c>
      <c r="C4874" s="12" t="inlineStr">
        <is>
          <t>Modular / portable power</t>
        </is>
      </c>
      <c r="D4874" s="12" t="inlineStr">
        <is>
          <t>Home run JB-RICE-5-AI04 to the control / marshalling room</t>
        </is>
      </c>
      <c r="E4874" s="12" t="inlineStr"/>
      <c r="F4874" s="12" t="inlineStr">
        <is>
          <t>PCM: power control module</t>
        </is>
      </c>
      <c r="G4874" s="12" t="inlineStr">
        <is>
          <t>JB-RICE-5-AI04</t>
        </is>
      </c>
      <c r="H4874" s="12" t="inlineStr">
        <is>
          <t>RICE engine-generator 5</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6" t="n">
        <v>367</v>
      </c>
      <c r="U4874" s="16" t="n">
        <v>208</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I-I-0326</t>
        </is>
      </c>
      <c r="B4875" s="12" t="inlineStr">
        <is>
          <t>I</t>
        </is>
      </c>
      <c r="C4875" s="12" t="inlineStr">
        <is>
          <t>Modular / portable power</t>
        </is>
      </c>
      <c r="D4875" s="12" t="inlineStr">
        <is>
          <t>Discrete device to JB JB-RICE-5-DI01: 20 x 1 pr (field cables)</t>
        </is>
      </c>
      <c r="E4875" s="12" t="inlineStr">
        <is>
          <t>RICE-5</t>
        </is>
      </c>
      <c r="F4875" s="12" t="inlineStr">
        <is>
          <t>RICE engine-generator 5</t>
        </is>
      </c>
      <c r="G4875" s="12" t="inlineStr">
        <is>
          <t>JB-RICE-5-DI01</t>
        </is>
      </c>
      <c r="H4875" s="12" t="inlineStr">
        <is>
          <t>RICE engine-generator 5</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72</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I-I-0327</t>
        </is>
      </c>
      <c r="B4876" s="12" t="inlineStr">
        <is>
          <t>I</t>
        </is>
      </c>
      <c r="C4876" s="12" t="inlineStr">
        <is>
          <t>Modular / portable power</t>
        </is>
      </c>
      <c r="D4876" s="12" t="inlineStr">
        <is>
          <t>Home run JB-RICE-5-DI01 to the control / marshalling room</t>
        </is>
      </c>
      <c r="E4876" s="12" t="inlineStr"/>
      <c r="F4876" s="12" t="inlineStr">
        <is>
          <t>PCM: power control module</t>
        </is>
      </c>
      <c r="G4876" s="12" t="inlineStr">
        <is>
          <t>JB-RICE-5-DI01</t>
        </is>
      </c>
      <c r="H4876" s="12" t="inlineStr">
        <is>
          <t>RICE engine-generator 5</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Duct bank</t>
        </is>
      </c>
      <c r="T4876" s="16" t="n">
        <v>367</v>
      </c>
      <c r="U4876" s="16" t="n">
        <v>208</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I-I-0328</t>
        </is>
      </c>
      <c r="B4877" s="12" t="inlineStr">
        <is>
          <t>I</t>
        </is>
      </c>
      <c r="C4877" s="12" t="inlineStr">
        <is>
          <t>Modular / portable power</t>
        </is>
      </c>
      <c r="D4877" s="12" t="inlineStr">
        <is>
          <t>Discrete device to JB JB-RICE-5-DI02: 20 x 1 pr (field cables)</t>
        </is>
      </c>
      <c r="E4877" s="12" t="inlineStr">
        <is>
          <t>RICE-5</t>
        </is>
      </c>
      <c r="F4877" s="12" t="inlineStr">
        <is>
          <t>RICE engine-generator 5</t>
        </is>
      </c>
      <c r="G4877" s="12" t="inlineStr">
        <is>
          <t>JB-RICE-5-DI02</t>
        </is>
      </c>
      <c r="H4877" s="12" t="inlineStr">
        <is>
          <t>RICE engine-generator 5</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72</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I-I-0329</t>
        </is>
      </c>
      <c r="B4878" s="12" t="inlineStr">
        <is>
          <t>I</t>
        </is>
      </c>
      <c r="C4878" s="12" t="inlineStr">
        <is>
          <t>Modular / portable power</t>
        </is>
      </c>
      <c r="D4878" s="12" t="inlineStr">
        <is>
          <t>Home run JB-RICE-5-DI02 to the control / marshalling room</t>
        </is>
      </c>
      <c r="E4878" s="12" t="inlineStr"/>
      <c r="F4878" s="12" t="inlineStr">
        <is>
          <t>PCM: power control module</t>
        </is>
      </c>
      <c r="G4878" s="12" t="inlineStr">
        <is>
          <t>JB-RICE-5-DI02</t>
        </is>
      </c>
      <c r="H4878" s="12" t="inlineStr">
        <is>
          <t>RICE engine-generator 5</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Duct bank</t>
        </is>
      </c>
      <c r="T4878" s="16" t="n">
        <v>367</v>
      </c>
      <c r="U4878" s="16" t="n">
        <v>208</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I-I-0330</t>
        </is>
      </c>
      <c r="B4879" s="12" t="inlineStr">
        <is>
          <t>I</t>
        </is>
      </c>
      <c r="C4879" s="12" t="inlineStr">
        <is>
          <t>Modular / portable power</t>
        </is>
      </c>
      <c r="D4879" s="12" t="inlineStr">
        <is>
          <t>Discrete device to JB JB-RICE-5-DI03: 20 x 1 pr (field cables)</t>
        </is>
      </c>
      <c r="E4879" s="12" t="inlineStr">
        <is>
          <t>RICE-5</t>
        </is>
      </c>
      <c r="F4879" s="12" t="inlineStr">
        <is>
          <t>RICE engine-generator 5</t>
        </is>
      </c>
      <c r="G4879" s="12" t="inlineStr">
        <is>
          <t>JB-RICE-5-DI03</t>
        </is>
      </c>
      <c r="H4879" s="12" t="inlineStr">
        <is>
          <t>RICE engine-generator 5</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72</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I-I-0331</t>
        </is>
      </c>
      <c r="B4880" s="12" t="inlineStr">
        <is>
          <t>I</t>
        </is>
      </c>
      <c r="C4880" s="12" t="inlineStr">
        <is>
          <t>Modular / portable power</t>
        </is>
      </c>
      <c r="D4880" s="12" t="inlineStr">
        <is>
          <t>Home run JB-RICE-5-DI03 to the control / marshalling room</t>
        </is>
      </c>
      <c r="E4880" s="12" t="inlineStr"/>
      <c r="F4880" s="12" t="inlineStr">
        <is>
          <t>PCM: power control module</t>
        </is>
      </c>
      <c r="G4880" s="12" t="inlineStr">
        <is>
          <t>JB-RICE-5-DI03</t>
        </is>
      </c>
      <c r="H4880" s="12" t="inlineStr">
        <is>
          <t>RICE engine-generator 5</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Duct bank</t>
        </is>
      </c>
      <c r="T4880" s="16" t="n">
        <v>367</v>
      </c>
      <c r="U4880" s="16" t="n">
        <v>208</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I-I-0332</t>
        </is>
      </c>
      <c r="B4881" s="12" t="inlineStr">
        <is>
          <t>I</t>
        </is>
      </c>
      <c r="C4881" s="12" t="inlineStr">
        <is>
          <t>Modular / portable power</t>
        </is>
      </c>
      <c r="D4881" s="12" t="inlineStr">
        <is>
          <t>Thermocouple to TC JB JB-RICE-5-TC01: 20 x 1 pr (field cables)</t>
        </is>
      </c>
      <c r="E4881" s="12" t="inlineStr">
        <is>
          <t>RICE-5</t>
        </is>
      </c>
      <c r="F4881" s="12" t="inlineStr">
        <is>
          <t>RICE engine-generator 5</t>
        </is>
      </c>
      <c r="G4881" s="12" t="inlineStr">
        <is>
          <t>JB-RICE-5-TC01</t>
        </is>
      </c>
      <c r="H4881" s="12" t="inlineStr">
        <is>
          <t>RICE engine-generator 5</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6" t="n">
        <v>72</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I-I-0333</t>
        </is>
      </c>
      <c r="B4882" s="12" t="inlineStr">
        <is>
          <t>I</t>
        </is>
      </c>
      <c r="C4882" s="12" t="inlineStr">
        <is>
          <t>Modular / portable power</t>
        </is>
      </c>
      <c r="D4882" s="12" t="inlineStr">
        <is>
          <t>Home run JB-RICE-5-TC01 to the control / marshalling room</t>
        </is>
      </c>
      <c r="E4882" s="12" t="inlineStr"/>
      <c r="F4882" s="12" t="inlineStr">
        <is>
          <t>PCM: power control module</t>
        </is>
      </c>
      <c r="G4882" s="12" t="inlineStr">
        <is>
          <t>JB-RICE-5-TC01</t>
        </is>
      </c>
      <c r="H4882" s="12" t="inlineStr">
        <is>
          <t>RICE engine-generator 5</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Duct bank</t>
        </is>
      </c>
      <c r="T4882" s="16" t="n">
        <v>367</v>
      </c>
      <c r="U4882" s="16" t="n">
        <v>208</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I-I-0334</t>
        </is>
      </c>
      <c r="B4883" s="12" t="inlineStr">
        <is>
          <t>I</t>
        </is>
      </c>
      <c r="C4883" s="12" t="inlineStr">
        <is>
          <t>Modular / portable power</t>
        </is>
      </c>
      <c r="D4883" s="12" t="inlineStr">
        <is>
          <t>Thermocouple to TC JB JB-RICE-5-TC02: 10 x 1 pr (field cables)</t>
        </is>
      </c>
      <c r="E4883" s="12" t="inlineStr">
        <is>
          <t>RICE-5</t>
        </is>
      </c>
      <c r="F4883" s="12" t="inlineStr">
        <is>
          <t>RICE engine-generator 5</t>
        </is>
      </c>
      <c r="G4883" s="12" t="inlineStr">
        <is>
          <t>JB-RICE-5-TC02</t>
        </is>
      </c>
      <c r="H4883" s="12" t="inlineStr">
        <is>
          <t>RICE engine-generator 5</t>
        </is>
      </c>
      <c r="I4883" s="12" t="inlineStr">
        <is>
          <t>Instrumentation</t>
        </is>
      </c>
      <c r="J4883" s="12" t="inlineStr">
        <is>
          <t>Thermocouple extension KX, #16 shielded pairs, PLTC</t>
        </is>
      </c>
      <c r="K4883" s="12" t="inlineStr">
        <is>
          <t>TCX|1 pr|16</t>
        </is>
      </c>
      <c r="L4883" s="12" t="inlineStr">
        <is>
          <t>1 pr</t>
        </is>
      </c>
      <c r="M4883" s="12" t="inlineStr">
        <is>
          <t>16</t>
        </is>
      </c>
      <c r="N4883" s="12" t="n">
        <v>10</v>
      </c>
      <c r="O4883" s="12" t="n">
        <v>1</v>
      </c>
      <c r="P4883" s="12" t="n"/>
      <c r="Q4883" s="12" t="n"/>
      <c r="R4883" s="12" t="n"/>
      <c r="S4883" s="12" t="inlineStr">
        <is>
          <t>Tray / conduit</t>
        </is>
      </c>
      <c r="T4883" s="16" t="n">
        <v>72</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I-I-0335</t>
        </is>
      </c>
      <c r="B4884" s="12" t="inlineStr">
        <is>
          <t>I</t>
        </is>
      </c>
      <c r="C4884" s="12" t="inlineStr">
        <is>
          <t>Modular / portable power</t>
        </is>
      </c>
      <c r="D4884" s="12" t="inlineStr">
        <is>
          <t>Home run JB-RICE-5-TC02 to the control / marshalling room</t>
        </is>
      </c>
      <c r="E4884" s="12" t="inlineStr"/>
      <c r="F4884" s="12" t="inlineStr">
        <is>
          <t>PCM: power control module</t>
        </is>
      </c>
      <c r="G4884" s="12" t="inlineStr">
        <is>
          <t>JB-RICE-5-TC02</t>
        </is>
      </c>
      <c r="H4884" s="12" t="inlineStr">
        <is>
          <t>RICE engine-generator 5</t>
        </is>
      </c>
      <c r="I4884" s="12" t="inlineStr">
        <is>
          <t>Instrumentation</t>
        </is>
      </c>
      <c r="J4884" s="12" t="inlineStr">
        <is>
          <t>Thermocouple extension KX, #16 shielded pairs, PLTC</t>
        </is>
      </c>
      <c r="K4884" s="12" t="inlineStr">
        <is>
          <t>TCX|24 pr|16</t>
        </is>
      </c>
      <c r="L4884" s="12" t="inlineStr">
        <is>
          <t>24 pr</t>
        </is>
      </c>
      <c r="M4884" s="12" t="inlineStr">
        <is>
          <t>16</t>
        </is>
      </c>
      <c r="N4884" s="12" t="n">
        <v>1</v>
      </c>
      <c r="O4884" s="12" t="n">
        <v>1</v>
      </c>
      <c r="P4884" s="12" t="n"/>
      <c r="Q4884" s="12" t="n"/>
      <c r="R4884" s="12" t="n"/>
      <c r="S4884" s="12" t="inlineStr">
        <is>
          <t>Duct bank</t>
        </is>
      </c>
      <c r="T4884" s="16" t="n">
        <v>367</v>
      </c>
      <c r="U4884" s="16" t="n">
        <v>208</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I-I-0336</t>
        </is>
      </c>
      <c r="B4885" s="12" t="inlineStr">
        <is>
          <t>I</t>
        </is>
      </c>
      <c r="C4885" s="12" t="inlineStr">
        <is>
          <t>Modular / portable power</t>
        </is>
      </c>
      <c r="D4885" s="12" t="inlineStr">
        <is>
          <t>RTD to JB JB-RICE-5-RTD01: 10 x 1 tri (field cables)</t>
        </is>
      </c>
      <c r="E4885" s="12" t="inlineStr">
        <is>
          <t>RICE-5</t>
        </is>
      </c>
      <c r="F4885" s="12" t="inlineStr">
        <is>
          <t>RICE engine-generator 5</t>
        </is>
      </c>
      <c r="G4885" s="12" t="inlineStr">
        <is>
          <t>JB-RICE-5-RTD01</t>
        </is>
      </c>
      <c r="H4885" s="12" t="inlineStr">
        <is>
          <t>RICE engine-generator 5</t>
        </is>
      </c>
      <c r="I4885" s="12" t="inlineStr">
        <is>
          <t>Instrumentation</t>
        </is>
      </c>
      <c r="J4885" s="12" t="inlineStr">
        <is>
          <t>RTD cable, #18 shielded triads, PLTC</t>
        </is>
      </c>
      <c r="K4885" s="12" t="inlineStr">
        <is>
          <t>RTD|1 tri|18</t>
        </is>
      </c>
      <c r="L4885" s="12" t="inlineStr">
        <is>
          <t>1 tri</t>
        </is>
      </c>
      <c r="M4885" s="12" t="inlineStr">
        <is>
          <t>18</t>
        </is>
      </c>
      <c r="N4885" s="12" t="n">
        <v>10</v>
      </c>
      <c r="O4885" s="12" t="n">
        <v>1</v>
      </c>
      <c r="P4885" s="12" t="n"/>
      <c r="Q4885" s="12" t="n"/>
      <c r="R4885" s="12" t="n"/>
      <c r="S4885" s="12" t="inlineStr">
        <is>
          <t>Tray / conduit</t>
        </is>
      </c>
      <c r="T4885" s="16" t="n">
        <v>72</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I-I-0337</t>
        </is>
      </c>
      <c r="B4886" s="12" t="inlineStr">
        <is>
          <t>I</t>
        </is>
      </c>
      <c r="C4886" s="12" t="inlineStr">
        <is>
          <t>Modular / portable power</t>
        </is>
      </c>
      <c r="D4886" s="12" t="inlineStr">
        <is>
          <t>Home run JB-RICE-5-RTD01 to the control / marshalling room</t>
        </is>
      </c>
      <c r="E4886" s="12" t="inlineStr"/>
      <c r="F4886" s="12" t="inlineStr">
        <is>
          <t>PCM: power control module</t>
        </is>
      </c>
      <c r="G4886" s="12" t="inlineStr">
        <is>
          <t>JB-RICE-5-RTD01</t>
        </is>
      </c>
      <c r="H4886" s="12" t="inlineStr">
        <is>
          <t>RICE engine-generator 5</t>
        </is>
      </c>
      <c r="I4886" s="12" t="inlineStr">
        <is>
          <t>Instrumentation</t>
        </is>
      </c>
      <c r="J4886" s="12" t="inlineStr">
        <is>
          <t>RTD cable, #18 shielded triads, PLTC</t>
        </is>
      </c>
      <c r="K4886" s="12" t="inlineStr">
        <is>
          <t>RTD|12 tri|18</t>
        </is>
      </c>
      <c r="L4886" s="12" t="inlineStr">
        <is>
          <t>12 tri</t>
        </is>
      </c>
      <c r="M4886" s="12" t="inlineStr">
        <is>
          <t>18</t>
        </is>
      </c>
      <c r="N4886" s="12" t="n">
        <v>1</v>
      </c>
      <c r="O4886" s="12" t="n">
        <v>1</v>
      </c>
      <c r="P4886" s="12" t="n"/>
      <c r="Q4886" s="12" t="n"/>
      <c r="R4886" s="12" t="n"/>
      <c r="S4886" s="12" t="inlineStr">
        <is>
          <t>Duct bank</t>
        </is>
      </c>
      <c r="T4886" s="16" t="n">
        <v>367</v>
      </c>
      <c r="U4886" s="16" t="n">
        <v>208</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I-I-0338</t>
        </is>
      </c>
      <c r="B4887" s="12" t="inlineStr">
        <is>
          <t>I</t>
        </is>
      </c>
      <c r="C4887" s="12" t="inlineStr">
        <is>
          <t>Modular / portable power</t>
        </is>
      </c>
      <c r="D4887" s="12" t="inlineStr">
        <is>
          <t>RTD to JB JB-RICE-5-RTD02: 2 x 1 tri (field cables)</t>
        </is>
      </c>
      <c r="E4887" s="12" t="inlineStr">
        <is>
          <t>RICE-5</t>
        </is>
      </c>
      <c r="F4887" s="12" t="inlineStr">
        <is>
          <t>RICE engine-generator 5</t>
        </is>
      </c>
      <c r="G4887" s="12" t="inlineStr">
        <is>
          <t>JB-RICE-5-RTD02</t>
        </is>
      </c>
      <c r="H4887" s="12" t="inlineStr">
        <is>
          <t>RICE engine-generator 5</t>
        </is>
      </c>
      <c r="I4887" s="12" t="inlineStr">
        <is>
          <t>Instrumentation</t>
        </is>
      </c>
      <c r="J4887" s="12" t="inlineStr">
        <is>
          <t>RTD cable, #18 shielded triads, PLTC</t>
        </is>
      </c>
      <c r="K4887" s="12" t="inlineStr">
        <is>
          <t>RTD|1 tri|18</t>
        </is>
      </c>
      <c r="L4887" s="12" t="inlineStr">
        <is>
          <t>1 tri</t>
        </is>
      </c>
      <c r="M4887" s="12" t="inlineStr">
        <is>
          <t>18</t>
        </is>
      </c>
      <c r="N4887" s="12" t="n">
        <v>2</v>
      </c>
      <c r="O4887" s="12" t="n">
        <v>1</v>
      </c>
      <c r="P4887" s="12" t="n"/>
      <c r="Q4887" s="12" t="n"/>
      <c r="R4887" s="12" t="n"/>
      <c r="S4887" s="12" t="inlineStr">
        <is>
          <t>Tray / conduit</t>
        </is>
      </c>
      <c r="T4887" s="16" t="n">
        <v>72</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I-I-0339</t>
        </is>
      </c>
      <c r="B4888" s="12" t="inlineStr">
        <is>
          <t>I</t>
        </is>
      </c>
      <c r="C4888" s="12" t="inlineStr">
        <is>
          <t>Modular / portable power</t>
        </is>
      </c>
      <c r="D4888" s="12" t="inlineStr">
        <is>
          <t>Home run JB-RICE-5-RTD02 to the control / marshalling room</t>
        </is>
      </c>
      <c r="E4888" s="12" t="inlineStr"/>
      <c r="F4888" s="12" t="inlineStr">
        <is>
          <t>PCM: power control module</t>
        </is>
      </c>
      <c r="G4888" s="12" t="inlineStr">
        <is>
          <t>JB-RICE-5-RTD02</t>
        </is>
      </c>
      <c r="H4888" s="12" t="inlineStr">
        <is>
          <t>RICE engine-generator 5</t>
        </is>
      </c>
      <c r="I4888" s="12" t="inlineStr">
        <is>
          <t>Instrumentation</t>
        </is>
      </c>
      <c r="J4888" s="12" t="inlineStr">
        <is>
          <t>RTD cable, #18 shielded triads, PLTC</t>
        </is>
      </c>
      <c r="K4888" s="12" t="inlineStr">
        <is>
          <t>RTD|12 tri|18</t>
        </is>
      </c>
      <c r="L4888" s="12" t="inlineStr">
        <is>
          <t>12 tri</t>
        </is>
      </c>
      <c r="M4888" s="12" t="inlineStr">
        <is>
          <t>18</t>
        </is>
      </c>
      <c r="N4888" s="12" t="n">
        <v>1</v>
      </c>
      <c r="O4888" s="12" t="n">
        <v>1</v>
      </c>
      <c r="P4888" s="12" t="n"/>
      <c r="Q4888" s="12" t="n"/>
      <c r="R4888" s="12" t="n"/>
      <c r="S4888" s="12" t="inlineStr">
        <is>
          <t>Duct bank</t>
        </is>
      </c>
      <c r="T4888" s="16" t="n">
        <v>367</v>
      </c>
      <c r="U4888" s="16" t="n">
        <v>208</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I-I-0340</t>
        </is>
      </c>
      <c r="B4889" s="12" t="inlineStr">
        <is>
          <t>I</t>
        </is>
      </c>
      <c r="C4889" s="12" t="inlineStr">
        <is>
          <t>Modular / portable power</t>
        </is>
      </c>
      <c r="D4889" s="12" t="inlineStr">
        <is>
          <t>Analog instrument to JB JB-RICE-6-AI01: 20 x 1 pr (field cables)</t>
        </is>
      </c>
      <c r="E4889" s="12" t="inlineStr">
        <is>
          <t>RICE-6</t>
        </is>
      </c>
      <c r="F4889" s="12" t="inlineStr">
        <is>
          <t>RICE engine-generator 6</t>
        </is>
      </c>
      <c r="G4889" s="12" t="inlineStr">
        <is>
          <t>JB-RICE-6-AI01</t>
        </is>
      </c>
      <c r="H4889" s="12" t="inlineStr">
        <is>
          <t>RICE engine-generator 6</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72</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I-I-0341</t>
        </is>
      </c>
      <c r="B4890" s="12" t="inlineStr">
        <is>
          <t>I</t>
        </is>
      </c>
      <c r="C4890" s="12" t="inlineStr">
        <is>
          <t>Modular / portable power</t>
        </is>
      </c>
      <c r="D4890" s="12" t="inlineStr">
        <is>
          <t>Home run JB-RICE-6-AI01 to the control / marshalling room</t>
        </is>
      </c>
      <c r="E4890" s="12" t="inlineStr"/>
      <c r="F4890" s="12" t="inlineStr">
        <is>
          <t>PCM: power control module</t>
        </is>
      </c>
      <c r="G4890" s="12" t="inlineStr">
        <is>
          <t>JB-RICE-6-AI01</t>
        </is>
      </c>
      <c r="H4890" s="12" t="inlineStr">
        <is>
          <t>RICE engine-generator 6</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6" t="n">
        <v>367</v>
      </c>
      <c r="U4890" s="16" t="n">
        <v>180</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I-I-0342</t>
        </is>
      </c>
      <c r="B4891" s="12" t="inlineStr">
        <is>
          <t>I</t>
        </is>
      </c>
      <c r="C4891" s="12" t="inlineStr">
        <is>
          <t>Modular / portable power</t>
        </is>
      </c>
      <c r="D4891" s="12" t="inlineStr">
        <is>
          <t>Analog instrument to JB JB-RICE-6-AI02: 20 x 1 pr (field cables)</t>
        </is>
      </c>
      <c r="E4891" s="12" t="inlineStr">
        <is>
          <t>RICE-6</t>
        </is>
      </c>
      <c r="F4891" s="12" t="inlineStr">
        <is>
          <t>RICE engine-generator 6</t>
        </is>
      </c>
      <c r="G4891" s="12" t="inlineStr">
        <is>
          <t>JB-RICE-6-AI02</t>
        </is>
      </c>
      <c r="H4891" s="12" t="inlineStr">
        <is>
          <t>RICE engine-generator 6</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72</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I-I-0343</t>
        </is>
      </c>
      <c r="B4892" s="12" t="inlineStr">
        <is>
          <t>I</t>
        </is>
      </c>
      <c r="C4892" s="12" t="inlineStr">
        <is>
          <t>Modular / portable power</t>
        </is>
      </c>
      <c r="D4892" s="12" t="inlineStr">
        <is>
          <t>Home run JB-RICE-6-AI02 to the control / marshalling room</t>
        </is>
      </c>
      <c r="E4892" s="12" t="inlineStr"/>
      <c r="F4892" s="12" t="inlineStr">
        <is>
          <t>PCM: power control module</t>
        </is>
      </c>
      <c r="G4892" s="12" t="inlineStr">
        <is>
          <t>JB-RICE-6-AI02</t>
        </is>
      </c>
      <c r="H4892" s="12" t="inlineStr">
        <is>
          <t>RICE engine-generator 6</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Duct bank</t>
        </is>
      </c>
      <c r="T4892" s="16" t="n">
        <v>367</v>
      </c>
      <c r="U4892" s="16" t="n">
        <v>180</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I-I-0344</t>
        </is>
      </c>
      <c r="B4893" s="12" t="inlineStr">
        <is>
          <t>I</t>
        </is>
      </c>
      <c r="C4893" s="12" t="inlineStr">
        <is>
          <t>Modular / portable power</t>
        </is>
      </c>
      <c r="D4893" s="12" t="inlineStr">
        <is>
          <t>Analog instrument to JB JB-RICE-6-AI03: 20 x 1 pr (field cables)</t>
        </is>
      </c>
      <c r="E4893" s="12" t="inlineStr">
        <is>
          <t>RICE-6</t>
        </is>
      </c>
      <c r="F4893" s="12" t="inlineStr">
        <is>
          <t>RICE engine-generator 6</t>
        </is>
      </c>
      <c r="G4893" s="12" t="inlineStr">
        <is>
          <t>JB-RICE-6-AI03</t>
        </is>
      </c>
      <c r="H4893" s="12" t="inlineStr">
        <is>
          <t>RICE engine-generator 6</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72</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I-I-0345</t>
        </is>
      </c>
      <c r="B4894" s="12" t="inlineStr">
        <is>
          <t>I</t>
        </is>
      </c>
      <c r="C4894" s="12" t="inlineStr">
        <is>
          <t>Modular / portable power</t>
        </is>
      </c>
      <c r="D4894" s="12" t="inlineStr">
        <is>
          <t>Home run JB-RICE-6-AI03 to the control / marshalling room</t>
        </is>
      </c>
      <c r="E4894" s="12" t="inlineStr"/>
      <c r="F4894" s="12" t="inlineStr">
        <is>
          <t>PCM: power control module</t>
        </is>
      </c>
      <c r="G4894" s="12" t="inlineStr">
        <is>
          <t>JB-RICE-6-AI03</t>
        </is>
      </c>
      <c r="H4894" s="12" t="inlineStr">
        <is>
          <t>RICE engine-generator 6</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Duct bank</t>
        </is>
      </c>
      <c r="T4894" s="16" t="n">
        <v>367</v>
      </c>
      <c r="U4894" s="16" t="n">
        <v>180</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I-I-0346</t>
        </is>
      </c>
      <c r="B4895" s="12" t="inlineStr">
        <is>
          <t>I</t>
        </is>
      </c>
      <c r="C4895" s="12" t="inlineStr">
        <is>
          <t>Modular / portable power</t>
        </is>
      </c>
      <c r="D4895" s="12" t="inlineStr">
        <is>
          <t>Analog instrument to JB JB-RICE-6-AI04: 20 x 1 pr (field cables)</t>
        </is>
      </c>
      <c r="E4895" s="12" t="inlineStr">
        <is>
          <t>RICE-6</t>
        </is>
      </c>
      <c r="F4895" s="12" t="inlineStr">
        <is>
          <t>RICE engine-generator 6</t>
        </is>
      </c>
      <c r="G4895" s="12" t="inlineStr">
        <is>
          <t>JB-RICE-6-AI04</t>
        </is>
      </c>
      <c r="H4895" s="12" t="inlineStr">
        <is>
          <t>RICE engine-generator 6</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72</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I-I-0347</t>
        </is>
      </c>
      <c r="B4896" s="12" t="inlineStr">
        <is>
          <t>I</t>
        </is>
      </c>
      <c r="C4896" s="12" t="inlineStr">
        <is>
          <t>Modular / portable power</t>
        </is>
      </c>
      <c r="D4896" s="12" t="inlineStr">
        <is>
          <t>Home run JB-RICE-6-AI04 to the control / marshalling room</t>
        </is>
      </c>
      <c r="E4896" s="12" t="inlineStr"/>
      <c r="F4896" s="12" t="inlineStr">
        <is>
          <t>PCM: power control module</t>
        </is>
      </c>
      <c r="G4896" s="12" t="inlineStr">
        <is>
          <t>JB-RICE-6-AI04</t>
        </is>
      </c>
      <c r="H4896" s="12" t="inlineStr">
        <is>
          <t>RICE engine-generator 6</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Duct bank</t>
        </is>
      </c>
      <c r="T4896" s="16" t="n">
        <v>367</v>
      </c>
      <c r="U4896" s="16" t="n">
        <v>180</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I-I-0348</t>
        </is>
      </c>
      <c r="B4897" s="12" t="inlineStr">
        <is>
          <t>I</t>
        </is>
      </c>
      <c r="C4897" s="12" t="inlineStr">
        <is>
          <t>Modular / portable power</t>
        </is>
      </c>
      <c r="D4897" s="12" t="inlineStr">
        <is>
          <t>Discrete device to JB JB-RICE-6-DI01: 20 x 1 pr (field cables)</t>
        </is>
      </c>
      <c r="E4897" s="12" t="inlineStr">
        <is>
          <t>RICE-6</t>
        </is>
      </c>
      <c r="F4897" s="12" t="inlineStr">
        <is>
          <t>RICE engine-generator 6</t>
        </is>
      </c>
      <c r="G4897" s="12" t="inlineStr">
        <is>
          <t>JB-RICE-6-DI01</t>
        </is>
      </c>
      <c r="H4897" s="12" t="inlineStr">
        <is>
          <t>RICE engine-generator 6</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72</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I-I-0349</t>
        </is>
      </c>
      <c r="B4898" s="12" t="inlineStr">
        <is>
          <t>I</t>
        </is>
      </c>
      <c r="C4898" s="12" t="inlineStr">
        <is>
          <t>Modular / portable power</t>
        </is>
      </c>
      <c r="D4898" s="12" t="inlineStr">
        <is>
          <t>Home run JB-RICE-6-DI01 to the control / marshalling room</t>
        </is>
      </c>
      <c r="E4898" s="12" t="inlineStr"/>
      <c r="F4898" s="12" t="inlineStr">
        <is>
          <t>PCM: power control module</t>
        </is>
      </c>
      <c r="G4898" s="12" t="inlineStr">
        <is>
          <t>JB-RICE-6-DI01</t>
        </is>
      </c>
      <c r="H4898" s="12" t="inlineStr">
        <is>
          <t>RICE engine-generator 6</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Duct bank</t>
        </is>
      </c>
      <c r="T4898" s="16" t="n">
        <v>367</v>
      </c>
      <c r="U4898" s="16" t="n">
        <v>180</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I-I-0350</t>
        </is>
      </c>
      <c r="B4899" s="12" t="inlineStr">
        <is>
          <t>I</t>
        </is>
      </c>
      <c r="C4899" s="12" t="inlineStr">
        <is>
          <t>Modular / portable power</t>
        </is>
      </c>
      <c r="D4899" s="12" t="inlineStr">
        <is>
          <t>Discrete device to JB JB-RICE-6-DI02: 20 x 1 pr (field cables)</t>
        </is>
      </c>
      <c r="E4899" s="12" t="inlineStr">
        <is>
          <t>RICE-6</t>
        </is>
      </c>
      <c r="F4899" s="12" t="inlineStr">
        <is>
          <t>RICE engine-generator 6</t>
        </is>
      </c>
      <c r="G4899" s="12" t="inlineStr">
        <is>
          <t>JB-RICE-6-DI02</t>
        </is>
      </c>
      <c r="H4899" s="12" t="inlineStr">
        <is>
          <t>RICE engine-generator 6</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20</v>
      </c>
      <c r="O4899" s="12" t="n">
        <v>1</v>
      </c>
      <c r="P4899" s="12" t="n"/>
      <c r="Q4899" s="12" t="n"/>
      <c r="R4899" s="12" t="n"/>
      <c r="S4899" s="12" t="inlineStr">
        <is>
          <t>Tray / conduit</t>
        </is>
      </c>
      <c r="T4899" s="16" t="n">
        <v>72</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I-I-0351</t>
        </is>
      </c>
      <c r="B4900" s="12" t="inlineStr">
        <is>
          <t>I</t>
        </is>
      </c>
      <c r="C4900" s="12" t="inlineStr">
        <is>
          <t>Modular / portable power</t>
        </is>
      </c>
      <c r="D4900" s="12" t="inlineStr">
        <is>
          <t>Home run JB-RICE-6-DI02 to the control / marshalling room</t>
        </is>
      </c>
      <c r="E4900" s="12" t="inlineStr"/>
      <c r="F4900" s="12" t="inlineStr">
        <is>
          <t>PCM: power control module</t>
        </is>
      </c>
      <c r="G4900" s="12" t="inlineStr">
        <is>
          <t>JB-RICE-6-DI02</t>
        </is>
      </c>
      <c r="H4900" s="12" t="inlineStr">
        <is>
          <t>RICE engine-generator 6</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Duct bank</t>
        </is>
      </c>
      <c r="T4900" s="16" t="n">
        <v>367</v>
      </c>
      <c r="U4900" s="16" t="n">
        <v>180</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I-I-0352</t>
        </is>
      </c>
      <c r="B4901" s="12" t="inlineStr">
        <is>
          <t>I</t>
        </is>
      </c>
      <c r="C4901" s="12" t="inlineStr">
        <is>
          <t>Modular / portable power</t>
        </is>
      </c>
      <c r="D4901" s="12" t="inlineStr">
        <is>
          <t>Discrete device to JB JB-RICE-6-DI03: 20 x 1 pr (field cables)</t>
        </is>
      </c>
      <c r="E4901" s="12" t="inlineStr">
        <is>
          <t>RICE-6</t>
        </is>
      </c>
      <c r="F4901" s="12" t="inlineStr">
        <is>
          <t>RICE engine-generator 6</t>
        </is>
      </c>
      <c r="G4901" s="12" t="inlineStr">
        <is>
          <t>JB-RICE-6-DI03</t>
        </is>
      </c>
      <c r="H4901" s="12" t="inlineStr">
        <is>
          <t>RICE engine-generator 6</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6" t="n">
        <v>72</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I-I-0353</t>
        </is>
      </c>
      <c r="B4902" s="12" t="inlineStr">
        <is>
          <t>I</t>
        </is>
      </c>
      <c r="C4902" s="12" t="inlineStr">
        <is>
          <t>Modular / portable power</t>
        </is>
      </c>
      <c r="D4902" s="12" t="inlineStr">
        <is>
          <t>Home run JB-RICE-6-DI03 to the control / marshalling room</t>
        </is>
      </c>
      <c r="E4902" s="12" t="inlineStr"/>
      <c r="F4902" s="12" t="inlineStr">
        <is>
          <t>PCM: power control module</t>
        </is>
      </c>
      <c r="G4902" s="12" t="inlineStr">
        <is>
          <t>JB-RICE-6-DI03</t>
        </is>
      </c>
      <c r="H4902" s="12" t="inlineStr">
        <is>
          <t>RICE engine-generator 6</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Duct bank</t>
        </is>
      </c>
      <c r="T4902" s="16" t="n">
        <v>367</v>
      </c>
      <c r="U4902" s="16" t="n">
        <v>180</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I-I-0354</t>
        </is>
      </c>
      <c r="B4903" s="12" t="inlineStr">
        <is>
          <t>I</t>
        </is>
      </c>
      <c r="C4903" s="12" t="inlineStr">
        <is>
          <t>Modular / portable power</t>
        </is>
      </c>
      <c r="D4903" s="12" t="inlineStr">
        <is>
          <t>Thermocouple to TC JB JB-RICE-6-TC01: 20 x 1 pr (field cables)</t>
        </is>
      </c>
      <c r="E4903" s="12" t="inlineStr">
        <is>
          <t>RICE-6</t>
        </is>
      </c>
      <c r="F4903" s="12" t="inlineStr">
        <is>
          <t>RICE engine-generator 6</t>
        </is>
      </c>
      <c r="G4903" s="12" t="inlineStr">
        <is>
          <t>JB-RICE-6-TC01</t>
        </is>
      </c>
      <c r="H4903" s="12" t="inlineStr">
        <is>
          <t>RICE engine-generator 6</t>
        </is>
      </c>
      <c r="I4903" s="12" t="inlineStr">
        <is>
          <t>Instrumentation</t>
        </is>
      </c>
      <c r="J4903" s="12" t="inlineStr">
        <is>
          <t>Thermocouple extension KX, #16 shielded pairs, PLTC</t>
        </is>
      </c>
      <c r="K4903" s="12" t="inlineStr">
        <is>
          <t>TCX|1 pr|16</t>
        </is>
      </c>
      <c r="L4903" s="12" t="inlineStr">
        <is>
          <t>1 pr</t>
        </is>
      </c>
      <c r="M4903" s="12" t="inlineStr">
        <is>
          <t>16</t>
        </is>
      </c>
      <c r="N4903" s="12" t="n">
        <v>20</v>
      </c>
      <c r="O4903" s="12" t="n">
        <v>1</v>
      </c>
      <c r="P4903" s="12" t="n"/>
      <c r="Q4903" s="12" t="n"/>
      <c r="R4903" s="12" t="n"/>
      <c r="S4903" s="12" t="inlineStr">
        <is>
          <t>Tray / conduit</t>
        </is>
      </c>
      <c r="T4903" s="16" t="n">
        <v>72</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I-I-0355</t>
        </is>
      </c>
      <c r="B4904" s="12" t="inlineStr">
        <is>
          <t>I</t>
        </is>
      </c>
      <c r="C4904" s="12" t="inlineStr">
        <is>
          <t>Modular / portable power</t>
        </is>
      </c>
      <c r="D4904" s="12" t="inlineStr">
        <is>
          <t>Home run JB-RICE-6-TC01 to the control / marshalling room</t>
        </is>
      </c>
      <c r="E4904" s="12" t="inlineStr"/>
      <c r="F4904" s="12" t="inlineStr">
        <is>
          <t>PCM: power control module</t>
        </is>
      </c>
      <c r="G4904" s="12" t="inlineStr">
        <is>
          <t>JB-RICE-6-TC01</t>
        </is>
      </c>
      <c r="H4904" s="12" t="inlineStr">
        <is>
          <t>RICE engine-generator 6</t>
        </is>
      </c>
      <c r="I4904" s="12" t="inlineStr">
        <is>
          <t>Instrumentation</t>
        </is>
      </c>
      <c r="J4904" s="12" t="inlineStr">
        <is>
          <t>Thermocouple extension KX, #16 shielded pairs, PLTC</t>
        </is>
      </c>
      <c r="K4904" s="12" t="inlineStr">
        <is>
          <t>TCX|24 pr|16</t>
        </is>
      </c>
      <c r="L4904" s="12" t="inlineStr">
        <is>
          <t>24 pr</t>
        </is>
      </c>
      <c r="M4904" s="12" t="inlineStr">
        <is>
          <t>16</t>
        </is>
      </c>
      <c r="N4904" s="12" t="n">
        <v>1</v>
      </c>
      <c r="O4904" s="12" t="n">
        <v>1</v>
      </c>
      <c r="P4904" s="12" t="n"/>
      <c r="Q4904" s="12" t="n"/>
      <c r="R4904" s="12" t="n"/>
      <c r="S4904" s="12" t="inlineStr">
        <is>
          <t>Duct bank</t>
        </is>
      </c>
      <c r="T4904" s="16" t="n">
        <v>367</v>
      </c>
      <c r="U4904" s="16" t="n">
        <v>180</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I-I-0356</t>
        </is>
      </c>
      <c r="B4905" s="12" t="inlineStr">
        <is>
          <t>I</t>
        </is>
      </c>
      <c r="C4905" s="12" t="inlineStr">
        <is>
          <t>Modular / portable power</t>
        </is>
      </c>
      <c r="D4905" s="12" t="inlineStr">
        <is>
          <t>Thermocouple to TC JB JB-RICE-6-TC02: 10 x 1 pr (field cables)</t>
        </is>
      </c>
      <c r="E4905" s="12" t="inlineStr">
        <is>
          <t>RICE-6</t>
        </is>
      </c>
      <c r="F4905" s="12" t="inlineStr">
        <is>
          <t>RICE engine-generator 6</t>
        </is>
      </c>
      <c r="G4905" s="12" t="inlineStr">
        <is>
          <t>JB-RICE-6-TC02</t>
        </is>
      </c>
      <c r="H4905" s="12" t="inlineStr">
        <is>
          <t>RICE engine-generator 6</t>
        </is>
      </c>
      <c r="I4905" s="12" t="inlineStr">
        <is>
          <t>Instrumentation</t>
        </is>
      </c>
      <c r="J4905" s="12" t="inlineStr">
        <is>
          <t>Thermocouple extension KX, #16 shielded pairs, PLTC</t>
        </is>
      </c>
      <c r="K4905" s="12" t="inlineStr">
        <is>
          <t>TCX|1 pr|16</t>
        </is>
      </c>
      <c r="L4905" s="12" t="inlineStr">
        <is>
          <t>1 pr</t>
        </is>
      </c>
      <c r="M4905" s="12" t="inlineStr">
        <is>
          <t>16</t>
        </is>
      </c>
      <c r="N4905" s="12" t="n">
        <v>10</v>
      </c>
      <c r="O4905" s="12" t="n">
        <v>1</v>
      </c>
      <c r="P4905" s="12" t="n"/>
      <c r="Q4905" s="12" t="n"/>
      <c r="R4905" s="12" t="n"/>
      <c r="S4905" s="12" t="inlineStr">
        <is>
          <t>Tray / conduit</t>
        </is>
      </c>
      <c r="T4905" s="16" t="n">
        <v>72</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I-I-0357</t>
        </is>
      </c>
      <c r="B4906" s="12" t="inlineStr">
        <is>
          <t>I</t>
        </is>
      </c>
      <c r="C4906" s="12" t="inlineStr">
        <is>
          <t>Modular / portable power</t>
        </is>
      </c>
      <c r="D4906" s="12" t="inlineStr">
        <is>
          <t>Home run JB-RICE-6-TC02 to the control / marshalling room</t>
        </is>
      </c>
      <c r="E4906" s="12" t="inlineStr"/>
      <c r="F4906" s="12" t="inlineStr">
        <is>
          <t>PCM: power control module</t>
        </is>
      </c>
      <c r="G4906" s="12" t="inlineStr">
        <is>
          <t>JB-RICE-6-TC02</t>
        </is>
      </c>
      <c r="H4906" s="12" t="inlineStr">
        <is>
          <t>RICE engine-generator 6</t>
        </is>
      </c>
      <c r="I4906" s="12" t="inlineStr">
        <is>
          <t>Instrumentation</t>
        </is>
      </c>
      <c r="J4906" s="12" t="inlineStr">
        <is>
          <t>Thermocouple extension KX, #16 shielded pairs, PLTC</t>
        </is>
      </c>
      <c r="K4906" s="12" t="inlineStr">
        <is>
          <t>TCX|24 pr|16</t>
        </is>
      </c>
      <c r="L4906" s="12" t="inlineStr">
        <is>
          <t>24 pr</t>
        </is>
      </c>
      <c r="M4906" s="12" t="inlineStr">
        <is>
          <t>16</t>
        </is>
      </c>
      <c r="N4906" s="12" t="n">
        <v>1</v>
      </c>
      <c r="O4906" s="12" t="n">
        <v>1</v>
      </c>
      <c r="P4906" s="12" t="n"/>
      <c r="Q4906" s="12" t="n"/>
      <c r="R4906" s="12" t="n"/>
      <c r="S4906" s="12" t="inlineStr">
        <is>
          <t>Duct bank</t>
        </is>
      </c>
      <c r="T4906" s="16" t="n">
        <v>367</v>
      </c>
      <c r="U4906" s="16" t="n">
        <v>180</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I-I-0358</t>
        </is>
      </c>
      <c r="B4907" s="12" t="inlineStr">
        <is>
          <t>I</t>
        </is>
      </c>
      <c r="C4907" s="12" t="inlineStr">
        <is>
          <t>Modular / portable power</t>
        </is>
      </c>
      <c r="D4907" s="12" t="inlineStr">
        <is>
          <t>RTD to JB JB-RICE-6-RTD01: 10 x 1 tri (field cables)</t>
        </is>
      </c>
      <c r="E4907" s="12" t="inlineStr">
        <is>
          <t>RICE-6</t>
        </is>
      </c>
      <c r="F4907" s="12" t="inlineStr">
        <is>
          <t>RICE engine-generator 6</t>
        </is>
      </c>
      <c r="G4907" s="12" t="inlineStr">
        <is>
          <t>JB-RICE-6-RTD01</t>
        </is>
      </c>
      <c r="H4907" s="12" t="inlineStr">
        <is>
          <t>RICE engine-generator 6</t>
        </is>
      </c>
      <c r="I4907" s="12" t="inlineStr">
        <is>
          <t>Instrumentation</t>
        </is>
      </c>
      <c r="J4907" s="12" t="inlineStr">
        <is>
          <t>RTD cable, #18 shielded triads, PLTC</t>
        </is>
      </c>
      <c r="K4907" s="12" t="inlineStr">
        <is>
          <t>RTD|1 tri|18</t>
        </is>
      </c>
      <c r="L4907" s="12" t="inlineStr">
        <is>
          <t>1 tri</t>
        </is>
      </c>
      <c r="M4907" s="12" t="inlineStr">
        <is>
          <t>18</t>
        </is>
      </c>
      <c r="N4907" s="12" t="n">
        <v>10</v>
      </c>
      <c r="O4907" s="12" t="n">
        <v>1</v>
      </c>
      <c r="P4907" s="12" t="n"/>
      <c r="Q4907" s="12" t="n"/>
      <c r="R4907" s="12" t="n"/>
      <c r="S4907" s="12" t="inlineStr">
        <is>
          <t>Tray / conduit</t>
        </is>
      </c>
      <c r="T4907" s="16" t="n">
        <v>72</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I-I-0359</t>
        </is>
      </c>
      <c r="B4908" s="12" t="inlineStr">
        <is>
          <t>I</t>
        </is>
      </c>
      <c r="C4908" s="12" t="inlineStr">
        <is>
          <t>Modular / portable power</t>
        </is>
      </c>
      <c r="D4908" s="12" t="inlineStr">
        <is>
          <t>Home run JB-RICE-6-RTD01 to the control / marshalling room</t>
        </is>
      </c>
      <c r="E4908" s="12" t="inlineStr"/>
      <c r="F4908" s="12" t="inlineStr">
        <is>
          <t>PCM: power control module</t>
        </is>
      </c>
      <c r="G4908" s="12" t="inlineStr">
        <is>
          <t>JB-RICE-6-RTD01</t>
        </is>
      </c>
      <c r="H4908" s="12" t="inlineStr">
        <is>
          <t>RICE engine-generator 6</t>
        </is>
      </c>
      <c r="I4908" s="12" t="inlineStr">
        <is>
          <t>Instrumentation</t>
        </is>
      </c>
      <c r="J4908" s="12" t="inlineStr">
        <is>
          <t>RTD cable, #18 shielded triads, PLTC</t>
        </is>
      </c>
      <c r="K4908" s="12" t="inlineStr">
        <is>
          <t>RTD|12 tri|18</t>
        </is>
      </c>
      <c r="L4908" s="12" t="inlineStr">
        <is>
          <t>12 tri</t>
        </is>
      </c>
      <c r="M4908" s="12" t="inlineStr">
        <is>
          <t>18</t>
        </is>
      </c>
      <c r="N4908" s="12" t="n">
        <v>1</v>
      </c>
      <c r="O4908" s="12" t="n">
        <v>1</v>
      </c>
      <c r="P4908" s="12" t="n"/>
      <c r="Q4908" s="12" t="n"/>
      <c r="R4908" s="12" t="n"/>
      <c r="S4908" s="12" t="inlineStr">
        <is>
          <t>Duct bank</t>
        </is>
      </c>
      <c r="T4908" s="16" t="n">
        <v>367</v>
      </c>
      <c r="U4908" s="16" t="n">
        <v>180</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I-I-0360</t>
        </is>
      </c>
      <c r="B4909" s="12" t="inlineStr">
        <is>
          <t>I</t>
        </is>
      </c>
      <c r="C4909" s="12" t="inlineStr">
        <is>
          <t>Modular / portable power</t>
        </is>
      </c>
      <c r="D4909" s="12" t="inlineStr">
        <is>
          <t>RTD to JB JB-RICE-6-RTD02: 2 x 1 tri (field cables)</t>
        </is>
      </c>
      <c r="E4909" s="12" t="inlineStr">
        <is>
          <t>RICE-6</t>
        </is>
      </c>
      <c r="F4909" s="12" t="inlineStr">
        <is>
          <t>RICE engine-generator 6</t>
        </is>
      </c>
      <c r="G4909" s="12" t="inlineStr">
        <is>
          <t>JB-RICE-6-RTD02</t>
        </is>
      </c>
      <c r="H4909" s="12" t="inlineStr">
        <is>
          <t>RICE engine-generator 6</t>
        </is>
      </c>
      <c r="I4909" s="12" t="inlineStr">
        <is>
          <t>Instrumentation</t>
        </is>
      </c>
      <c r="J4909" s="12" t="inlineStr">
        <is>
          <t>RTD cable, #18 shielded triads, PLTC</t>
        </is>
      </c>
      <c r="K4909" s="12" t="inlineStr">
        <is>
          <t>RTD|1 tri|18</t>
        </is>
      </c>
      <c r="L4909" s="12" t="inlineStr">
        <is>
          <t>1 tri</t>
        </is>
      </c>
      <c r="M4909" s="12" t="inlineStr">
        <is>
          <t>18</t>
        </is>
      </c>
      <c r="N4909" s="12" t="n">
        <v>2</v>
      </c>
      <c r="O4909" s="12" t="n">
        <v>1</v>
      </c>
      <c r="P4909" s="12" t="n"/>
      <c r="Q4909" s="12" t="n"/>
      <c r="R4909" s="12" t="n"/>
      <c r="S4909" s="12" t="inlineStr">
        <is>
          <t>Tray / conduit</t>
        </is>
      </c>
      <c r="T4909" s="16" t="n">
        <v>72</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I-I-0361</t>
        </is>
      </c>
      <c r="B4910" s="12" t="inlineStr">
        <is>
          <t>I</t>
        </is>
      </c>
      <c r="C4910" s="12" t="inlineStr">
        <is>
          <t>Modular / portable power</t>
        </is>
      </c>
      <c r="D4910" s="12" t="inlineStr">
        <is>
          <t>Home run JB-RICE-6-RTD02 to the control / marshalling room</t>
        </is>
      </c>
      <c r="E4910" s="12" t="inlineStr"/>
      <c r="F4910" s="12" t="inlineStr">
        <is>
          <t>PCM: power control module</t>
        </is>
      </c>
      <c r="G4910" s="12" t="inlineStr">
        <is>
          <t>JB-RICE-6-RTD02</t>
        </is>
      </c>
      <c r="H4910" s="12" t="inlineStr">
        <is>
          <t>RICE engine-generator 6</t>
        </is>
      </c>
      <c r="I4910" s="12" t="inlineStr">
        <is>
          <t>Instrumentation</t>
        </is>
      </c>
      <c r="J4910" s="12" t="inlineStr">
        <is>
          <t>RTD cable, #18 shielded triads, PLTC</t>
        </is>
      </c>
      <c r="K4910" s="12" t="inlineStr">
        <is>
          <t>RTD|12 tri|18</t>
        </is>
      </c>
      <c r="L4910" s="12" t="inlineStr">
        <is>
          <t>12 tri</t>
        </is>
      </c>
      <c r="M4910" s="12" t="inlineStr">
        <is>
          <t>18</t>
        </is>
      </c>
      <c r="N4910" s="12" t="n">
        <v>1</v>
      </c>
      <c r="O4910" s="12" t="n">
        <v>1</v>
      </c>
      <c r="P4910" s="12" t="n"/>
      <c r="Q4910" s="12" t="n"/>
      <c r="R4910" s="12" t="n"/>
      <c r="S4910" s="12" t="inlineStr">
        <is>
          <t>Duct bank</t>
        </is>
      </c>
      <c r="T4910" s="16" t="n">
        <v>367</v>
      </c>
      <c r="U4910" s="16" t="n">
        <v>180</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I-I-0362</t>
        </is>
      </c>
      <c r="B4911" s="12" t="inlineStr">
        <is>
          <t>I</t>
        </is>
      </c>
      <c r="C4911" s="12" t="inlineStr">
        <is>
          <t>Modular / portable power</t>
        </is>
      </c>
      <c r="D4911" s="12" t="inlineStr">
        <is>
          <t>Analog instrument to JB JB-RICE-7-AI01: 20 x 1 pr (field cables)</t>
        </is>
      </c>
      <c r="E4911" s="12" t="inlineStr">
        <is>
          <t>RICE-7</t>
        </is>
      </c>
      <c r="F4911" s="12" t="inlineStr">
        <is>
          <t>RICE engine-generator 7</t>
        </is>
      </c>
      <c r="G4911" s="12" t="inlineStr">
        <is>
          <t>JB-RICE-7-AI01</t>
        </is>
      </c>
      <c r="H4911" s="12" t="inlineStr">
        <is>
          <t>RICE engine-generator 7</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72</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I-I-0363</t>
        </is>
      </c>
      <c r="B4912" s="12" t="inlineStr">
        <is>
          <t>I</t>
        </is>
      </c>
      <c r="C4912" s="12" t="inlineStr">
        <is>
          <t>Modular / portable power</t>
        </is>
      </c>
      <c r="D4912" s="12" t="inlineStr">
        <is>
          <t>Home run JB-RICE-7-AI01 to the control / marshalling room</t>
        </is>
      </c>
      <c r="E4912" s="12" t="inlineStr"/>
      <c r="F4912" s="12" t="inlineStr">
        <is>
          <t>PCM: power control module</t>
        </is>
      </c>
      <c r="G4912" s="12" t="inlineStr">
        <is>
          <t>JB-RICE-7-AI01</t>
        </is>
      </c>
      <c r="H4912" s="12" t="inlineStr">
        <is>
          <t>RICE engine-generator 7</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189</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I-I-0364</t>
        </is>
      </c>
      <c r="B4913" s="12" t="inlineStr">
        <is>
          <t>I</t>
        </is>
      </c>
      <c r="C4913" s="12" t="inlineStr">
        <is>
          <t>Modular / portable power</t>
        </is>
      </c>
      <c r="D4913" s="12" t="inlineStr">
        <is>
          <t>Analog instrument to JB JB-RICE-7-AI02: 20 x 1 pr (field cables)</t>
        </is>
      </c>
      <c r="E4913" s="12" t="inlineStr">
        <is>
          <t>RICE-7</t>
        </is>
      </c>
      <c r="F4913" s="12" t="inlineStr">
        <is>
          <t>RICE engine-generator 7</t>
        </is>
      </c>
      <c r="G4913" s="12" t="inlineStr">
        <is>
          <t>JB-RICE-7-AI02</t>
        </is>
      </c>
      <c r="H4913" s="12" t="inlineStr">
        <is>
          <t>RICE engine-generator 7</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72</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I-I-0365</t>
        </is>
      </c>
      <c r="B4914" s="12" t="inlineStr">
        <is>
          <t>I</t>
        </is>
      </c>
      <c r="C4914" s="12" t="inlineStr">
        <is>
          <t>Modular / portable power</t>
        </is>
      </c>
      <c r="D4914" s="12" t="inlineStr">
        <is>
          <t>Home run JB-RICE-7-AI02 to the control / marshalling room</t>
        </is>
      </c>
      <c r="E4914" s="12" t="inlineStr"/>
      <c r="F4914" s="12" t="inlineStr">
        <is>
          <t>PCM: power control module</t>
        </is>
      </c>
      <c r="G4914" s="12" t="inlineStr">
        <is>
          <t>JB-RICE-7-AI02</t>
        </is>
      </c>
      <c r="H4914" s="12" t="inlineStr">
        <is>
          <t>RICE engine-generator 7</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189</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I-I-0366</t>
        </is>
      </c>
      <c r="B4915" s="12" t="inlineStr">
        <is>
          <t>I</t>
        </is>
      </c>
      <c r="C4915" s="12" t="inlineStr">
        <is>
          <t>Modular / portable power</t>
        </is>
      </c>
      <c r="D4915" s="12" t="inlineStr">
        <is>
          <t>Analog instrument to JB JB-RICE-7-AI03: 20 x 1 pr (field cables)</t>
        </is>
      </c>
      <c r="E4915" s="12" t="inlineStr">
        <is>
          <t>RICE-7</t>
        </is>
      </c>
      <c r="F4915" s="12" t="inlineStr">
        <is>
          <t>RICE engine-generator 7</t>
        </is>
      </c>
      <c r="G4915" s="12" t="inlineStr">
        <is>
          <t>JB-RICE-7-AI03</t>
        </is>
      </c>
      <c r="H4915" s="12" t="inlineStr">
        <is>
          <t>RICE engine-generator 7</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72</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I-I-0367</t>
        </is>
      </c>
      <c r="B4916" s="12" t="inlineStr">
        <is>
          <t>I</t>
        </is>
      </c>
      <c r="C4916" s="12" t="inlineStr">
        <is>
          <t>Modular / portable power</t>
        </is>
      </c>
      <c r="D4916" s="12" t="inlineStr">
        <is>
          <t>Home run JB-RICE-7-AI03 to the control / marshalling room</t>
        </is>
      </c>
      <c r="E4916" s="12" t="inlineStr"/>
      <c r="F4916" s="12" t="inlineStr">
        <is>
          <t>PCM: power control module</t>
        </is>
      </c>
      <c r="G4916" s="12" t="inlineStr">
        <is>
          <t>JB-RICE-7-AI03</t>
        </is>
      </c>
      <c r="H4916" s="12" t="inlineStr">
        <is>
          <t>RICE engine-generator 7</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189</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I-I-0368</t>
        </is>
      </c>
      <c r="B4917" s="12" t="inlineStr">
        <is>
          <t>I</t>
        </is>
      </c>
      <c r="C4917" s="12" t="inlineStr">
        <is>
          <t>Modular / portable power</t>
        </is>
      </c>
      <c r="D4917" s="12" t="inlineStr">
        <is>
          <t>Analog instrument to JB JB-RICE-7-AI04: 20 x 1 pr (field cables)</t>
        </is>
      </c>
      <c r="E4917" s="12" t="inlineStr">
        <is>
          <t>RICE-7</t>
        </is>
      </c>
      <c r="F4917" s="12" t="inlineStr">
        <is>
          <t>RICE engine-generator 7</t>
        </is>
      </c>
      <c r="G4917" s="12" t="inlineStr">
        <is>
          <t>JB-RICE-7-AI04</t>
        </is>
      </c>
      <c r="H4917" s="12" t="inlineStr">
        <is>
          <t>RICE engine-generator 7</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6" t="n">
        <v>72</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I-I-0369</t>
        </is>
      </c>
      <c r="B4918" s="12" t="inlineStr">
        <is>
          <t>I</t>
        </is>
      </c>
      <c r="C4918" s="12" t="inlineStr">
        <is>
          <t>Modular / portable power</t>
        </is>
      </c>
      <c r="D4918" s="12" t="inlineStr">
        <is>
          <t>Home run JB-RICE-7-AI04 to the control / marshalling room</t>
        </is>
      </c>
      <c r="E4918" s="12" t="inlineStr"/>
      <c r="F4918" s="12" t="inlineStr">
        <is>
          <t>PCM: power control module</t>
        </is>
      </c>
      <c r="G4918" s="12" t="inlineStr">
        <is>
          <t>JB-RICE-7-AI04</t>
        </is>
      </c>
      <c r="H4918" s="12" t="inlineStr">
        <is>
          <t>RICE engine-generator 7</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189</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I-I-0370</t>
        </is>
      </c>
      <c r="B4919" s="12" t="inlineStr">
        <is>
          <t>I</t>
        </is>
      </c>
      <c r="C4919" s="12" t="inlineStr">
        <is>
          <t>Modular / portable power</t>
        </is>
      </c>
      <c r="D4919" s="12" t="inlineStr">
        <is>
          <t>Discrete device to JB JB-RICE-7-DI01: 20 x 1 pr (field cables)</t>
        </is>
      </c>
      <c r="E4919" s="12" t="inlineStr">
        <is>
          <t>RICE-7</t>
        </is>
      </c>
      <c r="F4919" s="12" t="inlineStr">
        <is>
          <t>RICE engine-generator 7</t>
        </is>
      </c>
      <c r="G4919" s="12" t="inlineStr">
        <is>
          <t>JB-RICE-7-DI01</t>
        </is>
      </c>
      <c r="H4919" s="12" t="inlineStr">
        <is>
          <t>RICE engine-generator 7</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72</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I-I-0371</t>
        </is>
      </c>
      <c r="B4920" s="12" t="inlineStr">
        <is>
          <t>I</t>
        </is>
      </c>
      <c r="C4920" s="12" t="inlineStr">
        <is>
          <t>Modular / portable power</t>
        </is>
      </c>
      <c r="D4920" s="12" t="inlineStr">
        <is>
          <t>Home run JB-RICE-7-DI01 to the control / marshalling room</t>
        </is>
      </c>
      <c r="E4920" s="12" t="inlineStr"/>
      <c r="F4920" s="12" t="inlineStr">
        <is>
          <t>PCM: power control module</t>
        </is>
      </c>
      <c r="G4920" s="12" t="inlineStr">
        <is>
          <t>JB-RICE-7-DI01</t>
        </is>
      </c>
      <c r="H4920" s="12" t="inlineStr">
        <is>
          <t>RICE engine-generator 7</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189</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I-I-0372</t>
        </is>
      </c>
      <c r="B4921" s="12" t="inlineStr">
        <is>
          <t>I</t>
        </is>
      </c>
      <c r="C4921" s="12" t="inlineStr">
        <is>
          <t>Modular / portable power</t>
        </is>
      </c>
      <c r="D4921" s="12" t="inlineStr">
        <is>
          <t>Discrete device to JB JB-RICE-7-DI02: 20 x 1 pr (field cables)</t>
        </is>
      </c>
      <c r="E4921" s="12" t="inlineStr">
        <is>
          <t>RICE-7</t>
        </is>
      </c>
      <c r="F4921" s="12" t="inlineStr">
        <is>
          <t>RICE engine-generator 7</t>
        </is>
      </c>
      <c r="G4921" s="12" t="inlineStr">
        <is>
          <t>JB-RICE-7-DI02</t>
        </is>
      </c>
      <c r="H4921" s="12" t="inlineStr">
        <is>
          <t>RICE engine-generator 7</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72</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I-I-0373</t>
        </is>
      </c>
      <c r="B4922" s="12" t="inlineStr">
        <is>
          <t>I</t>
        </is>
      </c>
      <c r="C4922" s="12" t="inlineStr">
        <is>
          <t>Modular / portable power</t>
        </is>
      </c>
      <c r="D4922" s="12" t="inlineStr">
        <is>
          <t>Home run JB-RICE-7-DI02 to the control / marshalling room</t>
        </is>
      </c>
      <c r="E4922" s="12" t="inlineStr"/>
      <c r="F4922" s="12" t="inlineStr">
        <is>
          <t>PCM: power control module</t>
        </is>
      </c>
      <c r="G4922" s="12" t="inlineStr">
        <is>
          <t>JB-RICE-7-DI02</t>
        </is>
      </c>
      <c r="H4922" s="12" t="inlineStr">
        <is>
          <t>RICE engine-generator 7</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189</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I-I-0374</t>
        </is>
      </c>
      <c r="B4923" s="12" t="inlineStr">
        <is>
          <t>I</t>
        </is>
      </c>
      <c r="C4923" s="12" t="inlineStr">
        <is>
          <t>Modular / portable power</t>
        </is>
      </c>
      <c r="D4923" s="12" t="inlineStr">
        <is>
          <t>Discrete device to JB JB-RICE-7-DI03: 20 x 1 pr (field cables)</t>
        </is>
      </c>
      <c r="E4923" s="12" t="inlineStr">
        <is>
          <t>RICE-7</t>
        </is>
      </c>
      <c r="F4923" s="12" t="inlineStr">
        <is>
          <t>RICE engine-generator 7</t>
        </is>
      </c>
      <c r="G4923" s="12" t="inlineStr">
        <is>
          <t>JB-RICE-7-DI03</t>
        </is>
      </c>
      <c r="H4923" s="12" t="inlineStr">
        <is>
          <t>RICE engine-generator 7</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72</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I-I-0375</t>
        </is>
      </c>
      <c r="B4924" s="12" t="inlineStr">
        <is>
          <t>I</t>
        </is>
      </c>
      <c r="C4924" s="12" t="inlineStr">
        <is>
          <t>Modular / portable power</t>
        </is>
      </c>
      <c r="D4924" s="12" t="inlineStr">
        <is>
          <t>Home run JB-RICE-7-DI03 to the control / marshalling room</t>
        </is>
      </c>
      <c r="E4924" s="12" t="inlineStr"/>
      <c r="F4924" s="12" t="inlineStr">
        <is>
          <t>PCM: power control module</t>
        </is>
      </c>
      <c r="G4924" s="12" t="inlineStr">
        <is>
          <t>JB-RICE-7-DI03</t>
        </is>
      </c>
      <c r="H4924" s="12" t="inlineStr">
        <is>
          <t>RICE engine-generator 7</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189</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I-I-0376</t>
        </is>
      </c>
      <c r="B4925" s="12" t="inlineStr">
        <is>
          <t>I</t>
        </is>
      </c>
      <c r="C4925" s="12" t="inlineStr">
        <is>
          <t>Modular / portable power</t>
        </is>
      </c>
      <c r="D4925" s="12" t="inlineStr">
        <is>
          <t>Thermocouple to TC JB JB-RICE-7-TC01: 20 x 1 pr (field cables)</t>
        </is>
      </c>
      <c r="E4925" s="12" t="inlineStr">
        <is>
          <t>RICE-7</t>
        </is>
      </c>
      <c r="F4925" s="12" t="inlineStr">
        <is>
          <t>RICE engine-generator 7</t>
        </is>
      </c>
      <c r="G4925" s="12" t="inlineStr">
        <is>
          <t>JB-RICE-7-TC01</t>
        </is>
      </c>
      <c r="H4925" s="12" t="inlineStr">
        <is>
          <t>RICE engine-generator 7</t>
        </is>
      </c>
      <c r="I4925" s="12" t="inlineStr">
        <is>
          <t>Instrumentation</t>
        </is>
      </c>
      <c r="J4925" s="12" t="inlineStr">
        <is>
          <t>Thermocouple extension KX, #16 shielded pairs, PLTC</t>
        </is>
      </c>
      <c r="K4925" s="12" t="inlineStr">
        <is>
          <t>TCX|1 pr|16</t>
        </is>
      </c>
      <c r="L4925" s="12" t="inlineStr">
        <is>
          <t>1 pr</t>
        </is>
      </c>
      <c r="M4925" s="12" t="inlineStr">
        <is>
          <t>16</t>
        </is>
      </c>
      <c r="N4925" s="12" t="n">
        <v>20</v>
      </c>
      <c r="O4925" s="12" t="n">
        <v>1</v>
      </c>
      <c r="P4925" s="12" t="n"/>
      <c r="Q4925" s="12" t="n"/>
      <c r="R4925" s="12" t="n"/>
      <c r="S4925" s="12" t="inlineStr">
        <is>
          <t>Tray / conduit</t>
        </is>
      </c>
      <c r="T4925" s="16" t="n">
        <v>72</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I-I-0377</t>
        </is>
      </c>
      <c r="B4926" s="12" t="inlineStr">
        <is>
          <t>I</t>
        </is>
      </c>
      <c r="C4926" s="12" t="inlineStr">
        <is>
          <t>Modular / portable power</t>
        </is>
      </c>
      <c r="D4926" s="12" t="inlineStr">
        <is>
          <t>Home run JB-RICE-7-TC01 to the control / marshalling room</t>
        </is>
      </c>
      <c r="E4926" s="12" t="inlineStr"/>
      <c r="F4926" s="12" t="inlineStr">
        <is>
          <t>PCM: power control module</t>
        </is>
      </c>
      <c r="G4926" s="12" t="inlineStr">
        <is>
          <t>JB-RICE-7-TC01</t>
        </is>
      </c>
      <c r="H4926" s="12" t="inlineStr">
        <is>
          <t>RICE engine-generator 7</t>
        </is>
      </c>
      <c r="I4926" s="12" t="inlineStr">
        <is>
          <t>Instrumentation</t>
        </is>
      </c>
      <c r="J4926" s="12" t="inlineStr">
        <is>
          <t>Thermocouple extension KX, #16 shielded pairs, PLTC</t>
        </is>
      </c>
      <c r="K4926" s="12" t="inlineStr">
        <is>
          <t>TCX|24 pr|16</t>
        </is>
      </c>
      <c r="L4926" s="12" t="inlineStr">
        <is>
          <t>24 pr</t>
        </is>
      </c>
      <c r="M4926" s="12" t="inlineStr">
        <is>
          <t>16</t>
        </is>
      </c>
      <c r="N4926" s="12" t="n">
        <v>1</v>
      </c>
      <c r="O4926" s="12" t="n">
        <v>1</v>
      </c>
      <c r="P4926" s="12" t="n"/>
      <c r="Q4926" s="12" t="n"/>
      <c r="R4926" s="12" t="n"/>
      <c r="S4926" s="12" t="inlineStr">
        <is>
          <t>Tray</t>
        </is>
      </c>
      <c r="T4926" s="16" t="n">
        <v>0</v>
      </c>
      <c r="U4926" s="16" t="n">
        <v>189</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I-I-0378</t>
        </is>
      </c>
      <c r="B4927" s="12" t="inlineStr">
        <is>
          <t>I</t>
        </is>
      </c>
      <c r="C4927" s="12" t="inlineStr">
        <is>
          <t>Modular / portable power</t>
        </is>
      </c>
      <c r="D4927" s="12" t="inlineStr">
        <is>
          <t>Thermocouple to TC JB JB-RICE-7-TC02: 10 x 1 pr (field cables)</t>
        </is>
      </c>
      <c r="E4927" s="12" t="inlineStr">
        <is>
          <t>RICE-7</t>
        </is>
      </c>
      <c r="F4927" s="12" t="inlineStr">
        <is>
          <t>RICE engine-generator 7</t>
        </is>
      </c>
      <c r="G4927" s="12" t="inlineStr">
        <is>
          <t>JB-RICE-7-TC02</t>
        </is>
      </c>
      <c r="H4927" s="12" t="inlineStr">
        <is>
          <t>RICE engine-generator 7</t>
        </is>
      </c>
      <c r="I4927" s="12" t="inlineStr">
        <is>
          <t>Instrumentation</t>
        </is>
      </c>
      <c r="J4927" s="12" t="inlineStr">
        <is>
          <t>Thermocouple extension KX, #16 shielded pairs, PLTC</t>
        </is>
      </c>
      <c r="K4927" s="12" t="inlineStr">
        <is>
          <t>TCX|1 pr|16</t>
        </is>
      </c>
      <c r="L4927" s="12" t="inlineStr">
        <is>
          <t>1 pr</t>
        </is>
      </c>
      <c r="M4927" s="12" t="inlineStr">
        <is>
          <t>16</t>
        </is>
      </c>
      <c r="N4927" s="12" t="n">
        <v>10</v>
      </c>
      <c r="O4927" s="12" t="n">
        <v>1</v>
      </c>
      <c r="P4927" s="12" t="n"/>
      <c r="Q4927" s="12" t="n"/>
      <c r="R4927" s="12" t="n"/>
      <c r="S4927" s="12" t="inlineStr">
        <is>
          <t>Tray / conduit</t>
        </is>
      </c>
      <c r="T4927" s="16" t="n">
        <v>72</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I-I-0379</t>
        </is>
      </c>
      <c r="B4928" s="12" t="inlineStr">
        <is>
          <t>I</t>
        </is>
      </c>
      <c r="C4928" s="12" t="inlineStr">
        <is>
          <t>Modular / portable power</t>
        </is>
      </c>
      <c r="D4928" s="12" t="inlineStr">
        <is>
          <t>Home run JB-RICE-7-TC02 to the control / marshalling room</t>
        </is>
      </c>
      <c r="E4928" s="12" t="inlineStr"/>
      <c r="F4928" s="12" t="inlineStr">
        <is>
          <t>PCM: power control module</t>
        </is>
      </c>
      <c r="G4928" s="12" t="inlineStr">
        <is>
          <t>JB-RICE-7-TC02</t>
        </is>
      </c>
      <c r="H4928" s="12" t="inlineStr">
        <is>
          <t>RICE engine-generator 7</t>
        </is>
      </c>
      <c r="I4928" s="12" t="inlineStr">
        <is>
          <t>Instrumentation</t>
        </is>
      </c>
      <c r="J4928" s="12" t="inlineStr">
        <is>
          <t>Thermocouple extension KX, #16 shielded pairs, PLTC</t>
        </is>
      </c>
      <c r="K4928" s="12" t="inlineStr">
        <is>
          <t>TCX|24 pr|16</t>
        </is>
      </c>
      <c r="L4928" s="12" t="inlineStr">
        <is>
          <t>24 pr</t>
        </is>
      </c>
      <c r="M4928" s="12" t="inlineStr">
        <is>
          <t>16</t>
        </is>
      </c>
      <c r="N4928" s="12" t="n">
        <v>1</v>
      </c>
      <c r="O4928" s="12" t="n">
        <v>1</v>
      </c>
      <c r="P4928" s="12" t="n"/>
      <c r="Q4928" s="12" t="n"/>
      <c r="R4928" s="12" t="n"/>
      <c r="S4928" s="12" t="inlineStr">
        <is>
          <t>Tray</t>
        </is>
      </c>
      <c r="T4928" s="16" t="n">
        <v>0</v>
      </c>
      <c r="U4928" s="16" t="n">
        <v>189</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I-I-0380</t>
        </is>
      </c>
      <c r="B4929" s="12" t="inlineStr">
        <is>
          <t>I</t>
        </is>
      </c>
      <c r="C4929" s="12" t="inlineStr">
        <is>
          <t>Modular / portable power</t>
        </is>
      </c>
      <c r="D4929" s="12" t="inlineStr">
        <is>
          <t>RTD to JB JB-RICE-7-RTD01: 10 x 1 tri (field cables)</t>
        </is>
      </c>
      <c r="E4929" s="12" t="inlineStr">
        <is>
          <t>RICE-7</t>
        </is>
      </c>
      <c r="F4929" s="12" t="inlineStr">
        <is>
          <t>RICE engine-generator 7</t>
        </is>
      </c>
      <c r="G4929" s="12" t="inlineStr">
        <is>
          <t>JB-RICE-7-RTD01</t>
        </is>
      </c>
      <c r="H4929" s="12" t="inlineStr">
        <is>
          <t>RICE engine-generator 7</t>
        </is>
      </c>
      <c r="I4929" s="12" t="inlineStr">
        <is>
          <t>Instrumentation</t>
        </is>
      </c>
      <c r="J4929" s="12" t="inlineStr">
        <is>
          <t>RTD cable, #18 shielded triads, PLTC</t>
        </is>
      </c>
      <c r="K4929" s="12" t="inlineStr">
        <is>
          <t>RTD|1 tri|18</t>
        </is>
      </c>
      <c r="L4929" s="12" t="inlineStr">
        <is>
          <t>1 tri</t>
        </is>
      </c>
      <c r="M4929" s="12" t="inlineStr">
        <is>
          <t>18</t>
        </is>
      </c>
      <c r="N4929" s="12" t="n">
        <v>10</v>
      </c>
      <c r="O4929" s="12" t="n">
        <v>1</v>
      </c>
      <c r="P4929" s="12" t="n"/>
      <c r="Q4929" s="12" t="n"/>
      <c r="R4929" s="12" t="n"/>
      <c r="S4929" s="12" t="inlineStr">
        <is>
          <t>Tray / conduit</t>
        </is>
      </c>
      <c r="T4929" s="16" t="n">
        <v>72</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I-I-0381</t>
        </is>
      </c>
      <c r="B4930" s="12" t="inlineStr">
        <is>
          <t>I</t>
        </is>
      </c>
      <c r="C4930" s="12" t="inlineStr">
        <is>
          <t>Modular / portable power</t>
        </is>
      </c>
      <c r="D4930" s="12" t="inlineStr">
        <is>
          <t>Home run JB-RICE-7-RTD01 to the control / marshalling room</t>
        </is>
      </c>
      <c r="E4930" s="12" t="inlineStr"/>
      <c r="F4930" s="12" t="inlineStr">
        <is>
          <t>PCM: power control module</t>
        </is>
      </c>
      <c r="G4930" s="12" t="inlineStr">
        <is>
          <t>JB-RICE-7-RTD01</t>
        </is>
      </c>
      <c r="H4930" s="12" t="inlineStr">
        <is>
          <t>RICE engine-generator 7</t>
        </is>
      </c>
      <c r="I4930" s="12" t="inlineStr">
        <is>
          <t>Instrumentation</t>
        </is>
      </c>
      <c r="J4930" s="12" t="inlineStr">
        <is>
          <t>RTD cable, #18 shielded triads, PLTC</t>
        </is>
      </c>
      <c r="K4930" s="12" t="inlineStr">
        <is>
          <t>RTD|12 tri|18</t>
        </is>
      </c>
      <c r="L4930" s="12" t="inlineStr">
        <is>
          <t>12 tri</t>
        </is>
      </c>
      <c r="M4930" s="12" t="inlineStr">
        <is>
          <t>18</t>
        </is>
      </c>
      <c r="N4930" s="12" t="n">
        <v>1</v>
      </c>
      <c r="O4930" s="12" t="n">
        <v>1</v>
      </c>
      <c r="P4930" s="12" t="n"/>
      <c r="Q4930" s="12" t="n"/>
      <c r="R4930" s="12" t="n"/>
      <c r="S4930" s="12" t="inlineStr">
        <is>
          <t>Tray</t>
        </is>
      </c>
      <c r="T4930" s="16" t="n">
        <v>0</v>
      </c>
      <c r="U4930" s="16" t="n">
        <v>189</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I-I-0382</t>
        </is>
      </c>
      <c r="B4931" s="12" t="inlineStr">
        <is>
          <t>I</t>
        </is>
      </c>
      <c r="C4931" s="12" t="inlineStr">
        <is>
          <t>Modular / portable power</t>
        </is>
      </c>
      <c r="D4931" s="12" t="inlineStr">
        <is>
          <t>RTD to JB JB-RICE-7-RTD02: 2 x 1 tri (field cables)</t>
        </is>
      </c>
      <c r="E4931" s="12" t="inlineStr">
        <is>
          <t>RICE-7</t>
        </is>
      </c>
      <c r="F4931" s="12" t="inlineStr">
        <is>
          <t>RICE engine-generator 7</t>
        </is>
      </c>
      <c r="G4931" s="12" t="inlineStr">
        <is>
          <t>JB-RICE-7-RTD02</t>
        </is>
      </c>
      <c r="H4931" s="12" t="inlineStr">
        <is>
          <t>RICE engine-generator 7</t>
        </is>
      </c>
      <c r="I4931" s="12" t="inlineStr">
        <is>
          <t>Instrumentation</t>
        </is>
      </c>
      <c r="J4931" s="12" t="inlineStr">
        <is>
          <t>RTD cable, #18 shielded triads, PLTC</t>
        </is>
      </c>
      <c r="K4931" s="12" t="inlineStr">
        <is>
          <t>RTD|1 tri|18</t>
        </is>
      </c>
      <c r="L4931" s="12" t="inlineStr">
        <is>
          <t>1 tri</t>
        </is>
      </c>
      <c r="M4931" s="12" t="inlineStr">
        <is>
          <t>18</t>
        </is>
      </c>
      <c r="N4931" s="12" t="n">
        <v>2</v>
      </c>
      <c r="O4931" s="12" t="n">
        <v>1</v>
      </c>
      <c r="P4931" s="12" t="n"/>
      <c r="Q4931" s="12" t="n"/>
      <c r="R4931" s="12" t="n"/>
      <c r="S4931" s="12" t="inlineStr">
        <is>
          <t>Tray / conduit</t>
        </is>
      </c>
      <c r="T4931" s="16" t="n">
        <v>72</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I-I-0383</t>
        </is>
      </c>
      <c r="B4932" s="12" t="inlineStr">
        <is>
          <t>I</t>
        </is>
      </c>
      <c r="C4932" s="12" t="inlineStr">
        <is>
          <t>Modular / portable power</t>
        </is>
      </c>
      <c r="D4932" s="12" t="inlineStr">
        <is>
          <t>Home run JB-RICE-7-RTD02 to the control / marshalling room</t>
        </is>
      </c>
      <c r="E4932" s="12" t="inlineStr"/>
      <c r="F4932" s="12" t="inlineStr">
        <is>
          <t>PCM: power control module</t>
        </is>
      </c>
      <c r="G4932" s="12" t="inlineStr">
        <is>
          <t>JB-RICE-7-RTD02</t>
        </is>
      </c>
      <c r="H4932" s="12" t="inlineStr">
        <is>
          <t>RICE engine-generator 7</t>
        </is>
      </c>
      <c r="I4932" s="12" t="inlineStr">
        <is>
          <t>Instrumentation</t>
        </is>
      </c>
      <c r="J4932" s="12" t="inlineStr">
        <is>
          <t>RTD cable, #18 shielded triads, PLTC</t>
        </is>
      </c>
      <c r="K4932" s="12" t="inlineStr">
        <is>
          <t>RTD|12 tri|18</t>
        </is>
      </c>
      <c r="L4932" s="12" t="inlineStr">
        <is>
          <t>12 tri</t>
        </is>
      </c>
      <c r="M4932" s="12" t="inlineStr">
        <is>
          <t>18</t>
        </is>
      </c>
      <c r="N4932" s="12" t="n">
        <v>1</v>
      </c>
      <c r="O4932" s="12" t="n">
        <v>1</v>
      </c>
      <c r="P4932" s="12" t="n"/>
      <c r="Q4932" s="12" t="n"/>
      <c r="R4932" s="12" t="n"/>
      <c r="S4932" s="12" t="inlineStr">
        <is>
          <t>Tray</t>
        </is>
      </c>
      <c r="T4932" s="16" t="n">
        <v>0</v>
      </c>
      <c r="U4932" s="16" t="n">
        <v>189</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I-I-0384</t>
        </is>
      </c>
      <c r="B4933" s="12" t="inlineStr">
        <is>
          <t>I</t>
        </is>
      </c>
      <c r="C4933" s="12" t="inlineStr">
        <is>
          <t>Modular / portable power</t>
        </is>
      </c>
      <c r="D4933" s="12" t="inlineStr">
        <is>
          <t>Analog instrument to JB JB-RICE-8-AI01: 20 x 1 pr (field cables)</t>
        </is>
      </c>
      <c r="E4933" s="12" t="inlineStr">
        <is>
          <t>RICE-8</t>
        </is>
      </c>
      <c r="F4933" s="12" t="inlineStr">
        <is>
          <t>RICE engine-generator 8</t>
        </is>
      </c>
      <c r="G4933" s="12" t="inlineStr">
        <is>
          <t>JB-RICE-8-AI01</t>
        </is>
      </c>
      <c r="H4933" s="12" t="inlineStr">
        <is>
          <t>RICE engine-generator 8</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6" t="n">
        <v>72</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I-I-0385</t>
        </is>
      </c>
      <c r="B4934" s="12" t="inlineStr">
        <is>
          <t>I</t>
        </is>
      </c>
      <c r="C4934" s="12" t="inlineStr">
        <is>
          <t>Modular / portable power</t>
        </is>
      </c>
      <c r="D4934" s="12" t="inlineStr">
        <is>
          <t>Home run JB-RICE-8-AI01 to the control / marshalling room</t>
        </is>
      </c>
      <c r="E4934" s="12" t="inlineStr"/>
      <c r="F4934" s="12" t="inlineStr">
        <is>
          <t>PCM: power control module</t>
        </is>
      </c>
      <c r="G4934" s="12" t="inlineStr">
        <is>
          <t>JB-RICE-8-AI01</t>
        </is>
      </c>
      <c r="H4934" s="12" t="inlineStr">
        <is>
          <t>RICE engine-generator 8</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Tray</t>
        </is>
      </c>
      <c r="T4934" s="16" t="n">
        <v>0</v>
      </c>
      <c r="U4934" s="16" t="n">
        <v>161</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I-I-0386</t>
        </is>
      </c>
      <c r="B4935" s="12" t="inlineStr">
        <is>
          <t>I</t>
        </is>
      </c>
      <c r="C4935" s="12" t="inlineStr">
        <is>
          <t>Modular / portable power</t>
        </is>
      </c>
      <c r="D4935" s="12" t="inlineStr">
        <is>
          <t>Analog instrument to JB JB-RICE-8-AI02: 20 x 1 pr (field cables)</t>
        </is>
      </c>
      <c r="E4935" s="12" t="inlineStr">
        <is>
          <t>RICE-8</t>
        </is>
      </c>
      <c r="F4935" s="12" t="inlineStr">
        <is>
          <t>RICE engine-generator 8</t>
        </is>
      </c>
      <c r="G4935" s="12" t="inlineStr">
        <is>
          <t>JB-RICE-8-AI02</t>
        </is>
      </c>
      <c r="H4935" s="12" t="inlineStr">
        <is>
          <t>RICE engine-generator 8</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6" t="n">
        <v>72</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I-I-0387</t>
        </is>
      </c>
      <c r="B4936" s="12" t="inlineStr">
        <is>
          <t>I</t>
        </is>
      </c>
      <c r="C4936" s="12" t="inlineStr">
        <is>
          <t>Modular / portable power</t>
        </is>
      </c>
      <c r="D4936" s="12" t="inlineStr">
        <is>
          <t>Home run JB-RICE-8-AI02 to the control / marshalling room</t>
        </is>
      </c>
      <c r="E4936" s="12" t="inlineStr"/>
      <c r="F4936" s="12" t="inlineStr">
        <is>
          <t>PCM: power control module</t>
        </is>
      </c>
      <c r="G4936" s="12" t="inlineStr">
        <is>
          <t>JB-RICE-8-AI02</t>
        </is>
      </c>
      <c r="H4936" s="12" t="inlineStr">
        <is>
          <t>RICE engine-generator 8</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Tray</t>
        </is>
      </c>
      <c r="T4936" s="16" t="n">
        <v>0</v>
      </c>
      <c r="U4936" s="16" t="n">
        <v>161</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I-I-0388</t>
        </is>
      </c>
      <c r="B4937" s="12" t="inlineStr">
        <is>
          <t>I</t>
        </is>
      </c>
      <c r="C4937" s="12" t="inlineStr">
        <is>
          <t>Modular / portable power</t>
        </is>
      </c>
      <c r="D4937" s="12" t="inlineStr">
        <is>
          <t>Analog instrument to JB JB-RICE-8-AI03: 20 x 1 pr (field cables)</t>
        </is>
      </c>
      <c r="E4937" s="12" t="inlineStr">
        <is>
          <t>RICE-8</t>
        </is>
      </c>
      <c r="F4937" s="12" t="inlineStr">
        <is>
          <t>RICE engine-generator 8</t>
        </is>
      </c>
      <c r="G4937" s="12" t="inlineStr">
        <is>
          <t>JB-RICE-8-AI03</t>
        </is>
      </c>
      <c r="H4937" s="12" t="inlineStr">
        <is>
          <t>RICE engine-generator 8</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6" t="n">
        <v>72</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I-I-0389</t>
        </is>
      </c>
      <c r="B4938" s="12" t="inlineStr">
        <is>
          <t>I</t>
        </is>
      </c>
      <c r="C4938" s="12" t="inlineStr">
        <is>
          <t>Modular / portable power</t>
        </is>
      </c>
      <c r="D4938" s="12" t="inlineStr">
        <is>
          <t>Home run JB-RICE-8-AI03 to the control / marshalling room</t>
        </is>
      </c>
      <c r="E4938" s="12" t="inlineStr"/>
      <c r="F4938" s="12" t="inlineStr">
        <is>
          <t>PCM: power control module</t>
        </is>
      </c>
      <c r="G4938" s="12" t="inlineStr">
        <is>
          <t>JB-RICE-8-AI03</t>
        </is>
      </c>
      <c r="H4938" s="12" t="inlineStr">
        <is>
          <t>RICE engine-generator 8</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Tray</t>
        </is>
      </c>
      <c r="T4938" s="16" t="n">
        <v>0</v>
      </c>
      <c r="U4938" s="16" t="n">
        <v>161</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I-I-0390</t>
        </is>
      </c>
      <c r="B4939" s="12" t="inlineStr">
        <is>
          <t>I</t>
        </is>
      </c>
      <c r="C4939" s="12" t="inlineStr">
        <is>
          <t>Modular / portable power</t>
        </is>
      </c>
      <c r="D4939" s="12" t="inlineStr">
        <is>
          <t>Analog instrument to JB JB-RICE-8-AI04: 20 x 1 pr (field cables)</t>
        </is>
      </c>
      <c r="E4939" s="12" t="inlineStr">
        <is>
          <t>RICE-8</t>
        </is>
      </c>
      <c r="F4939" s="12" t="inlineStr">
        <is>
          <t>RICE engine-generator 8</t>
        </is>
      </c>
      <c r="G4939" s="12" t="inlineStr">
        <is>
          <t>JB-RICE-8-AI04</t>
        </is>
      </c>
      <c r="H4939" s="12" t="inlineStr">
        <is>
          <t>RICE engine-generator 8</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6" t="n">
        <v>72</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I-I-0391</t>
        </is>
      </c>
      <c r="B4940" s="12" t="inlineStr">
        <is>
          <t>I</t>
        </is>
      </c>
      <c r="C4940" s="12" t="inlineStr">
        <is>
          <t>Modular / portable power</t>
        </is>
      </c>
      <c r="D4940" s="12" t="inlineStr">
        <is>
          <t>Home run JB-RICE-8-AI04 to the control / marshalling room</t>
        </is>
      </c>
      <c r="E4940" s="12" t="inlineStr"/>
      <c r="F4940" s="12" t="inlineStr">
        <is>
          <t>PCM: power control module</t>
        </is>
      </c>
      <c r="G4940" s="12" t="inlineStr">
        <is>
          <t>JB-RICE-8-AI04</t>
        </is>
      </c>
      <c r="H4940" s="12" t="inlineStr">
        <is>
          <t>RICE engine-generator 8</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Tray</t>
        </is>
      </c>
      <c r="T4940" s="16" t="n">
        <v>0</v>
      </c>
      <c r="U4940" s="16" t="n">
        <v>161</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I-I-0392</t>
        </is>
      </c>
      <c r="B4941" s="12" t="inlineStr">
        <is>
          <t>I</t>
        </is>
      </c>
      <c r="C4941" s="12" t="inlineStr">
        <is>
          <t>Modular / portable power</t>
        </is>
      </c>
      <c r="D4941" s="12" t="inlineStr">
        <is>
          <t>Discrete device to JB JB-RICE-8-DI01: 20 x 1 pr (field cables)</t>
        </is>
      </c>
      <c r="E4941" s="12" t="inlineStr">
        <is>
          <t>RICE-8</t>
        </is>
      </c>
      <c r="F4941" s="12" t="inlineStr">
        <is>
          <t>RICE engine-generator 8</t>
        </is>
      </c>
      <c r="G4941" s="12" t="inlineStr">
        <is>
          <t>JB-RICE-8-DI01</t>
        </is>
      </c>
      <c r="H4941" s="12" t="inlineStr">
        <is>
          <t>RICE engine-generator 8</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20</v>
      </c>
      <c r="O4941" s="12" t="n">
        <v>1</v>
      </c>
      <c r="P4941" s="12" t="n"/>
      <c r="Q4941" s="12" t="n"/>
      <c r="R4941" s="12" t="n"/>
      <c r="S4941" s="12" t="inlineStr">
        <is>
          <t>Tray / conduit</t>
        </is>
      </c>
      <c r="T4941" s="16" t="n">
        <v>72</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I-I-0393</t>
        </is>
      </c>
      <c r="B4942" s="12" t="inlineStr">
        <is>
          <t>I</t>
        </is>
      </c>
      <c r="C4942" s="12" t="inlineStr">
        <is>
          <t>Modular / portable power</t>
        </is>
      </c>
      <c r="D4942" s="12" t="inlineStr">
        <is>
          <t>Home run JB-RICE-8-DI01 to the control / marshalling room</t>
        </is>
      </c>
      <c r="E4942" s="12" t="inlineStr"/>
      <c r="F4942" s="12" t="inlineStr">
        <is>
          <t>PCM: power control module</t>
        </is>
      </c>
      <c r="G4942" s="12" t="inlineStr">
        <is>
          <t>JB-RICE-8-DI01</t>
        </is>
      </c>
      <c r="H4942" s="12" t="inlineStr">
        <is>
          <t>RICE engine-generator 8</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Tray</t>
        </is>
      </c>
      <c r="T4942" s="16" t="n">
        <v>0</v>
      </c>
      <c r="U4942" s="16" t="n">
        <v>161</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I-I-0394</t>
        </is>
      </c>
      <c r="B4943" s="12" t="inlineStr">
        <is>
          <t>I</t>
        </is>
      </c>
      <c r="C4943" s="12" t="inlineStr">
        <is>
          <t>Modular / portable power</t>
        </is>
      </c>
      <c r="D4943" s="12" t="inlineStr">
        <is>
          <t>Discrete device to JB JB-RICE-8-DI02: 20 x 1 pr (field cables)</t>
        </is>
      </c>
      <c r="E4943" s="12" t="inlineStr">
        <is>
          <t>RICE-8</t>
        </is>
      </c>
      <c r="F4943" s="12" t="inlineStr">
        <is>
          <t>RICE engine-generator 8</t>
        </is>
      </c>
      <c r="G4943" s="12" t="inlineStr">
        <is>
          <t>JB-RICE-8-DI02</t>
        </is>
      </c>
      <c r="H4943" s="12" t="inlineStr">
        <is>
          <t>RICE engine-generator 8</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20</v>
      </c>
      <c r="O4943" s="12" t="n">
        <v>1</v>
      </c>
      <c r="P4943" s="12" t="n"/>
      <c r="Q4943" s="12" t="n"/>
      <c r="R4943" s="12" t="n"/>
      <c r="S4943" s="12" t="inlineStr">
        <is>
          <t>Tray / conduit</t>
        </is>
      </c>
      <c r="T4943" s="16" t="n">
        <v>72</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I-I-0395</t>
        </is>
      </c>
      <c r="B4944" s="12" t="inlineStr">
        <is>
          <t>I</t>
        </is>
      </c>
      <c r="C4944" s="12" t="inlineStr">
        <is>
          <t>Modular / portable power</t>
        </is>
      </c>
      <c r="D4944" s="12" t="inlineStr">
        <is>
          <t>Home run JB-RICE-8-DI02 to the control / marshalling room</t>
        </is>
      </c>
      <c r="E4944" s="12" t="inlineStr"/>
      <c r="F4944" s="12" t="inlineStr">
        <is>
          <t>PCM: power control module</t>
        </is>
      </c>
      <c r="G4944" s="12" t="inlineStr">
        <is>
          <t>JB-RICE-8-DI02</t>
        </is>
      </c>
      <c r="H4944" s="12" t="inlineStr">
        <is>
          <t>RICE engine-generator 8</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Tray</t>
        </is>
      </c>
      <c r="T4944" s="16" t="n">
        <v>0</v>
      </c>
      <c r="U4944" s="16" t="n">
        <v>161</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I-I-0396</t>
        </is>
      </c>
      <c r="B4945" s="12" t="inlineStr">
        <is>
          <t>I</t>
        </is>
      </c>
      <c r="C4945" s="12" t="inlineStr">
        <is>
          <t>Modular / portable power</t>
        </is>
      </c>
      <c r="D4945" s="12" t="inlineStr">
        <is>
          <t>Discrete device to JB JB-RICE-8-DI03: 20 x 1 pr (field cables)</t>
        </is>
      </c>
      <c r="E4945" s="12" t="inlineStr">
        <is>
          <t>RICE-8</t>
        </is>
      </c>
      <c r="F4945" s="12" t="inlineStr">
        <is>
          <t>RICE engine-generator 8</t>
        </is>
      </c>
      <c r="G4945" s="12" t="inlineStr">
        <is>
          <t>JB-RICE-8-DI03</t>
        </is>
      </c>
      <c r="H4945" s="12" t="inlineStr">
        <is>
          <t>RICE engine-generator 8</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20</v>
      </c>
      <c r="O4945" s="12" t="n">
        <v>1</v>
      </c>
      <c r="P4945" s="12" t="n"/>
      <c r="Q4945" s="12" t="n"/>
      <c r="R4945" s="12" t="n"/>
      <c r="S4945" s="12" t="inlineStr">
        <is>
          <t>Tray / conduit</t>
        </is>
      </c>
      <c r="T4945" s="16" t="n">
        <v>72</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I-I-0397</t>
        </is>
      </c>
      <c r="B4946" s="12" t="inlineStr">
        <is>
          <t>I</t>
        </is>
      </c>
      <c r="C4946" s="12" t="inlineStr">
        <is>
          <t>Modular / portable power</t>
        </is>
      </c>
      <c r="D4946" s="12" t="inlineStr">
        <is>
          <t>Home run JB-RICE-8-DI03 to the control / marshalling room</t>
        </is>
      </c>
      <c r="E4946" s="12" t="inlineStr"/>
      <c r="F4946" s="12" t="inlineStr">
        <is>
          <t>PCM: power control module</t>
        </is>
      </c>
      <c r="G4946" s="12" t="inlineStr">
        <is>
          <t>JB-RICE-8-DI03</t>
        </is>
      </c>
      <c r="H4946" s="12" t="inlineStr">
        <is>
          <t>RICE engine-generator 8</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Tray</t>
        </is>
      </c>
      <c r="T4946" s="16" t="n">
        <v>0</v>
      </c>
      <c r="U4946" s="16" t="n">
        <v>161</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I-I-0398</t>
        </is>
      </c>
      <c r="B4947" s="12" t="inlineStr">
        <is>
          <t>I</t>
        </is>
      </c>
      <c r="C4947" s="12" t="inlineStr">
        <is>
          <t>Modular / portable power</t>
        </is>
      </c>
      <c r="D4947" s="12" t="inlineStr">
        <is>
          <t>Thermocouple to TC JB JB-RICE-8-TC01: 20 x 1 pr (field cables)</t>
        </is>
      </c>
      <c r="E4947" s="12" t="inlineStr">
        <is>
          <t>RICE-8</t>
        </is>
      </c>
      <c r="F4947" s="12" t="inlineStr">
        <is>
          <t>RICE engine-generator 8</t>
        </is>
      </c>
      <c r="G4947" s="12" t="inlineStr">
        <is>
          <t>JB-RICE-8-TC01</t>
        </is>
      </c>
      <c r="H4947" s="12" t="inlineStr">
        <is>
          <t>RICE engine-generator 8</t>
        </is>
      </c>
      <c r="I4947" s="12" t="inlineStr">
        <is>
          <t>Instrumentation</t>
        </is>
      </c>
      <c r="J4947" s="12" t="inlineStr">
        <is>
          <t>Thermocouple extension KX, #16 shielded pairs, PLTC</t>
        </is>
      </c>
      <c r="K4947" s="12" t="inlineStr">
        <is>
          <t>TCX|1 pr|16</t>
        </is>
      </c>
      <c r="L4947" s="12" t="inlineStr">
        <is>
          <t>1 pr</t>
        </is>
      </c>
      <c r="M4947" s="12" t="inlineStr">
        <is>
          <t>16</t>
        </is>
      </c>
      <c r="N4947" s="12" t="n">
        <v>20</v>
      </c>
      <c r="O4947" s="12" t="n">
        <v>1</v>
      </c>
      <c r="P4947" s="12" t="n"/>
      <c r="Q4947" s="12" t="n"/>
      <c r="R4947" s="12" t="n"/>
      <c r="S4947" s="12" t="inlineStr">
        <is>
          <t>Tray / conduit</t>
        </is>
      </c>
      <c r="T4947" s="16" t="n">
        <v>72</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I-I-0399</t>
        </is>
      </c>
      <c r="B4948" s="12" t="inlineStr">
        <is>
          <t>I</t>
        </is>
      </c>
      <c r="C4948" s="12" t="inlineStr">
        <is>
          <t>Modular / portable power</t>
        </is>
      </c>
      <c r="D4948" s="12" t="inlineStr">
        <is>
          <t>Home run JB-RICE-8-TC01 to the control / marshalling room</t>
        </is>
      </c>
      <c r="E4948" s="12" t="inlineStr"/>
      <c r="F4948" s="12" t="inlineStr">
        <is>
          <t>PCM: power control module</t>
        </is>
      </c>
      <c r="G4948" s="12" t="inlineStr">
        <is>
          <t>JB-RICE-8-TC01</t>
        </is>
      </c>
      <c r="H4948" s="12" t="inlineStr">
        <is>
          <t>RICE engine-generator 8</t>
        </is>
      </c>
      <c r="I4948" s="12" t="inlineStr">
        <is>
          <t>Instrumentation</t>
        </is>
      </c>
      <c r="J4948" s="12" t="inlineStr">
        <is>
          <t>Thermocouple extension KX, #16 shielded pairs, PLTC</t>
        </is>
      </c>
      <c r="K4948" s="12" t="inlineStr">
        <is>
          <t>TCX|24 pr|16</t>
        </is>
      </c>
      <c r="L4948" s="12" t="inlineStr">
        <is>
          <t>24 pr</t>
        </is>
      </c>
      <c r="M4948" s="12" t="inlineStr">
        <is>
          <t>16</t>
        </is>
      </c>
      <c r="N4948" s="12" t="n">
        <v>1</v>
      </c>
      <c r="O4948" s="12" t="n">
        <v>1</v>
      </c>
      <c r="P4948" s="12" t="n"/>
      <c r="Q4948" s="12" t="n"/>
      <c r="R4948" s="12" t="n"/>
      <c r="S4948" s="12" t="inlineStr">
        <is>
          <t>Tray</t>
        </is>
      </c>
      <c r="T4948" s="16" t="n">
        <v>0</v>
      </c>
      <c r="U4948" s="16" t="n">
        <v>161</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I-I-0400</t>
        </is>
      </c>
      <c r="B4949" s="12" t="inlineStr">
        <is>
          <t>I</t>
        </is>
      </c>
      <c r="C4949" s="12" t="inlineStr">
        <is>
          <t>Modular / portable power</t>
        </is>
      </c>
      <c r="D4949" s="12" t="inlineStr">
        <is>
          <t>Thermocouple to TC JB JB-RICE-8-TC02: 10 x 1 pr (field cables)</t>
        </is>
      </c>
      <c r="E4949" s="12" t="inlineStr">
        <is>
          <t>RICE-8</t>
        </is>
      </c>
      <c r="F4949" s="12" t="inlineStr">
        <is>
          <t>RICE engine-generator 8</t>
        </is>
      </c>
      <c r="G4949" s="12" t="inlineStr">
        <is>
          <t>JB-RICE-8-TC02</t>
        </is>
      </c>
      <c r="H4949" s="12" t="inlineStr">
        <is>
          <t>RICE engine-generator 8</t>
        </is>
      </c>
      <c r="I4949" s="12" t="inlineStr">
        <is>
          <t>Instrumentation</t>
        </is>
      </c>
      <c r="J4949" s="12" t="inlineStr">
        <is>
          <t>Thermocouple extension KX, #16 shielded pairs, PLTC</t>
        </is>
      </c>
      <c r="K4949" s="12" t="inlineStr">
        <is>
          <t>TCX|1 pr|16</t>
        </is>
      </c>
      <c r="L4949" s="12" t="inlineStr">
        <is>
          <t>1 pr</t>
        </is>
      </c>
      <c r="M4949" s="12" t="inlineStr">
        <is>
          <t>16</t>
        </is>
      </c>
      <c r="N4949" s="12" t="n">
        <v>10</v>
      </c>
      <c r="O4949" s="12" t="n">
        <v>1</v>
      </c>
      <c r="P4949" s="12" t="n"/>
      <c r="Q4949" s="12" t="n"/>
      <c r="R4949" s="12" t="n"/>
      <c r="S4949" s="12" t="inlineStr">
        <is>
          <t>Tray / conduit</t>
        </is>
      </c>
      <c r="T4949" s="16" t="n">
        <v>72</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I-I-0401</t>
        </is>
      </c>
      <c r="B4950" s="12" t="inlineStr">
        <is>
          <t>I</t>
        </is>
      </c>
      <c r="C4950" s="12" t="inlineStr">
        <is>
          <t>Modular / portable power</t>
        </is>
      </c>
      <c r="D4950" s="12" t="inlineStr">
        <is>
          <t>Home run JB-RICE-8-TC02 to the control / marshalling room</t>
        </is>
      </c>
      <c r="E4950" s="12" t="inlineStr"/>
      <c r="F4950" s="12" t="inlineStr">
        <is>
          <t>PCM: power control module</t>
        </is>
      </c>
      <c r="G4950" s="12" t="inlineStr">
        <is>
          <t>JB-RICE-8-TC02</t>
        </is>
      </c>
      <c r="H4950" s="12" t="inlineStr">
        <is>
          <t>RICE engine-generator 8</t>
        </is>
      </c>
      <c r="I4950" s="12" t="inlineStr">
        <is>
          <t>Instrumentation</t>
        </is>
      </c>
      <c r="J4950" s="12" t="inlineStr">
        <is>
          <t>Thermocouple extension KX, #16 shielded pairs, PLTC</t>
        </is>
      </c>
      <c r="K4950" s="12" t="inlineStr">
        <is>
          <t>TCX|24 pr|16</t>
        </is>
      </c>
      <c r="L4950" s="12" t="inlineStr">
        <is>
          <t>24 pr</t>
        </is>
      </c>
      <c r="M4950" s="12" t="inlineStr">
        <is>
          <t>16</t>
        </is>
      </c>
      <c r="N4950" s="12" t="n">
        <v>1</v>
      </c>
      <c r="O4950" s="12" t="n">
        <v>1</v>
      </c>
      <c r="P4950" s="12" t="n"/>
      <c r="Q4950" s="12" t="n"/>
      <c r="R4950" s="12" t="n"/>
      <c r="S4950" s="12" t="inlineStr">
        <is>
          <t>Tray</t>
        </is>
      </c>
      <c r="T4950" s="16" t="n">
        <v>0</v>
      </c>
      <c r="U4950" s="16" t="n">
        <v>161</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I-I-0402</t>
        </is>
      </c>
      <c r="B4951" s="12" t="inlineStr">
        <is>
          <t>I</t>
        </is>
      </c>
      <c r="C4951" s="12" t="inlineStr">
        <is>
          <t>Modular / portable power</t>
        </is>
      </c>
      <c r="D4951" s="12" t="inlineStr">
        <is>
          <t>RTD to JB JB-RICE-8-RTD01: 10 x 1 tri (field cables)</t>
        </is>
      </c>
      <c r="E4951" s="12" t="inlineStr">
        <is>
          <t>RICE-8</t>
        </is>
      </c>
      <c r="F4951" s="12" t="inlineStr">
        <is>
          <t>RICE engine-generator 8</t>
        </is>
      </c>
      <c r="G4951" s="12" t="inlineStr">
        <is>
          <t>JB-RICE-8-RTD01</t>
        </is>
      </c>
      <c r="H4951" s="12" t="inlineStr">
        <is>
          <t>RICE engine-generator 8</t>
        </is>
      </c>
      <c r="I4951" s="12" t="inlineStr">
        <is>
          <t>Instrumentation</t>
        </is>
      </c>
      <c r="J4951" s="12" t="inlineStr">
        <is>
          <t>RTD cable, #18 shielded triads, PLTC</t>
        </is>
      </c>
      <c r="K4951" s="12" t="inlineStr">
        <is>
          <t>RTD|1 tri|18</t>
        </is>
      </c>
      <c r="L4951" s="12" t="inlineStr">
        <is>
          <t>1 tri</t>
        </is>
      </c>
      <c r="M4951" s="12" t="inlineStr">
        <is>
          <t>18</t>
        </is>
      </c>
      <c r="N4951" s="12" t="n">
        <v>10</v>
      </c>
      <c r="O4951" s="12" t="n">
        <v>1</v>
      </c>
      <c r="P4951" s="12" t="n"/>
      <c r="Q4951" s="12" t="n"/>
      <c r="R4951" s="12" t="n"/>
      <c r="S4951" s="12" t="inlineStr">
        <is>
          <t>Tray / conduit</t>
        </is>
      </c>
      <c r="T4951" s="16" t="n">
        <v>72</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I-I-0403</t>
        </is>
      </c>
      <c r="B4952" s="12" t="inlineStr">
        <is>
          <t>I</t>
        </is>
      </c>
      <c r="C4952" s="12" t="inlineStr">
        <is>
          <t>Modular / portable power</t>
        </is>
      </c>
      <c r="D4952" s="12" t="inlineStr">
        <is>
          <t>Home run JB-RICE-8-RTD01 to the control / marshalling room</t>
        </is>
      </c>
      <c r="E4952" s="12" t="inlineStr"/>
      <c r="F4952" s="12" t="inlineStr">
        <is>
          <t>PCM: power control module</t>
        </is>
      </c>
      <c r="G4952" s="12" t="inlineStr">
        <is>
          <t>JB-RICE-8-RTD01</t>
        </is>
      </c>
      <c r="H4952" s="12" t="inlineStr">
        <is>
          <t>RICE engine-generator 8</t>
        </is>
      </c>
      <c r="I4952" s="12" t="inlineStr">
        <is>
          <t>Instrumentation</t>
        </is>
      </c>
      <c r="J4952" s="12" t="inlineStr">
        <is>
          <t>RTD cable, #18 shielded triads, PLTC</t>
        </is>
      </c>
      <c r="K4952" s="12" t="inlineStr">
        <is>
          <t>RTD|12 tri|18</t>
        </is>
      </c>
      <c r="L4952" s="12" t="inlineStr">
        <is>
          <t>12 tri</t>
        </is>
      </c>
      <c r="M4952" s="12" t="inlineStr">
        <is>
          <t>18</t>
        </is>
      </c>
      <c r="N4952" s="12" t="n">
        <v>1</v>
      </c>
      <c r="O4952" s="12" t="n">
        <v>1</v>
      </c>
      <c r="P4952" s="12" t="n"/>
      <c r="Q4952" s="12" t="n"/>
      <c r="R4952" s="12" t="n"/>
      <c r="S4952" s="12" t="inlineStr">
        <is>
          <t>Tray</t>
        </is>
      </c>
      <c r="T4952" s="16" t="n">
        <v>0</v>
      </c>
      <c r="U4952" s="16" t="n">
        <v>161</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I-I-0404</t>
        </is>
      </c>
      <c r="B4953" s="12" t="inlineStr">
        <is>
          <t>I</t>
        </is>
      </c>
      <c r="C4953" s="12" t="inlineStr">
        <is>
          <t>Modular / portable power</t>
        </is>
      </c>
      <c r="D4953" s="12" t="inlineStr">
        <is>
          <t>RTD to JB JB-RICE-8-RTD02: 2 x 1 tri (field cables)</t>
        </is>
      </c>
      <c r="E4953" s="12" t="inlineStr">
        <is>
          <t>RICE-8</t>
        </is>
      </c>
      <c r="F4953" s="12" t="inlineStr">
        <is>
          <t>RICE engine-generator 8</t>
        </is>
      </c>
      <c r="G4953" s="12" t="inlineStr">
        <is>
          <t>JB-RICE-8-RTD02</t>
        </is>
      </c>
      <c r="H4953" s="12" t="inlineStr">
        <is>
          <t>RICE engine-generator 8</t>
        </is>
      </c>
      <c r="I4953" s="12" t="inlineStr">
        <is>
          <t>Instrumentation</t>
        </is>
      </c>
      <c r="J4953" s="12" t="inlineStr">
        <is>
          <t>RTD cable, #18 shielded triads, PLTC</t>
        </is>
      </c>
      <c r="K4953" s="12" t="inlineStr">
        <is>
          <t>RTD|1 tri|18</t>
        </is>
      </c>
      <c r="L4953" s="12" t="inlineStr">
        <is>
          <t>1 tri</t>
        </is>
      </c>
      <c r="M4953" s="12" t="inlineStr">
        <is>
          <t>18</t>
        </is>
      </c>
      <c r="N4953" s="12" t="n">
        <v>2</v>
      </c>
      <c r="O4953" s="12" t="n">
        <v>1</v>
      </c>
      <c r="P4953" s="12" t="n"/>
      <c r="Q4953" s="12" t="n"/>
      <c r="R4953" s="12" t="n"/>
      <c r="S4953" s="12" t="inlineStr">
        <is>
          <t>Tray / conduit</t>
        </is>
      </c>
      <c r="T4953" s="16" t="n">
        <v>72</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I-I-0405</t>
        </is>
      </c>
      <c r="B4954" s="12" t="inlineStr">
        <is>
          <t>I</t>
        </is>
      </c>
      <c r="C4954" s="12" t="inlineStr">
        <is>
          <t>Modular / portable power</t>
        </is>
      </c>
      <c r="D4954" s="12" t="inlineStr">
        <is>
          <t>Home run JB-RICE-8-RTD02 to the control / marshalling room</t>
        </is>
      </c>
      <c r="E4954" s="12" t="inlineStr"/>
      <c r="F4954" s="12" t="inlineStr">
        <is>
          <t>PCM: power control module</t>
        </is>
      </c>
      <c r="G4954" s="12" t="inlineStr">
        <is>
          <t>JB-RICE-8-RTD02</t>
        </is>
      </c>
      <c r="H4954" s="12" t="inlineStr">
        <is>
          <t>RICE engine-generator 8</t>
        </is>
      </c>
      <c r="I4954" s="12" t="inlineStr">
        <is>
          <t>Instrumentation</t>
        </is>
      </c>
      <c r="J4954" s="12" t="inlineStr">
        <is>
          <t>RTD cable, #18 shielded triads, PLTC</t>
        </is>
      </c>
      <c r="K4954" s="12" t="inlineStr">
        <is>
          <t>RTD|12 tri|18</t>
        </is>
      </c>
      <c r="L4954" s="12" t="inlineStr">
        <is>
          <t>12 tri</t>
        </is>
      </c>
      <c r="M4954" s="12" t="inlineStr">
        <is>
          <t>18</t>
        </is>
      </c>
      <c r="N4954" s="12" t="n">
        <v>1</v>
      </c>
      <c r="O4954" s="12" t="n">
        <v>1</v>
      </c>
      <c r="P4954" s="12" t="n"/>
      <c r="Q4954" s="12" t="n"/>
      <c r="R4954" s="12" t="n"/>
      <c r="S4954" s="12" t="inlineStr">
        <is>
          <t>Tray</t>
        </is>
      </c>
      <c r="T4954" s="16" t="n">
        <v>0</v>
      </c>
      <c r="U4954" s="16" t="n">
        <v>161</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I-I-0406</t>
        </is>
      </c>
      <c r="B4955" s="12" t="inlineStr">
        <is>
          <t>I</t>
        </is>
      </c>
      <c r="C4955" s="12" t="inlineStr">
        <is>
          <t>Modular / portable power</t>
        </is>
      </c>
      <c r="D4955" s="12" t="inlineStr">
        <is>
          <t>Instrumentation</t>
        </is>
      </c>
      <c r="E4955" s="12" t="inlineStr"/>
      <c r="F4955" s="12" t="inlineStr">
        <is>
          <t>PCM: power control module</t>
        </is>
      </c>
      <c r="G4955" s="12" t="inlineStr"/>
      <c r="H4955" s="12" t="inlineStr">
        <is>
          <t>Reagent storage</t>
        </is>
      </c>
      <c r="I4955" s="12" t="inlineStr">
        <is>
          <t>Instrumentation</t>
        </is>
      </c>
      <c r="J4955" s="12" t="inlineStr">
        <is>
          <t>Instrumentation PLTC / TC-ER 300 V, #18 twisted shielded pairs, overall shield</t>
        </is>
      </c>
      <c r="K4955" s="12" t="inlineStr">
        <is>
          <t>PLTC|4 pr|18</t>
        </is>
      </c>
      <c r="L4955" s="12" t="inlineStr">
        <is>
          <t>4 pr</t>
        </is>
      </c>
      <c r="M4955" s="12" t="inlineStr">
        <is>
          <t>18</t>
        </is>
      </c>
      <c r="N4955" s="12" t="n">
        <v>1</v>
      </c>
      <c r="O4955" s="12" t="n">
        <v>1</v>
      </c>
      <c r="P4955" s="12" t="n"/>
      <c r="Q4955" s="12" t="n"/>
      <c r="R4955" s="12" t="n"/>
      <c r="S4955" s="12" t="inlineStr">
        <is>
          <t>Tray</t>
        </is>
      </c>
      <c r="T4955" s="16" t="n">
        <v>40</v>
      </c>
      <c r="U4955" s="16" t="n">
        <v>32</v>
      </c>
      <c r="V4955" s="16">
        <f>ROUNDUP((T4955+U4955+2*'Read Me'!$B$13)*(1+'Read Me'!$B$12),-1)</f>
        <v/>
      </c>
      <c r="W4955" s="16">
        <f>V4955*N4955*O4955</f>
        <v/>
      </c>
      <c r="X4955" s="12">
        <f>IF(LEFT(I4955,2)="MV",2*N4955*IF(L4955="1/C",O4955,1),0)</f>
        <v/>
      </c>
      <c r="Y4955" s="12">
        <f>IF(OR(LEFT(K4955,4)="LVAX",LEFT(K4955,6)="MV15AX",LEFT(K4955,4)="CTAX",LEFT(K4955,2)="W|"),2*N4955*O4955,0)</f>
        <v/>
      </c>
      <c r="Z4955" s="12" t="inlineStr"/>
      <c r="AA4955" s="12">
        <f>N4955*O4955</f>
        <v/>
      </c>
    </row>
    <row r="4956">
      <c r="A4956" s="12" t="inlineStr">
        <is>
          <t>I-I-0407</t>
        </is>
      </c>
      <c r="B4956" s="12" t="inlineStr">
        <is>
          <t>I</t>
        </is>
      </c>
      <c r="C4956" s="12" t="inlineStr">
        <is>
          <t>Modular / portable power</t>
        </is>
      </c>
      <c r="D4956" s="12" t="inlineStr">
        <is>
          <t>Analog instrument to JB JB-SC-1 CEMS shelter-AI01: 12 x 1 pr (field cables)</t>
        </is>
      </c>
      <c r="E4956" s="12" t="inlineStr"/>
      <c r="F4956" s="12" t="inlineStr">
        <is>
          <t>SC-1 CEMS shelter</t>
        </is>
      </c>
      <c r="G4956" s="12" t="inlineStr">
        <is>
          <t>JB-SC-1 CEMS shelter-AI01</t>
        </is>
      </c>
      <c r="H4956" s="12" t="inlineStr">
        <is>
          <t>SC-1 CEMS shelter</t>
        </is>
      </c>
      <c r="I4956" s="12" t="inlineStr">
        <is>
          <t>Instrumentation</t>
        </is>
      </c>
      <c r="J4956" s="12" t="inlineStr">
        <is>
          <t>Instrumentation PLTC / TC-ER 300 V, #18 twisted shielded pairs, overall shield</t>
        </is>
      </c>
      <c r="K4956" s="12" t="inlineStr">
        <is>
          <t>PLTC|1 pr|16</t>
        </is>
      </c>
      <c r="L4956" s="12" t="inlineStr">
        <is>
          <t>1 pr</t>
        </is>
      </c>
      <c r="M4956" s="12" t="inlineStr">
        <is>
          <t>16</t>
        </is>
      </c>
      <c r="N4956" s="12" t="n">
        <v>12</v>
      </c>
      <c r="O4956" s="12" t="n">
        <v>1</v>
      </c>
      <c r="P4956" s="12" t="n"/>
      <c r="Q4956" s="12" t="n"/>
      <c r="R4956" s="12" t="n"/>
      <c r="S4956" s="12" t="inlineStr">
        <is>
          <t>Tray / conduit</t>
        </is>
      </c>
      <c r="T4956" s="16" t="n">
        <v>57</v>
      </c>
      <c r="U4956" s="16" t="n">
        <v>10</v>
      </c>
      <c r="V4956" s="16">
        <f>ROUNDUP((T4956+U4956+2*'Read Me'!$B$13)*(1+'Read Me'!$B$12),-1)</f>
        <v/>
      </c>
      <c r="W4956" s="16">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I-I-0408</t>
        </is>
      </c>
      <c r="B4957" s="12" t="inlineStr">
        <is>
          <t>I</t>
        </is>
      </c>
      <c r="C4957" s="12" t="inlineStr">
        <is>
          <t>Modular / portable power</t>
        </is>
      </c>
      <c r="D4957" s="12" t="inlineStr">
        <is>
          <t>Home run JB-SC-1 CEMS shelter-AI01 to the control / marshalling room</t>
        </is>
      </c>
      <c r="E4957" s="12" t="inlineStr"/>
      <c r="F4957" s="12" t="inlineStr">
        <is>
          <t>SC-1 PCM + 15 kV GCB</t>
        </is>
      </c>
      <c r="G4957" s="12" t="inlineStr">
        <is>
          <t>JB-SC-1 CEMS shelter-AI01</t>
        </is>
      </c>
      <c r="H4957" s="12" t="inlineStr">
        <is>
          <t>SC-1 CEMS shelter</t>
        </is>
      </c>
      <c r="I4957" s="12" t="inlineStr">
        <is>
          <t>Instrumentation</t>
        </is>
      </c>
      <c r="J4957" s="12" t="inlineStr">
        <is>
          <t>Instrumentation PLTC / TC-ER 300 V, #18 twisted shielded pairs, overall shield</t>
        </is>
      </c>
      <c r="K4957" s="12" t="inlineStr">
        <is>
          <t>PLTC|24 pr|18</t>
        </is>
      </c>
      <c r="L4957" s="12" t="inlineStr">
        <is>
          <t>24 pr</t>
        </is>
      </c>
      <c r="M4957" s="12" t="inlineStr">
        <is>
          <t>18</t>
        </is>
      </c>
      <c r="N4957" s="12" t="n">
        <v>1</v>
      </c>
      <c r="O4957" s="12" t="n">
        <v>1</v>
      </c>
      <c r="P4957" s="12" t="n"/>
      <c r="Q4957" s="12" t="n"/>
      <c r="R4957" s="12" t="n"/>
      <c r="S4957" s="12" t="inlineStr">
        <is>
          <t>Tray</t>
        </is>
      </c>
      <c r="T4957" s="16" t="n">
        <v>0</v>
      </c>
      <c r="U4957" s="16" t="n">
        <v>229</v>
      </c>
      <c r="V4957" s="16">
        <f>ROUNDUP((T4957+U4957+2*'Read Me'!$B$13)*(1+'Read Me'!$B$12),-1)</f>
        <v/>
      </c>
      <c r="W4957" s="16">
        <f>V4957*N4957*O4957</f>
        <v/>
      </c>
      <c r="X4957" s="12">
        <f>IF(LEFT(I4957,2)="MV",2*N4957*IF(L4957="1/C",O4957,1),0)</f>
        <v/>
      </c>
      <c r="Y4957" s="12">
        <f>IF(OR(LEFT(K4957,4)="LVAX",LEFT(K4957,6)="MV15AX",LEFT(K4957,4)="CTAX",LEFT(K4957,2)="W|"),2*N4957*O4957,0)</f>
        <v/>
      </c>
      <c r="Z4957" s="12" t="inlineStr"/>
      <c r="AA4957" s="12">
        <f>N4957*O4957</f>
        <v/>
      </c>
    </row>
    <row r="4958">
      <c r="A4958" s="12" t="inlineStr">
        <is>
          <t>I-I-0409</t>
        </is>
      </c>
      <c r="B4958" s="12" t="inlineStr">
        <is>
          <t>I</t>
        </is>
      </c>
      <c r="C4958" s="12" t="inlineStr">
        <is>
          <t>Modular / portable power</t>
        </is>
      </c>
      <c r="D4958" s="12" t="inlineStr">
        <is>
          <t>Discrete device to JB JB-SC-1 CEMS shelter-DI01: 10 x 1 pr (field cables)</t>
        </is>
      </c>
      <c r="E4958" s="12" t="inlineStr"/>
      <c r="F4958" s="12" t="inlineStr">
        <is>
          <t>SC-1 CEMS shelter</t>
        </is>
      </c>
      <c r="G4958" s="12" t="inlineStr">
        <is>
          <t>JB-SC-1 CEMS shelter-DI01</t>
        </is>
      </c>
      <c r="H4958" s="12" t="inlineStr">
        <is>
          <t>SC-1 CEMS shelter</t>
        </is>
      </c>
      <c r="I4958" s="12" t="inlineStr">
        <is>
          <t>Instrumentation</t>
        </is>
      </c>
      <c r="J4958" s="12" t="inlineStr">
        <is>
          <t>Instrumentation PLTC / TC-ER 300 V, #18 twisted shielded pairs, overall shield</t>
        </is>
      </c>
      <c r="K4958" s="12" t="inlineStr">
        <is>
          <t>PLTC|1 pr|16</t>
        </is>
      </c>
      <c r="L4958" s="12" t="inlineStr">
        <is>
          <t>1 pr</t>
        </is>
      </c>
      <c r="M4958" s="12" t="inlineStr">
        <is>
          <t>16</t>
        </is>
      </c>
      <c r="N4958" s="12" t="n">
        <v>10</v>
      </c>
      <c r="O4958" s="12" t="n">
        <v>1</v>
      </c>
      <c r="P4958" s="12" t="n"/>
      <c r="Q4958" s="12" t="n"/>
      <c r="R4958" s="12" t="n"/>
      <c r="S4958" s="12" t="inlineStr">
        <is>
          <t>Tray / conduit</t>
        </is>
      </c>
      <c r="T4958" s="16" t="n">
        <v>57</v>
      </c>
      <c r="U4958" s="16" t="n">
        <v>10</v>
      </c>
      <c r="V4958" s="16">
        <f>ROUNDUP((T4958+U4958+2*'Read Me'!$B$13)*(1+'Read Me'!$B$12),-1)</f>
        <v/>
      </c>
      <c r="W4958" s="16">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I-I-0410</t>
        </is>
      </c>
      <c r="B4959" s="12" t="inlineStr">
        <is>
          <t>I</t>
        </is>
      </c>
      <c r="C4959" s="12" t="inlineStr">
        <is>
          <t>Modular / portable power</t>
        </is>
      </c>
      <c r="D4959" s="12" t="inlineStr">
        <is>
          <t>Home run JB-SC-1 CEMS shelter-DI01 to the control / marshalling room</t>
        </is>
      </c>
      <c r="E4959" s="12" t="inlineStr"/>
      <c r="F4959" s="12" t="inlineStr">
        <is>
          <t>SC-1 PCM + 15 kV GCB</t>
        </is>
      </c>
      <c r="G4959" s="12" t="inlineStr">
        <is>
          <t>JB-SC-1 CEMS shelter-DI01</t>
        </is>
      </c>
      <c r="H4959" s="12" t="inlineStr">
        <is>
          <t>SC-1 CEMS shelter</t>
        </is>
      </c>
      <c r="I4959" s="12" t="inlineStr">
        <is>
          <t>Instrumentation</t>
        </is>
      </c>
      <c r="J4959" s="12" t="inlineStr">
        <is>
          <t>Instrumentation PLTC / TC-ER 300 V, #18 twisted shielded pairs, overall shield</t>
        </is>
      </c>
      <c r="K4959" s="12" t="inlineStr">
        <is>
          <t>PLTC|24 pr|18</t>
        </is>
      </c>
      <c r="L4959" s="12" t="inlineStr">
        <is>
          <t>24 pr</t>
        </is>
      </c>
      <c r="M4959" s="12" t="inlineStr">
        <is>
          <t>18</t>
        </is>
      </c>
      <c r="N4959" s="12" t="n">
        <v>1</v>
      </c>
      <c r="O4959" s="12" t="n">
        <v>1</v>
      </c>
      <c r="P4959" s="12" t="n"/>
      <c r="Q4959" s="12" t="n"/>
      <c r="R4959" s="12" t="n"/>
      <c r="S4959" s="12" t="inlineStr">
        <is>
          <t>Tray</t>
        </is>
      </c>
      <c r="T4959" s="16" t="n">
        <v>0</v>
      </c>
      <c r="U4959" s="16" t="n">
        <v>229</v>
      </c>
      <c r="V4959" s="16">
        <f>ROUNDUP((T4959+U4959+2*'Read Me'!$B$13)*(1+'Read Me'!$B$12),-1)</f>
        <v/>
      </c>
      <c r="W4959" s="16">
        <f>V4959*N4959*O4959</f>
        <v/>
      </c>
      <c r="X4959" s="12">
        <f>IF(LEFT(I4959,2)="MV",2*N4959*IF(L4959="1/C",O4959,1),0)</f>
        <v/>
      </c>
      <c r="Y4959" s="12">
        <f>IF(OR(LEFT(K4959,4)="LVAX",LEFT(K4959,6)="MV15AX",LEFT(K4959,4)="CTAX",LEFT(K4959,2)="W|"),2*N4959*O4959,0)</f>
        <v/>
      </c>
      <c r="Z4959" s="12" t="inlineStr"/>
      <c r="AA4959" s="12">
        <f>N4959*O4959</f>
        <v/>
      </c>
    </row>
    <row r="4960">
      <c r="A4960" s="12" t="inlineStr">
        <is>
          <t>I-I-0411</t>
        </is>
      </c>
      <c r="B4960" s="12" t="inlineStr">
        <is>
          <t>I</t>
        </is>
      </c>
      <c r="C4960" s="12" t="inlineStr">
        <is>
          <t>Modular / portable power</t>
        </is>
      </c>
      <c r="D4960" s="12" t="inlineStr">
        <is>
          <t>Analog instrument to JB JB-SC-1 SCR / CO cata-AI01: 16 x 1 pr (field cables)</t>
        </is>
      </c>
      <c r="E4960" s="12" t="inlineStr"/>
      <c r="F4960" s="12" t="inlineStr">
        <is>
          <t>SC-1 SCR / CO catalyst</t>
        </is>
      </c>
      <c r="G4960" s="12" t="inlineStr">
        <is>
          <t>JB-SC-1 SCR / CO cata-AI01</t>
        </is>
      </c>
      <c r="H4960" s="12" t="inlineStr">
        <is>
          <t>SC-1 SCR / CO catalyst</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16</v>
      </c>
      <c r="O4960" s="12" t="n">
        <v>1</v>
      </c>
      <c r="P4960" s="12" t="n"/>
      <c r="Q4960" s="12" t="n"/>
      <c r="R4960" s="12" t="n"/>
      <c r="S4960" s="12" t="inlineStr">
        <is>
          <t>Tray / conduit</t>
        </is>
      </c>
      <c r="T4960" s="16" t="n">
        <v>74</v>
      </c>
      <c r="U4960" s="16" t="n">
        <v>10</v>
      </c>
      <c r="V4960" s="16">
        <f>ROUNDUP((T4960+U4960+2*'Read Me'!$B$13)*(1+'Read Me'!$B$12),-1)</f>
        <v/>
      </c>
      <c r="W4960" s="16">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I-I-0412</t>
        </is>
      </c>
      <c r="B4961" s="12" t="inlineStr">
        <is>
          <t>I</t>
        </is>
      </c>
      <c r="C4961" s="12" t="inlineStr">
        <is>
          <t>Modular / portable power</t>
        </is>
      </c>
      <c r="D4961" s="12" t="inlineStr">
        <is>
          <t>Home run JB-SC-1 SCR / CO cata-AI01 to the control / marshalling room</t>
        </is>
      </c>
      <c r="E4961" s="12" t="inlineStr"/>
      <c r="F4961" s="12" t="inlineStr">
        <is>
          <t>SC-1 PCM + 15 kV GCB</t>
        </is>
      </c>
      <c r="G4961" s="12" t="inlineStr">
        <is>
          <t>JB-SC-1 SCR / CO cata-AI01</t>
        </is>
      </c>
      <c r="H4961" s="12" t="inlineStr">
        <is>
          <t>SC-1 SCR / CO catalyst</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Tray</t>
        </is>
      </c>
      <c r="T4961" s="16" t="n">
        <v>0</v>
      </c>
      <c r="U4961" s="16" t="n">
        <v>154</v>
      </c>
      <c r="V4961" s="16">
        <f>ROUNDUP((T4961+U4961+2*'Read Me'!$B$13)*(1+'Read Me'!$B$12),-1)</f>
        <v/>
      </c>
      <c r="W4961" s="16">
        <f>V4961*N4961*O4961</f>
        <v/>
      </c>
      <c r="X4961" s="12">
        <f>IF(LEFT(I4961,2)="MV",2*N4961*IF(L4961="1/C",O4961,1),0)</f>
        <v/>
      </c>
      <c r="Y4961" s="12">
        <f>IF(OR(LEFT(K4961,4)="LVAX",LEFT(K4961,6)="MV15AX",LEFT(K4961,4)="CTAX",LEFT(K4961,2)="W|"),2*N4961*O4961,0)</f>
        <v/>
      </c>
      <c r="Z4961" s="12" t="inlineStr"/>
      <c r="AA4961" s="12">
        <f>N4961*O4961</f>
        <v/>
      </c>
    </row>
    <row r="4962">
      <c r="A4962" s="12" t="inlineStr">
        <is>
          <t>I-I-0413</t>
        </is>
      </c>
      <c r="B4962" s="12" t="inlineStr">
        <is>
          <t>I</t>
        </is>
      </c>
      <c r="C4962" s="12" t="inlineStr">
        <is>
          <t>Modular / portable power</t>
        </is>
      </c>
      <c r="D4962" s="12" t="inlineStr">
        <is>
          <t>Discrete device to JB JB-SC-1 SCR / CO cata-DI01: 8 x 1 pr (field cables)</t>
        </is>
      </c>
      <c r="E4962" s="12" t="inlineStr"/>
      <c r="F4962" s="12" t="inlineStr">
        <is>
          <t>SC-1 SCR / CO catalyst</t>
        </is>
      </c>
      <c r="G4962" s="12" t="inlineStr">
        <is>
          <t>JB-SC-1 SCR / CO cata-DI01</t>
        </is>
      </c>
      <c r="H4962" s="12" t="inlineStr">
        <is>
          <t>SC-1 SCR / CO catalyst</t>
        </is>
      </c>
      <c r="I4962" s="12" t="inlineStr">
        <is>
          <t>Instrumentation</t>
        </is>
      </c>
      <c r="J4962" s="12" t="inlineStr">
        <is>
          <t>Instrumentation PLTC / TC-ER 300 V, #18 twisted shielded pairs, overall shield</t>
        </is>
      </c>
      <c r="K4962" s="12" t="inlineStr">
        <is>
          <t>PLTC|1 pr|16</t>
        </is>
      </c>
      <c r="L4962" s="12" t="inlineStr">
        <is>
          <t>1 pr</t>
        </is>
      </c>
      <c r="M4962" s="12" t="inlineStr">
        <is>
          <t>16</t>
        </is>
      </c>
      <c r="N4962" s="12" t="n">
        <v>8</v>
      </c>
      <c r="O4962" s="12" t="n">
        <v>1</v>
      </c>
      <c r="P4962" s="12" t="n"/>
      <c r="Q4962" s="12" t="n"/>
      <c r="R4962" s="12" t="n"/>
      <c r="S4962" s="12" t="inlineStr">
        <is>
          <t>Tray / conduit</t>
        </is>
      </c>
      <c r="T4962" s="16" t="n">
        <v>74</v>
      </c>
      <c r="U4962" s="16" t="n">
        <v>10</v>
      </c>
      <c r="V4962" s="16">
        <f>ROUNDUP((T4962+U4962+2*'Read Me'!$B$13)*(1+'Read Me'!$B$12),-1)</f>
        <v/>
      </c>
      <c r="W4962" s="16">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I-I-0414</t>
        </is>
      </c>
      <c r="B4963" s="12" t="inlineStr">
        <is>
          <t>I</t>
        </is>
      </c>
      <c r="C4963" s="12" t="inlineStr">
        <is>
          <t>Modular / portable power</t>
        </is>
      </c>
      <c r="D4963" s="12" t="inlineStr">
        <is>
          <t>Home run JB-SC-1 SCR / CO cata-DI01 to the control / marshalling room</t>
        </is>
      </c>
      <c r="E4963" s="12" t="inlineStr"/>
      <c r="F4963" s="12" t="inlineStr">
        <is>
          <t>SC-1 PCM + 15 kV GCB</t>
        </is>
      </c>
      <c r="G4963" s="12" t="inlineStr">
        <is>
          <t>JB-SC-1 SCR / CO cata-DI01</t>
        </is>
      </c>
      <c r="H4963" s="12" t="inlineStr">
        <is>
          <t>SC-1 SCR / CO catalyst</t>
        </is>
      </c>
      <c r="I4963" s="12" t="inlineStr">
        <is>
          <t>Instrumentation</t>
        </is>
      </c>
      <c r="J4963" s="12" t="inlineStr">
        <is>
          <t>Instrumentation PLTC / TC-ER 300 V, #18 twisted shielded pairs, overall shield</t>
        </is>
      </c>
      <c r="K4963" s="12" t="inlineStr">
        <is>
          <t>PLTC|24 pr|18</t>
        </is>
      </c>
      <c r="L4963" s="12" t="inlineStr">
        <is>
          <t>24 pr</t>
        </is>
      </c>
      <c r="M4963" s="12" t="inlineStr">
        <is>
          <t>18</t>
        </is>
      </c>
      <c r="N4963" s="12" t="n">
        <v>1</v>
      </c>
      <c r="O4963" s="12" t="n">
        <v>1</v>
      </c>
      <c r="P4963" s="12" t="n"/>
      <c r="Q4963" s="12" t="n"/>
      <c r="R4963" s="12" t="n"/>
      <c r="S4963" s="12" t="inlineStr">
        <is>
          <t>Tray</t>
        </is>
      </c>
      <c r="T4963" s="16" t="n">
        <v>0</v>
      </c>
      <c r="U4963" s="16" t="n">
        <v>154</v>
      </c>
      <c r="V4963" s="16">
        <f>ROUNDUP((T4963+U4963+2*'Read Me'!$B$13)*(1+'Read Me'!$B$12),-1)</f>
        <v/>
      </c>
      <c r="W4963" s="16">
        <f>V4963*N4963*O4963</f>
        <v/>
      </c>
      <c r="X4963" s="12">
        <f>IF(LEFT(I4963,2)="MV",2*N4963*IF(L4963="1/C",O4963,1),0)</f>
        <v/>
      </c>
      <c r="Y4963" s="12">
        <f>IF(OR(LEFT(K4963,4)="LVAX",LEFT(K4963,6)="MV15AX",LEFT(K4963,4)="CTAX",LEFT(K4963,2)="W|"),2*N4963*O4963,0)</f>
        <v/>
      </c>
      <c r="Z4963" s="12" t="inlineStr"/>
      <c r="AA4963" s="12">
        <f>N4963*O4963</f>
        <v/>
      </c>
    </row>
    <row r="4964">
      <c r="A4964" s="12" t="inlineStr">
        <is>
          <t>I-I-0415</t>
        </is>
      </c>
      <c r="B4964" s="12" t="inlineStr">
        <is>
          <t>I</t>
        </is>
      </c>
      <c r="C4964" s="12" t="inlineStr">
        <is>
          <t>Modular / portable power</t>
        </is>
      </c>
      <c r="D4964" s="12" t="inlineStr">
        <is>
          <t>Analog instrument to JB JB-SC-1 ammonia flow--AI01: 8 x 1 pr (field cables)</t>
        </is>
      </c>
      <c r="E4964" s="12" t="inlineStr"/>
      <c r="F4964" s="12" t="inlineStr">
        <is>
          <t>SC-1 ammonia flow-control unit</t>
        </is>
      </c>
      <c r="G4964" s="12" t="inlineStr">
        <is>
          <t>JB-SC-1 ammonia flow--AI01</t>
        </is>
      </c>
      <c r="H4964" s="12" t="inlineStr">
        <is>
          <t>SC-1 ammonia flow-control unit</t>
        </is>
      </c>
      <c r="I4964" s="12" t="inlineStr">
        <is>
          <t>Instrumentation</t>
        </is>
      </c>
      <c r="J4964" s="12" t="inlineStr">
        <is>
          <t>Instrumentation PLTC / TC-ER 300 V, #18 twisted shielded pairs, overall shield</t>
        </is>
      </c>
      <c r="K4964" s="12" t="inlineStr">
        <is>
          <t>PLTC|1 pr|16</t>
        </is>
      </c>
      <c r="L4964" s="12" t="inlineStr">
        <is>
          <t>1 pr</t>
        </is>
      </c>
      <c r="M4964" s="12" t="inlineStr">
        <is>
          <t>16</t>
        </is>
      </c>
      <c r="N4964" s="12" t="n">
        <v>8</v>
      </c>
      <c r="O4964" s="12" t="n">
        <v>1</v>
      </c>
      <c r="P4964" s="12" t="n"/>
      <c r="Q4964" s="12" t="n"/>
      <c r="R4964" s="12" t="n"/>
      <c r="S4964" s="12" t="inlineStr">
        <is>
          <t>Tray / conduit</t>
        </is>
      </c>
      <c r="T4964" s="16" t="n">
        <v>40</v>
      </c>
      <c r="U4964" s="16" t="n">
        <v>10</v>
      </c>
      <c r="V4964" s="16">
        <f>ROUNDUP((T4964+U4964+2*'Read Me'!$B$13)*(1+'Read Me'!$B$12),-1)</f>
        <v/>
      </c>
      <c r="W4964" s="16">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I-I-0416</t>
        </is>
      </c>
      <c r="B4965" s="12" t="inlineStr">
        <is>
          <t>I</t>
        </is>
      </c>
      <c r="C4965" s="12" t="inlineStr">
        <is>
          <t>Modular / portable power</t>
        </is>
      </c>
      <c r="D4965" s="12" t="inlineStr">
        <is>
          <t>Home run JB-SC-1 ammonia flow--AI01 to the control / marshalling room</t>
        </is>
      </c>
      <c r="E4965" s="12" t="inlineStr"/>
      <c r="F4965" s="12" t="inlineStr">
        <is>
          <t>SC-1 PCM + 15 kV GCB</t>
        </is>
      </c>
      <c r="G4965" s="12" t="inlineStr">
        <is>
          <t>JB-SC-1 ammonia flow--AI01</t>
        </is>
      </c>
      <c r="H4965" s="12" t="inlineStr">
        <is>
          <t>SC-1 ammonia flow-control unit</t>
        </is>
      </c>
      <c r="I4965" s="12" t="inlineStr">
        <is>
          <t>Instrumentation</t>
        </is>
      </c>
      <c r="J4965" s="12" t="inlineStr">
        <is>
          <t>Instrumentation PLTC / TC-ER 300 V, #18 twisted shielded pairs, overall shield</t>
        </is>
      </c>
      <c r="K4965" s="12" t="inlineStr">
        <is>
          <t>PLTC|24 pr|18</t>
        </is>
      </c>
      <c r="L4965" s="12" t="inlineStr">
        <is>
          <t>24 pr</t>
        </is>
      </c>
      <c r="M4965" s="12" t="inlineStr">
        <is>
          <t>18</t>
        </is>
      </c>
      <c r="N4965" s="12" t="n">
        <v>1</v>
      </c>
      <c r="O4965" s="12" t="n">
        <v>1</v>
      </c>
      <c r="P4965" s="12" t="n"/>
      <c r="Q4965" s="12" t="n"/>
      <c r="R4965" s="12" t="n"/>
      <c r="S4965" s="12" t="inlineStr">
        <is>
          <t>Tray</t>
        </is>
      </c>
      <c r="T4965" s="16" t="n">
        <v>0</v>
      </c>
      <c r="U4965" s="16" t="n">
        <v>152</v>
      </c>
      <c r="V4965" s="16">
        <f>ROUNDUP((T4965+U4965+2*'Read Me'!$B$13)*(1+'Read Me'!$B$12),-1)</f>
        <v/>
      </c>
      <c r="W4965" s="16">
        <f>V4965*N4965*O4965</f>
        <v/>
      </c>
      <c r="X4965" s="12">
        <f>IF(LEFT(I4965,2)="MV",2*N4965*IF(L4965="1/C",O4965,1),0)</f>
        <v/>
      </c>
      <c r="Y4965" s="12">
        <f>IF(OR(LEFT(K4965,4)="LVAX",LEFT(K4965,6)="MV15AX",LEFT(K4965,4)="CTAX",LEFT(K4965,2)="W|"),2*N4965*O4965,0)</f>
        <v/>
      </c>
      <c r="Z4965" s="12" t="inlineStr"/>
      <c r="AA4965" s="12">
        <f>N4965*O4965</f>
        <v/>
      </c>
    </row>
    <row r="4966">
      <c r="A4966" s="12" t="inlineStr">
        <is>
          <t>I-I-0417</t>
        </is>
      </c>
      <c r="B4966" s="12" t="inlineStr">
        <is>
          <t>I</t>
        </is>
      </c>
      <c r="C4966" s="12" t="inlineStr">
        <is>
          <t>Modular / portable power</t>
        </is>
      </c>
      <c r="D4966" s="12" t="inlineStr">
        <is>
          <t>Discrete device to JB JB-SC-1 ammonia flow--DI01: 8 x 1 pr (field cables)</t>
        </is>
      </c>
      <c r="E4966" s="12" t="inlineStr"/>
      <c r="F4966" s="12" t="inlineStr">
        <is>
          <t>SC-1 ammonia flow-control unit</t>
        </is>
      </c>
      <c r="G4966" s="12" t="inlineStr">
        <is>
          <t>JB-SC-1 ammonia flow--DI01</t>
        </is>
      </c>
      <c r="H4966" s="12" t="inlineStr">
        <is>
          <t>SC-1 ammonia flow-control unit</t>
        </is>
      </c>
      <c r="I4966" s="12" t="inlineStr">
        <is>
          <t>Instrumentation</t>
        </is>
      </c>
      <c r="J4966" s="12" t="inlineStr">
        <is>
          <t>Instrumentation PLTC / TC-ER 300 V, #18 twisted shielded pairs, overall shield</t>
        </is>
      </c>
      <c r="K4966" s="12" t="inlineStr">
        <is>
          <t>PLTC|1 pr|16</t>
        </is>
      </c>
      <c r="L4966" s="12" t="inlineStr">
        <is>
          <t>1 pr</t>
        </is>
      </c>
      <c r="M4966" s="12" t="inlineStr">
        <is>
          <t>16</t>
        </is>
      </c>
      <c r="N4966" s="12" t="n">
        <v>8</v>
      </c>
      <c r="O4966" s="12" t="n">
        <v>1</v>
      </c>
      <c r="P4966" s="12" t="n"/>
      <c r="Q4966" s="12" t="n"/>
      <c r="R4966" s="12" t="n"/>
      <c r="S4966" s="12" t="inlineStr">
        <is>
          <t>Tray / conduit</t>
        </is>
      </c>
      <c r="T4966" s="16" t="n">
        <v>40</v>
      </c>
      <c r="U4966" s="16" t="n">
        <v>10</v>
      </c>
      <c r="V4966" s="16">
        <f>ROUNDUP((T4966+U4966+2*'Read Me'!$B$13)*(1+'Read Me'!$B$12),-1)</f>
        <v/>
      </c>
      <c r="W4966" s="16">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I-I-0418</t>
        </is>
      </c>
      <c r="B4967" s="12" t="inlineStr">
        <is>
          <t>I</t>
        </is>
      </c>
      <c r="C4967" s="12" t="inlineStr">
        <is>
          <t>Modular / portable power</t>
        </is>
      </c>
      <c r="D4967" s="12" t="inlineStr">
        <is>
          <t>Home run JB-SC-1 ammonia flow--DI01 to the control / marshalling room</t>
        </is>
      </c>
      <c r="E4967" s="12" t="inlineStr"/>
      <c r="F4967" s="12" t="inlineStr">
        <is>
          <t>SC-1 PCM + 15 kV GCB</t>
        </is>
      </c>
      <c r="G4967" s="12" t="inlineStr">
        <is>
          <t>JB-SC-1 ammonia flow--DI01</t>
        </is>
      </c>
      <c r="H4967" s="12" t="inlineStr">
        <is>
          <t>SC-1 ammonia flow-control unit</t>
        </is>
      </c>
      <c r="I4967" s="12" t="inlineStr">
        <is>
          <t>Instrumentation</t>
        </is>
      </c>
      <c r="J4967" s="12" t="inlineStr">
        <is>
          <t>Instrumentation PLTC / TC-ER 300 V, #18 twisted shielded pairs, overall shield</t>
        </is>
      </c>
      <c r="K4967" s="12" t="inlineStr">
        <is>
          <t>PLTC|24 pr|18</t>
        </is>
      </c>
      <c r="L4967" s="12" t="inlineStr">
        <is>
          <t>24 pr</t>
        </is>
      </c>
      <c r="M4967" s="12" t="inlineStr">
        <is>
          <t>18</t>
        </is>
      </c>
      <c r="N4967" s="12" t="n">
        <v>1</v>
      </c>
      <c r="O4967" s="12" t="n">
        <v>1</v>
      </c>
      <c r="P4967" s="12" t="n"/>
      <c r="Q4967" s="12" t="n"/>
      <c r="R4967" s="12" t="n"/>
      <c r="S4967" s="12" t="inlineStr">
        <is>
          <t>Tray</t>
        </is>
      </c>
      <c r="T4967" s="16" t="n">
        <v>0</v>
      </c>
      <c r="U4967" s="16" t="n">
        <v>152</v>
      </c>
      <c r="V4967" s="16">
        <f>ROUNDUP((T4967+U4967+2*'Read Me'!$B$13)*(1+'Read Me'!$B$12),-1)</f>
        <v/>
      </c>
      <c r="W4967" s="16">
        <f>V4967*N4967*O4967</f>
        <v/>
      </c>
      <c r="X4967" s="12">
        <f>IF(LEFT(I4967,2)="MV",2*N4967*IF(L4967="1/C",O4967,1),0)</f>
        <v/>
      </c>
      <c r="Y4967" s="12">
        <f>IF(OR(LEFT(K4967,4)="LVAX",LEFT(K4967,6)="MV15AX",LEFT(K4967,4)="CTAX",LEFT(K4967,2)="W|"),2*N4967*O4967,0)</f>
        <v/>
      </c>
      <c r="Z4967" s="12" t="inlineStr"/>
      <c r="AA4967" s="12">
        <f>N4967*O4967</f>
        <v/>
      </c>
    </row>
    <row r="4968">
      <c r="A4968" s="12" t="inlineStr">
        <is>
          <t>I-I-0419</t>
        </is>
      </c>
      <c r="B4968" s="12" t="inlineStr">
        <is>
          <t>I</t>
        </is>
      </c>
      <c r="C4968" s="12" t="inlineStr">
        <is>
          <t>Modular / portable power</t>
        </is>
      </c>
      <c r="D4968" s="12" t="inlineStr">
        <is>
          <t>Analog instrument to JB JB-SC-1 auxiliary ski-AI01: 14 x 1 pr (field cables)</t>
        </is>
      </c>
      <c r="E4968" s="12" t="inlineStr"/>
      <c r="F4968" s="12" t="inlineStr">
        <is>
          <t>SC-1 auxiliary skids: fuel-gas module, water-wash skid</t>
        </is>
      </c>
      <c r="G4968" s="12" t="inlineStr">
        <is>
          <t>JB-SC-1 auxiliary ski-AI01</t>
        </is>
      </c>
      <c r="H4968" s="12" t="inlineStr">
        <is>
          <t>SC-1 auxiliary skids: fuel-gas module, water-wash skid</t>
        </is>
      </c>
      <c r="I4968" s="12" t="inlineStr">
        <is>
          <t>Instrumentation</t>
        </is>
      </c>
      <c r="J4968" s="12" t="inlineStr">
        <is>
          <t>Instrumentation ITC / PLTC, IS, #18 shielded pairs, blue jacket</t>
        </is>
      </c>
      <c r="K4968" s="12" t="inlineStr">
        <is>
          <t>ITC|1 pr|16</t>
        </is>
      </c>
      <c r="L4968" s="12" t="inlineStr">
        <is>
          <t>1 pr</t>
        </is>
      </c>
      <c r="M4968" s="12" t="inlineStr">
        <is>
          <t>16</t>
        </is>
      </c>
      <c r="N4968" s="12" t="n">
        <v>14</v>
      </c>
      <c r="O4968" s="12" t="n">
        <v>1</v>
      </c>
      <c r="P4968" s="12" t="n"/>
      <c r="Q4968" s="12" t="n"/>
      <c r="R4968" s="12" t="n"/>
      <c r="S4968" s="12" t="inlineStr">
        <is>
          <t>Tray / conduit</t>
        </is>
      </c>
      <c r="T4968" s="16" t="n">
        <v>63</v>
      </c>
      <c r="U4968" s="16" t="n">
        <v>10</v>
      </c>
      <c r="V4968" s="16">
        <f>ROUNDUP((T4968+U4968+2*'Read Me'!$B$13)*(1+'Read Me'!$B$12),-1)</f>
        <v/>
      </c>
      <c r="W4968" s="16">
        <f>V4968*N4968*O4968</f>
        <v/>
      </c>
      <c r="X4968" s="12">
        <f>IF(LEFT(I4968,2)="MV",2*N4968*IF(L4968="1/C",O4968,1),0)</f>
        <v/>
      </c>
      <c r="Y4968" s="12">
        <f>IF(OR(LEFT(K4968,4)="LVAX",LEFT(K4968,6)="MV15AX",LEFT(K4968,4)="CTAX",LEFT(K4968,2)="W|"),2*N4968*O4968,0)</f>
        <v/>
      </c>
      <c r="Z4968" s="12" t="inlineStr">
        <is>
          <t>device-to-JB field wiring, one cable per device</t>
        </is>
      </c>
      <c r="AA4968" s="12">
        <f>N4968*O4968</f>
        <v/>
      </c>
    </row>
    <row r="4969">
      <c r="A4969" s="12" t="inlineStr">
        <is>
          <t>I-I-0420</t>
        </is>
      </c>
      <c r="B4969" s="12" t="inlineStr">
        <is>
          <t>I</t>
        </is>
      </c>
      <c r="C4969" s="12" t="inlineStr">
        <is>
          <t>Modular / portable power</t>
        </is>
      </c>
      <c r="D4969" s="12" t="inlineStr">
        <is>
          <t>Home run JB-SC-1 auxiliary ski-AI01 to the control / marshalling room</t>
        </is>
      </c>
      <c r="E4969" s="12" t="inlineStr"/>
      <c r="F4969" s="12" t="inlineStr">
        <is>
          <t>SC-1 PCM + 15 kV GCB</t>
        </is>
      </c>
      <c r="G4969" s="12" t="inlineStr">
        <is>
          <t>JB-SC-1 auxiliary ski-AI01</t>
        </is>
      </c>
      <c r="H4969" s="12" t="inlineStr">
        <is>
          <t>SC-1 auxiliary skids: fuel-gas module, water-wash skid</t>
        </is>
      </c>
      <c r="I4969" s="12" t="inlineStr">
        <is>
          <t>Instrumentation</t>
        </is>
      </c>
      <c r="J4969" s="12" t="inlineStr">
        <is>
          <t>Instrumentation ITC / PLTC, IS, #18 shielded pairs, blue jacket</t>
        </is>
      </c>
      <c r="K4969" s="12" t="inlineStr">
        <is>
          <t>ITC|24 pr|18</t>
        </is>
      </c>
      <c r="L4969" s="12" t="inlineStr">
        <is>
          <t>24 pr</t>
        </is>
      </c>
      <c r="M4969" s="12" t="inlineStr">
        <is>
          <t>18</t>
        </is>
      </c>
      <c r="N4969" s="12" t="n">
        <v>1</v>
      </c>
      <c r="O4969" s="12" t="n">
        <v>1</v>
      </c>
      <c r="P4969" s="12" t="n"/>
      <c r="Q4969" s="12" t="n"/>
      <c r="R4969" s="12" t="n"/>
      <c r="S4969" s="12" t="inlineStr">
        <is>
          <t>Tray</t>
        </is>
      </c>
      <c r="T4969" s="16" t="n">
        <v>0</v>
      </c>
      <c r="U4969" s="16" t="n">
        <v>77</v>
      </c>
      <c r="V4969" s="16">
        <f>ROUNDUP((T4969+U4969+2*'Read Me'!$B$13)*(1+'Read Me'!$B$12),-1)</f>
        <v/>
      </c>
      <c r="W4969" s="16">
        <f>V4969*N4969*O4969</f>
        <v/>
      </c>
      <c r="X4969" s="12">
        <f>IF(LEFT(I4969,2)="MV",2*N4969*IF(L4969="1/C",O4969,1),0)</f>
        <v/>
      </c>
      <c r="Y4969" s="12">
        <f>IF(OR(LEFT(K4969,4)="LVAX",LEFT(K4969,6)="MV15AX",LEFT(K4969,4)="CTAX",LEFT(K4969,2)="W|"),2*N4969*O4969,0)</f>
        <v/>
      </c>
      <c r="Z4969" s="12" t="inlineStr"/>
      <c r="AA4969" s="12">
        <f>N4969*O4969</f>
        <v/>
      </c>
    </row>
    <row r="4970">
      <c r="A4970" s="12" t="inlineStr">
        <is>
          <t>I-I-0421</t>
        </is>
      </c>
      <c r="B4970" s="12" t="inlineStr">
        <is>
          <t>I</t>
        </is>
      </c>
      <c r="C4970" s="12" t="inlineStr">
        <is>
          <t>Modular / portable power</t>
        </is>
      </c>
      <c r="D4970" s="12" t="inlineStr">
        <is>
          <t>Discrete device to JB JB-SC-1 auxiliary ski-DI01: 12 x 1 pr (field cables)</t>
        </is>
      </c>
      <c r="E4970" s="12" t="inlineStr"/>
      <c r="F4970" s="12" t="inlineStr">
        <is>
          <t>SC-1 auxiliary skids: fuel-gas module, water-wash skid</t>
        </is>
      </c>
      <c r="G4970" s="12" t="inlineStr">
        <is>
          <t>JB-SC-1 auxiliary ski-DI01</t>
        </is>
      </c>
      <c r="H4970" s="12" t="inlineStr">
        <is>
          <t>SC-1 auxiliary skids: fuel-gas module, water-wash skid</t>
        </is>
      </c>
      <c r="I4970" s="12" t="inlineStr">
        <is>
          <t>Instrumentation</t>
        </is>
      </c>
      <c r="J4970" s="12" t="inlineStr">
        <is>
          <t>Instrumentation ITC / PLTC, IS, #18 shielded pairs, blue jacket</t>
        </is>
      </c>
      <c r="K4970" s="12" t="inlineStr">
        <is>
          <t>ITC|1 pr|16</t>
        </is>
      </c>
      <c r="L4970" s="12" t="inlineStr">
        <is>
          <t>1 pr</t>
        </is>
      </c>
      <c r="M4970" s="12" t="inlineStr">
        <is>
          <t>16</t>
        </is>
      </c>
      <c r="N4970" s="12" t="n">
        <v>12</v>
      </c>
      <c r="O4970" s="12" t="n">
        <v>1</v>
      </c>
      <c r="P4970" s="12" t="n"/>
      <c r="Q4970" s="12" t="n"/>
      <c r="R4970" s="12" t="n"/>
      <c r="S4970" s="12" t="inlineStr">
        <is>
          <t>Tray / conduit</t>
        </is>
      </c>
      <c r="T4970" s="16" t="n">
        <v>63</v>
      </c>
      <c r="U4970" s="16" t="n">
        <v>10</v>
      </c>
      <c r="V4970" s="16">
        <f>ROUNDUP((T4970+U4970+2*'Read Me'!$B$13)*(1+'Read Me'!$B$12),-1)</f>
        <v/>
      </c>
      <c r="W4970" s="16">
        <f>V4970*N4970*O4970</f>
        <v/>
      </c>
      <c r="X4970" s="12">
        <f>IF(LEFT(I4970,2)="MV",2*N4970*IF(L4970="1/C",O4970,1),0)</f>
        <v/>
      </c>
      <c r="Y4970" s="12">
        <f>IF(OR(LEFT(K4970,4)="LVAX",LEFT(K4970,6)="MV15AX",LEFT(K4970,4)="CTAX",LEFT(K4970,2)="W|"),2*N4970*O4970,0)</f>
        <v/>
      </c>
      <c r="Z4970" s="12" t="inlineStr">
        <is>
          <t>device-to-JB field wiring, one cable per device</t>
        </is>
      </c>
      <c r="AA4970" s="12">
        <f>N4970*O4970</f>
        <v/>
      </c>
    </row>
    <row r="4971">
      <c r="A4971" s="12" t="inlineStr">
        <is>
          <t>I-I-0422</t>
        </is>
      </c>
      <c r="B4971" s="12" t="inlineStr">
        <is>
          <t>I</t>
        </is>
      </c>
      <c r="C4971" s="12" t="inlineStr">
        <is>
          <t>Modular / portable power</t>
        </is>
      </c>
      <c r="D4971" s="12" t="inlineStr">
        <is>
          <t>Home run JB-SC-1 auxiliary ski-DI01 to the control / marshalling room</t>
        </is>
      </c>
      <c r="E4971" s="12" t="inlineStr"/>
      <c r="F4971" s="12" t="inlineStr">
        <is>
          <t>SC-1 PCM + 15 kV GCB</t>
        </is>
      </c>
      <c r="G4971" s="12" t="inlineStr">
        <is>
          <t>JB-SC-1 auxiliary ski-DI01</t>
        </is>
      </c>
      <c r="H4971" s="12" t="inlineStr">
        <is>
          <t>SC-1 auxiliary skids: fuel-gas module, water-wash skid</t>
        </is>
      </c>
      <c r="I4971" s="12" t="inlineStr">
        <is>
          <t>Instrumentation</t>
        </is>
      </c>
      <c r="J4971" s="12" t="inlineStr">
        <is>
          <t>Instrumentation ITC / PLTC, IS, #18 shielded pairs, blue jacket</t>
        </is>
      </c>
      <c r="K4971" s="12" t="inlineStr">
        <is>
          <t>ITC|24 pr|18</t>
        </is>
      </c>
      <c r="L4971" s="12" t="inlineStr">
        <is>
          <t>24 pr</t>
        </is>
      </c>
      <c r="M4971" s="12" t="inlineStr">
        <is>
          <t>18</t>
        </is>
      </c>
      <c r="N4971" s="12" t="n">
        <v>1</v>
      </c>
      <c r="O4971" s="12" t="n">
        <v>1</v>
      </c>
      <c r="P4971" s="12" t="n"/>
      <c r="Q4971" s="12" t="n"/>
      <c r="R4971" s="12" t="n"/>
      <c r="S4971" s="12" t="inlineStr">
        <is>
          <t>Tray</t>
        </is>
      </c>
      <c r="T4971" s="16" t="n">
        <v>0</v>
      </c>
      <c r="U4971" s="16" t="n">
        <v>77</v>
      </c>
      <c r="V4971" s="16">
        <f>ROUNDUP((T4971+U4971+2*'Read Me'!$B$13)*(1+'Read Me'!$B$12),-1)</f>
        <v/>
      </c>
      <c r="W4971" s="16">
        <f>V4971*N4971*O4971</f>
        <v/>
      </c>
      <c r="X4971" s="12">
        <f>IF(LEFT(I4971,2)="MV",2*N4971*IF(L4971="1/C",O4971,1),0)</f>
        <v/>
      </c>
      <c r="Y4971" s="12">
        <f>IF(OR(LEFT(K4971,4)="LVAX",LEFT(K4971,6)="MV15AX",LEFT(K4971,4)="CTAX",LEFT(K4971,2)="W|"),2*N4971*O4971,0)</f>
        <v/>
      </c>
      <c r="Z4971" s="12" t="inlineStr"/>
      <c r="AA4971" s="12">
        <f>N4971*O4971</f>
        <v/>
      </c>
    </row>
    <row r="4972">
      <c r="A4972" s="12" t="inlineStr">
        <is>
          <t>I-I-0423</t>
        </is>
      </c>
      <c r="B4972" s="12" t="inlineStr">
        <is>
          <t>I</t>
        </is>
      </c>
      <c r="C4972" s="12" t="inlineStr">
        <is>
          <t>Modular / portable power</t>
        </is>
      </c>
      <c r="D4972" s="12" t="inlineStr">
        <is>
          <t>Analog instrument to JB JB-SC-1 lube-oil fin--AI01: 4 x 1 pr (field cables)</t>
        </is>
      </c>
      <c r="E4972" s="12" t="inlineStr"/>
      <c r="F4972" s="12" t="inlineStr">
        <is>
          <t>SC-1 lube-oil fin-fan cooler</t>
        </is>
      </c>
      <c r="G4972" s="12" t="inlineStr">
        <is>
          <t>JB-SC-1 lube-oil fin--AI01</t>
        </is>
      </c>
      <c r="H4972" s="12" t="inlineStr">
        <is>
          <t>SC-1 lube-oil fin-fan cooler</t>
        </is>
      </c>
      <c r="I4972" s="12" t="inlineStr">
        <is>
          <t>Instrumentation</t>
        </is>
      </c>
      <c r="J4972" s="12" t="inlineStr">
        <is>
          <t>Instrumentation PLTC / TC-ER 300 V, #18 twisted shielded pairs, overall shield</t>
        </is>
      </c>
      <c r="K4972" s="12" t="inlineStr">
        <is>
          <t>PLTC|1 pr|16</t>
        </is>
      </c>
      <c r="L4972" s="12" t="inlineStr">
        <is>
          <t>1 pr</t>
        </is>
      </c>
      <c r="M4972" s="12" t="inlineStr">
        <is>
          <t>16</t>
        </is>
      </c>
      <c r="N4972" s="12" t="n">
        <v>4</v>
      </c>
      <c r="O4972" s="12" t="n">
        <v>1</v>
      </c>
      <c r="P4972" s="12" t="n"/>
      <c r="Q4972" s="12" t="n"/>
      <c r="R4972" s="12" t="n"/>
      <c r="S4972" s="12" t="inlineStr">
        <is>
          <t>Tray / conduit</t>
        </is>
      </c>
      <c r="T4972" s="16" t="n">
        <v>46</v>
      </c>
      <c r="U4972" s="16" t="n">
        <v>10</v>
      </c>
      <c r="V4972" s="16">
        <f>ROUNDUP((T4972+U4972+2*'Read Me'!$B$13)*(1+'Read Me'!$B$12),-1)</f>
        <v/>
      </c>
      <c r="W4972" s="16">
        <f>V4972*N4972*O4972</f>
        <v/>
      </c>
      <c r="X4972" s="12">
        <f>IF(LEFT(I4972,2)="MV",2*N4972*IF(L4972="1/C",O4972,1),0)</f>
        <v/>
      </c>
      <c r="Y4972" s="12">
        <f>IF(OR(LEFT(K4972,4)="LVAX",LEFT(K4972,6)="MV15AX",LEFT(K4972,4)="CTAX",LEFT(K4972,2)="W|"),2*N4972*O4972,0)</f>
        <v/>
      </c>
      <c r="Z4972" s="12" t="inlineStr">
        <is>
          <t>device-to-JB field wiring, one cable per device</t>
        </is>
      </c>
      <c r="AA4972" s="12">
        <f>N4972*O4972</f>
        <v/>
      </c>
    </row>
    <row r="4973">
      <c r="A4973" s="12" t="inlineStr">
        <is>
          <t>I-I-0424</t>
        </is>
      </c>
      <c r="B4973" s="12" t="inlineStr">
        <is>
          <t>I</t>
        </is>
      </c>
      <c r="C4973" s="12" t="inlineStr">
        <is>
          <t>Modular / portable power</t>
        </is>
      </c>
      <c r="D4973" s="12" t="inlineStr">
        <is>
          <t>Home run JB-SC-1 lube-oil fin--AI01 to the control / marshalling room</t>
        </is>
      </c>
      <c r="E4973" s="12" t="inlineStr"/>
      <c r="F4973" s="12" t="inlineStr">
        <is>
          <t>SC-1 PCM + 15 kV GCB</t>
        </is>
      </c>
      <c r="G4973" s="12" t="inlineStr">
        <is>
          <t>JB-SC-1 lube-oil fin--AI01</t>
        </is>
      </c>
      <c r="H4973" s="12" t="inlineStr">
        <is>
          <t>SC-1 lube-oil fin-fan cooler</t>
        </is>
      </c>
      <c r="I4973" s="12" t="inlineStr">
        <is>
          <t>Instrumentation</t>
        </is>
      </c>
      <c r="J4973" s="12" t="inlineStr">
        <is>
          <t>Instrumentation PLTC / TC-ER 300 V, #18 twisted shielded pairs, overall shield</t>
        </is>
      </c>
      <c r="K4973" s="12" t="inlineStr">
        <is>
          <t>PLTC|24 pr|18</t>
        </is>
      </c>
      <c r="L4973" s="12" t="inlineStr">
        <is>
          <t>24 pr</t>
        </is>
      </c>
      <c r="M4973" s="12" t="inlineStr">
        <is>
          <t>18</t>
        </is>
      </c>
      <c r="N4973" s="12" t="n">
        <v>1</v>
      </c>
      <c r="O4973" s="12" t="n">
        <v>1</v>
      </c>
      <c r="P4973" s="12" t="n"/>
      <c r="Q4973" s="12" t="n"/>
      <c r="R4973" s="12" t="n"/>
      <c r="S4973" s="12" t="inlineStr">
        <is>
          <t>Tray</t>
        </is>
      </c>
      <c r="T4973" s="16" t="n">
        <v>0</v>
      </c>
      <c r="U4973" s="16" t="n">
        <v>82</v>
      </c>
      <c r="V4973" s="16">
        <f>ROUNDUP((T4973+U4973+2*'Read Me'!$B$13)*(1+'Read Me'!$B$12),-1)</f>
        <v/>
      </c>
      <c r="W4973" s="16">
        <f>V4973*N4973*O4973</f>
        <v/>
      </c>
      <c r="X4973" s="12">
        <f>IF(LEFT(I4973,2)="MV",2*N4973*IF(L4973="1/C",O4973,1),0)</f>
        <v/>
      </c>
      <c r="Y4973" s="12">
        <f>IF(OR(LEFT(K4973,4)="LVAX",LEFT(K4973,6)="MV15AX",LEFT(K4973,4)="CTAX",LEFT(K4973,2)="W|"),2*N4973*O4973,0)</f>
        <v/>
      </c>
      <c r="Z4973" s="12" t="inlineStr"/>
      <c r="AA4973" s="12">
        <f>N4973*O4973</f>
        <v/>
      </c>
    </row>
    <row r="4974">
      <c r="A4974" s="12" t="inlineStr">
        <is>
          <t>I-I-0425</t>
        </is>
      </c>
      <c r="B4974" s="12" t="inlineStr">
        <is>
          <t>I</t>
        </is>
      </c>
      <c r="C4974" s="12" t="inlineStr">
        <is>
          <t>Modular / portable power</t>
        </is>
      </c>
      <c r="D4974" s="12" t="inlineStr">
        <is>
          <t>Discrete device to JB JB-SC-1 lube-oil fin--DI01: 8 x 1 pr (field cables)</t>
        </is>
      </c>
      <c r="E4974" s="12" t="inlineStr"/>
      <c r="F4974" s="12" t="inlineStr">
        <is>
          <t>SC-1 lube-oil fin-fan cooler</t>
        </is>
      </c>
      <c r="G4974" s="12" t="inlineStr">
        <is>
          <t>JB-SC-1 lube-oil fin--DI01</t>
        </is>
      </c>
      <c r="H4974" s="12" t="inlineStr">
        <is>
          <t>SC-1 lube-oil fin-fan cooler</t>
        </is>
      </c>
      <c r="I4974" s="12" t="inlineStr">
        <is>
          <t>Instrumentation</t>
        </is>
      </c>
      <c r="J4974" s="12" t="inlineStr">
        <is>
          <t>Instrumentation PLTC / TC-ER 300 V, #18 twisted shielded pairs, overall shield</t>
        </is>
      </c>
      <c r="K4974" s="12" t="inlineStr">
        <is>
          <t>PLTC|1 pr|16</t>
        </is>
      </c>
      <c r="L4974" s="12" t="inlineStr">
        <is>
          <t>1 pr</t>
        </is>
      </c>
      <c r="M4974" s="12" t="inlineStr">
        <is>
          <t>16</t>
        </is>
      </c>
      <c r="N4974" s="12" t="n">
        <v>8</v>
      </c>
      <c r="O4974" s="12" t="n">
        <v>1</v>
      </c>
      <c r="P4974" s="12" t="n"/>
      <c r="Q4974" s="12" t="n"/>
      <c r="R4974" s="12" t="n"/>
      <c r="S4974" s="12" t="inlineStr">
        <is>
          <t>Tray / conduit</t>
        </is>
      </c>
      <c r="T4974" s="16" t="n">
        <v>46</v>
      </c>
      <c r="U4974" s="16" t="n">
        <v>10</v>
      </c>
      <c r="V4974" s="16">
        <f>ROUNDUP((T4974+U4974+2*'Read Me'!$B$13)*(1+'Read Me'!$B$12),-1)</f>
        <v/>
      </c>
      <c r="W4974" s="16">
        <f>V4974*N4974*O4974</f>
        <v/>
      </c>
      <c r="X4974" s="12">
        <f>IF(LEFT(I4974,2)="MV",2*N4974*IF(L4974="1/C",O4974,1),0)</f>
        <v/>
      </c>
      <c r="Y4974" s="12">
        <f>IF(OR(LEFT(K4974,4)="LVAX",LEFT(K4974,6)="MV15AX",LEFT(K4974,4)="CTAX",LEFT(K4974,2)="W|"),2*N4974*O4974,0)</f>
        <v/>
      </c>
      <c r="Z4974" s="12" t="inlineStr">
        <is>
          <t>device-to-JB field wiring, one cable per device</t>
        </is>
      </c>
      <c r="AA4974" s="12">
        <f>N4974*O4974</f>
        <v/>
      </c>
    </row>
    <row r="4975">
      <c r="A4975" s="12" t="inlineStr">
        <is>
          <t>I-I-0426</t>
        </is>
      </c>
      <c r="B4975" s="12" t="inlineStr">
        <is>
          <t>I</t>
        </is>
      </c>
      <c r="C4975" s="12" t="inlineStr">
        <is>
          <t>Modular / portable power</t>
        </is>
      </c>
      <c r="D4975" s="12" t="inlineStr">
        <is>
          <t>Home run JB-SC-1 lube-oil fin--DI01 to the control / marshalling room</t>
        </is>
      </c>
      <c r="E4975" s="12" t="inlineStr"/>
      <c r="F4975" s="12" t="inlineStr">
        <is>
          <t>SC-1 PCM + 15 kV GCB</t>
        </is>
      </c>
      <c r="G4975" s="12" t="inlineStr">
        <is>
          <t>JB-SC-1 lube-oil fin--DI01</t>
        </is>
      </c>
      <c r="H4975" s="12" t="inlineStr">
        <is>
          <t>SC-1 lube-oil fin-fan cooler</t>
        </is>
      </c>
      <c r="I4975" s="12" t="inlineStr">
        <is>
          <t>Instrumentation</t>
        </is>
      </c>
      <c r="J4975" s="12" t="inlineStr">
        <is>
          <t>Instrumentation PLTC / TC-ER 300 V, #18 twisted shielded pairs, overall shield</t>
        </is>
      </c>
      <c r="K4975" s="12" t="inlineStr">
        <is>
          <t>PLTC|24 pr|18</t>
        </is>
      </c>
      <c r="L4975" s="12" t="inlineStr">
        <is>
          <t>24 pr</t>
        </is>
      </c>
      <c r="M4975" s="12" t="inlineStr">
        <is>
          <t>18</t>
        </is>
      </c>
      <c r="N4975" s="12" t="n">
        <v>1</v>
      </c>
      <c r="O4975" s="12" t="n">
        <v>1</v>
      </c>
      <c r="P4975" s="12" t="n"/>
      <c r="Q4975" s="12" t="n"/>
      <c r="R4975" s="12" t="n"/>
      <c r="S4975" s="12" t="inlineStr">
        <is>
          <t>Tray</t>
        </is>
      </c>
      <c r="T4975" s="16" t="n">
        <v>0</v>
      </c>
      <c r="U4975" s="16" t="n">
        <v>82</v>
      </c>
      <c r="V4975" s="16">
        <f>ROUNDUP((T4975+U4975+2*'Read Me'!$B$13)*(1+'Read Me'!$B$12),-1)</f>
        <v/>
      </c>
      <c r="W4975" s="16">
        <f>V4975*N4975*O4975</f>
        <v/>
      </c>
      <c r="X4975" s="12">
        <f>IF(LEFT(I4975,2)="MV",2*N4975*IF(L4975="1/C",O4975,1),0)</f>
        <v/>
      </c>
      <c r="Y4975" s="12">
        <f>IF(OR(LEFT(K4975,4)="LVAX",LEFT(K4975,6)="MV15AX",LEFT(K4975,4)="CTAX",LEFT(K4975,2)="W|"),2*N4975*O4975,0)</f>
        <v/>
      </c>
      <c r="Z4975" s="12" t="inlineStr"/>
      <c r="AA4975" s="12">
        <f>N4975*O4975</f>
        <v/>
      </c>
    </row>
    <row r="4976">
      <c r="A4976" s="12" t="inlineStr">
        <is>
          <t>I-I-0427</t>
        </is>
      </c>
      <c r="B4976" s="12" t="inlineStr">
        <is>
          <t>I</t>
        </is>
      </c>
      <c r="C4976" s="12" t="inlineStr">
        <is>
          <t>Modular / portable power</t>
        </is>
      </c>
      <c r="D4976" s="12" t="inlineStr">
        <is>
          <t>Analog instrument to JB JB-SC-1 tempering-air-AI01: 8 x 1 pr (field cables)</t>
        </is>
      </c>
      <c r="E4976" s="12" t="inlineStr"/>
      <c r="F4976" s="12" t="inlineStr">
        <is>
          <t>SC-1 tempering-air fans (2 x 100 %)</t>
        </is>
      </c>
      <c r="G4976" s="12" t="inlineStr">
        <is>
          <t>JB-SC-1 tempering-air-AI01</t>
        </is>
      </c>
      <c r="H4976" s="12" t="inlineStr">
        <is>
          <t>SC-1 tempering-air fans (2 x 100 %)</t>
        </is>
      </c>
      <c r="I4976" s="12" t="inlineStr">
        <is>
          <t>Instrumentation</t>
        </is>
      </c>
      <c r="J4976" s="12" t="inlineStr">
        <is>
          <t>Instrumentation PLTC / TC-ER 300 V, #18 twisted shielded pairs, overall shield</t>
        </is>
      </c>
      <c r="K4976" s="12" t="inlineStr">
        <is>
          <t>PLTC|1 pr|16</t>
        </is>
      </c>
      <c r="L4976" s="12" t="inlineStr">
        <is>
          <t>1 pr</t>
        </is>
      </c>
      <c r="M4976" s="12" t="inlineStr">
        <is>
          <t>16</t>
        </is>
      </c>
      <c r="N4976" s="12" t="n">
        <v>8</v>
      </c>
      <c r="O4976" s="12" t="n">
        <v>1</v>
      </c>
      <c r="P4976" s="12" t="n"/>
      <c r="Q4976" s="12" t="n"/>
      <c r="R4976" s="12" t="n"/>
      <c r="S4976" s="12" t="inlineStr">
        <is>
          <t>Tray / conduit</t>
        </is>
      </c>
      <c r="T4976" s="16" t="n">
        <v>53</v>
      </c>
      <c r="U4976" s="16" t="n">
        <v>10</v>
      </c>
      <c r="V4976" s="16">
        <f>ROUNDUP((T4976+U4976+2*'Read Me'!$B$13)*(1+'Read Me'!$B$12),-1)</f>
        <v/>
      </c>
      <c r="W4976" s="16">
        <f>V4976*N4976*O4976</f>
        <v/>
      </c>
      <c r="X4976" s="12">
        <f>IF(LEFT(I4976,2)="MV",2*N4976*IF(L4976="1/C",O4976,1),0)</f>
        <v/>
      </c>
      <c r="Y4976" s="12">
        <f>IF(OR(LEFT(K4976,4)="LVAX",LEFT(K4976,6)="MV15AX",LEFT(K4976,4)="CTAX",LEFT(K4976,2)="W|"),2*N4976*O4976,0)</f>
        <v/>
      </c>
      <c r="Z4976" s="12" t="inlineStr">
        <is>
          <t>device-to-JB field wiring, one cable per device</t>
        </is>
      </c>
      <c r="AA4976" s="12">
        <f>N4976*O4976</f>
        <v/>
      </c>
    </row>
    <row r="4977">
      <c r="A4977" s="12" t="inlineStr">
        <is>
          <t>I-I-0428</t>
        </is>
      </c>
      <c r="B4977" s="12" t="inlineStr">
        <is>
          <t>I</t>
        </is>
      </c>
      <c r="C4977" s="12" t="inlineStr">
        <is>
          <t>Modular / portable power</t>
        </is>
      </c>
      <c r="D4977" s="12" t="inlineStr">
        <is>
          <t>Home run JB-SC-1 tempering-air-AI01 to the control / marshalling room</t>
        </is>
      </c>
      <c r="E4977" s="12" t="inlineStr"/>
      <c r="F4977" s="12" t="inlineStr">
        <is>
          <t>SC-1 PCM + 15 kV GCB</t>
        </is>
      </c>
      <c r="G4977" s="12" t="inlineStr">
        <is>
          <t>JB-SC-1 tempering-air-AI01</t>
        </is>
      </c>
      <c r="H4977" s="12" t="inlineStr">
        <is>
          <t>SC-1 tempering-air fans (2 x 100 %)</t>
        </is>
      </c>
      <c r="I4977" s="12" t="inlineStr">
        <is>
          <t>Instrumentation</t>
        </is>
      </c>
      <c r="J4977" s="12" t="inlineStr">
        <is>
          <t>Instrumentation PLTC / TC-ER 300 V, #18 twisted shielded pairs, overall shield</t>
        </is>
      </c>
      <c r="K4977" s="12" t="inlineStr">
        <is>
          <t>PLTC|24 pr|18</t>
        </is>
      </c>
      <c r="L4977" s="12" t="inlineStr">
        <is>
          <t>24 pr</t>
        </is>
      </c>
      <c r="M4977" s="12" t="inlineStr">
        <is>
          <t>18</t>
        </is>
      </c>
      <c r="N4977" s="12" t="n">
        <v>1</v>
      </c>
      <c r="O4977" s="12" t="n">
        <v>1</v>
      </c>
      <c r="P4977" s="12" t="n"/>
      <c r="Q4977" s="12" t="n"/>
      <c r="R4977" s="12" t="n"/>
      <c r="S4977" s="12" t="inlineStr">
        <is>
          <t>Tray</t>
        </is>
      </c>
      <c r="T4977" s="16" t="n">
        <v>0</v>
      </c>
      <c r="U4977" s="16" t="n">
        <v>156</v>
      </c>
      <c r="V4977" s="16">
        <f>ROUNDUP((T4977+U4977+2*'Read Me'!$B$13)*(1+'Read Me'!$B$12),-1)</f>
        <v/>
      </c>
      <c r="W4977" s="16">
        <f>V4977*N4977*O4977</f>
        <v/>
      </c>
      <c r="X4977" s="12">
        <f>IF(LEFT(I4977,2)="MV",2*N4977*IF(L4977="1/C",O4977,1),0)</f>
        <v/>
      </c>
      <c r="Y4977" s="12">
        <f>IF(OR(LEFT(K4977,4)="LVAX",LEFT(K4977,6)="MV15AX",LEFT(K4977,4)="CTAX",LEFT(K4977,2)="W|"),2*N4977*O4977,0)</f>
        <v/>
      </c>
      <c r="Z4977" s="12" t="inlineStr"/>
      <c r="AA4977" s="12">
        <f>N4977*O4977</f>
        <v/>
      </c>
    </row>
    <row r="4978">
      <c r="A4978" s="12" t="inlineStr">
        <is>
          <t>I-I-0429</t>
        </is>
      </c>
      <c r="B4978" s="12" t="inlineStr">
        <is>
          <t>I</t>
        </is>
      </c>
      <c r="C4978" s="12" t="inlineStr">
        <is>
          <t>Modular / portable power</t>
        </is>
      </c>
      <c r="D4978" s="12" t="inlineStr">
        <is>
          <t>Discrete device to JB JB-SC-1 tempering-air-DI01: 8 x 1 pr (field cables)</t>
        </is>
      </c>
      <c r="E4978" s="12" t="inlineStr"/>
      <c r="F4978" s="12" t="inlineStr">
        <is>
          <t>SC-1 tempering-air fans (2 x 100 %)</t>
        </is>
      </c>
      <c r="G4978" s="12" t="inlineStr">
        <is>
          <t>JB-SC-1 tempering-air-DI01</t>
        </is>
      </c>
      <c r="H4978" s="12" t="inlineStr">
        <is>
          <t>SC-1 tempering-air fans (2 x 100 %)</t>
        </is>
      </c>
      <c r="I4978" s="12" t="inlineStr">
        <is>
          <t>Instrumentation</t>
        </is>
      </c>
      <c r="J4978" s="12" t="inlineStr">
        <is>
          <t>Instrumentation PLTC / TC-ER 300 V, #18 twisted shielded pairs, overall shield</t>
        </is>
      </c>
      <c r="K4978" s="12" t="inlineStr">
        <is>
          <t>PLTC|1 pr|16</t>
        </is>
      </c>
      <c r="L4978" s="12" t="inlineStr">
        <is>
          <t>1 pr</t>
        </is>
      </c>
      <c r="M4978" s="12" t="inlineStr">
        <is>
          <t>16</t>
        </is>
      </c>
      <c r="N4978" s="12" t="n">
        <v>8</v>
      </c>
      <c r="O4978" s="12" t="n">
        <v>1</v>
      </c>
      <c r="P4978" s="12" t="n"/>
      <c r="Q4978" s="12" t="n"/>
      <c r="R4978" s="12" t="n"/>
      <c r="S4978" s="12" t="inlineStr">
        <is>
          <t>Tray / conduit</t>
        </is>
      </c>
      <c r="T4978" s="16" t="n">
        <v>53</v>
      </c>
      <c r="U4978" s="16" t="n">
        <v>10</v>
      </c>
      <c r="V4978" s="16">
        <f>ROUNDUP((T4978+U4978+2*'Read Me'!$B$13)*(1+'Read Me'!$B$12),-1)</f>
        <v/>
      </c>
      <c r="W4978" s="16">
        <f>V4978*N4978*O4978</f>
        <v/>
      </c>
      <c r="X4978" s="12">
        <f>IF(LEFT(I4978,2)="MV",2*N4978*IF(L4978="1/C",O4978,1),0)</f>
        <v/>
      </c>
      <c r="Y4978" s="12">
        <f>IF(OR(LEFT(K4978,4)="LVAX",LEFT(K4978,6)="MV15AX",LEFT(K4978,4)="CTAX",LEFT(K4978,2)="W|"),2*N4978*O4978,0)</f>
        <v/>
      </c>
      <c r="Z4978" s="12" t="inlineStr">
        <is>
          <t>device-to-JB field wiring, one cable per device</t>
        </is>
      </c>
      <c r="AA4978" s="12">
        <f>N4978*O4978</f>
        <v/>
      </c>
    </row>
    <row r="4979">
      <c r="A4979" s="12" t="inlineStr">
        <is>
          <t>I-I-0430</t>
        </is>
      </c>
      <c r="B4979" s="12" t="inlineStr">
        <is>
          <t>I</t>
        </is>
      </c>
      <c r="C4979" s="12" t="inlineStr">
        <is>
          <t>Modular / portable power</t>
        </is>
      </c>
      <c r="D4979" s="12" t="inlineStr">
        <is>
          <t>Home run JB-SC-1 tempering-air-DI01 to the control / marshalling room</t>
        </is>
      </c>
      <c r="E4979" s="12" t="inlineStr"/>
      <c r="F4979" s="12" t="inlineStr">
        <is>
          <t>SC-1 PCM + 15 kV GCB</t>
        </is>
      </c>
      <c r="G4979" s="12" t="inlineStr">
        <is>
          <t>JB-SC-1 tempering-air-DI01</t>
        </is>
      </c>
      <c r="H4979" s="12" t="inlineStr">
        <is>
          <t>SC-1 tempering-air fans (2 x 100 %)</t>
        </is>
      </c>
      <c r="I4979" s="12" t="inlineStr">
        <is>
          <t>Instrumentation</t>
        </is>
      </c>
      <c r="J4979" s="12" t="inlineStr">
        <is>
          <t>Instrumentation PLTC / TC-ER 300 V, #18 twisted shielded pairs, overall shield</t>
        </is>
      </c>
      <c r="K4979" s="12" t="inlineStr">
        <is>
          <t>PLTC|24 pr|18</t>
        </is>
      </c>
      <c r="L4979" s="12" t="inlineStr">
        <is>
          <t>24 pr</t>
        </is>
      </c>
      <c r="M4979" s="12" t="inlineStr">
        <is>
          <t>18</t>
        </is>
      </c>
      <c r="N4979" s="12" t="n">
        <v>1</v>
      </c>
      <c r="O4979" s="12" t="n">
        <v>1</v>
      </c>
      <c r="P4979" s="12" t="n"/>
      <c r="Q4979" s="12" t="n"/>
      <c r="R4979" s="12" t="n"/>
      <c r="S4979" s="12" t="inlineStr">
        <is>
          <t>Tray</t>
        </is>
      </c>
      <c r="T4979" s="16" t="n">
        <v>0</v>
      </c>
      <c r="U4979" s="16" t="n">
        <v>156</v>
      </c>
      <c r="V4979" s="16">
        <f>ROUNDUP((T4979+U4979+2*'Read Me'!$B$13)*(1+'Read Me'!$B$12),-1)</f>
        <v/>
      </c>
      <c r="W4979" s="16">
        <f>V4979*N4979*O4979</f>
        <v/>
      </c>
      <c r="X4979" s="12">
        <f>IF(LEFT(I4979,2)="MV",2*N4979*IF(L4979="1/C",O4979,1),0)</f>
        <v/>
      </c>
      <c r="Y4979" s="12">
        <f>IF(OR(LEFT(K4979,4)="LVAX",LEFT(K4979,6)="MV15AX",LEFT(K4979,4)="CTAX",LEFT(K4979,2)="W|"),2*N4979*O4979,0)</f>
        <v/>
      </c>
      <c r="Z4979" s="12" t="inlineStr"/>
      <c r="AA4979" s="12">
        <f>N4979*O4979</f>
        <v/>
      </c>
    </row>
    <row r="4980">
      <c r="A4980" s="12" t="inlineStr">
        <is>
          <t>I-I-0431</t>
        </is>
      </c>
      <c r="B4980" s="12" t="inlineStr">
        <is>
          <t>I</t>
        </is>
      </c>
      <c r="C4980" s="12" t="inlineStr">
        <is>
          <t>Modular / portable power</t>
        </is>
      </c>
      <c r="D4980" s="12" t="inlineStr">
        <is>
          <t>Analog instrument to JB JB-SC-1-AI01: 20 x 1 pr (field cables)</t>
        </is>
      </c>
      <c r="E4980" s="12" t="inlineStr">
        <is>
          <t>SC-1</t>
        </is>
      </c>
      <c r="F4980" s="12" t="inlineStr">
        <is>
          <t>SC-1: aeroderivative simple-cycle unit (LM6000 class)</t>
        </is>
      </c>
      <c r="G4980" s="12" t="inlineStr">
        <is>
          <t>JB-SC-1-AI01</t>
        </is>
      </c>
      <c r="H4980" s="12" t="inlineStr">
        <is>
          <t>SC-1: aeroderivative simple-cycle unit (LM6000 class)</t>
        </is>
      </c>
      <c r="I4980" s="12" t="inlineStr">
        <is>
          <t>Instrumentation</t>
        </is>
      </c>
      <c r="J4980" s="12" t="inlineStr">
        <is>
          <t>Instrumentation PLTC / TC-ER 300 V, #18 twisted shielded pairs, overall shield</t>
        </is>
      </c>
      <c r="K4980" s="12" t="inlineStr">
        <is>
          <t>PLTC|1 pr|16</t>
        </is>
      </c>
      <c r="L4980" s="12" t="inlineStr">
        <is>
          <t>1 pr</t>
        </is>
      </c>
      <c r="M4980" s="12" t="inlineStr">
        <is>
          <t>16</t>
        </is>
      </c>
      <c r="N4980" s="12" t="n">
        <v>20</v>
      </c>
      <c r="O4980" s="12" t="n">
        <v>1</v>
      </c>
      <c r="P4980" s="12" t="n"/>
      <c r="Q4980" s="12" t="n"/>
      <c r="R4980" s="12" t="n"/>
      <c r="S4980" s="12" t="inlineStr">
        <is>
          <t>Tray / conduit</t>
        </is>
      </c>
      <c r="T4980" s="16" t="n">
        <v>99</v>
      </c>
      <c r="U4980" s="16" t="n">
        <v>10</v>
      </c>
      <c r="V4980" s="16">
        <f>ROUNDUP((T4980+U4980+2*'Read Me'!$B$13)*(1+'Read Me'!$B$12),-1)</f>
        <v/>
      </c>
      <c r="W4980" s="16">
        <f>V4980*N4980*O4980</f>
        <v/>
      </c>
      <c r="X4980" s="12">
        <f>IF(LEFT(I4980,2)="MV",2*N4980*IF(L4980="1/C",O4980,1),0)</f>
        <v/>
      </c>
      <c r="Y4980" s="12">
        <f>IF(OR(LEFT(K4980,4)="LVAX",LEFT(K4980,6)="MV15AX",LEFT(K4980,4)="CTAX",LEFT(K4980,2)="W|"),2*N4980*O4980,0)</f>
        <v/>
      </c>
      <c r="Z4980" s="12" t="inlineStr">
        <is>
          <t>device-to-JB field wiring, one cable per device</t>
        </is>
      </c>
      <c r="AA4980" s="12">
        <f>N4980*O4980</f>
        <v/>
      </c>
    </row>
    <row r="4981">
      <c r="A4981" s="12" t="inlineStr">
        <is>
          <t>I-I-0432</t>
        </is>
      </c>
      <c r="B4981" s="12" t="inlineStr">
        <is>
          <t>I</t>
        </is>
      </c>
      <c r="C4981" s="12" t="inlineStr">
        <is>
          <t>Modular / portable power</t>
        </is>
      </c>
      <c r="D4981" s="12" t="inlineStr">
        <is>
          <t>Home run JB-SC-1-AI01 to the control / marshalling room</t>
        </is>
      </c>
      <c r="E4981" s="12" t="inlineStr"/>
      <c r="F4981" s="12" t="inlineStr">
        <is>
          <t>SC-1 PCM + 15 kV GCB</t>
        </is>
      </c>
      <c r="G4981" s="12" t="inlineStr">
        <is>
          <t>JB-SC-1-AI01</t>
        </is>
      </c>
      <c r="H4981" s="12" t="inlineStr">
        <is>
          <t>SC-1: aeroderivative simple-cycle unit (LM6000 class)</t>
        </is>
      </c>
      <c r="I4981" s="12" t="inlineStr">
        <is>
          <t>Instrumentation</t>
        </is>
      </c>
      <c r="J4981" s="12" t="inlineStr">
        <is>
          <t>Instrumentation PLTC / TC-ER 300 V, #18 twisted shielded pairs, overall shield</t>
        </is>
      </c>
      <c r="K4981" s="12" t="inlineStr">
        <is>
          <t>PLTC|24 pr|18</t>
        </is>
      </c>
      <c r="L4981" s="12" t="inlineStr">
        <is>
          <t>24 pr</t>
        </is>
      </c>
      <c r="M4981" s="12" t="inlineStr">
        <is>
          <t>18</t>
        </is>
      </c>
      <c r="N4981" s="12" t="n">
        <v>1</v>
      </c>
      <c r="O4981" s="12" t="n">
        <v>1</v>
      </c>
      <c r="P4981" s="12" t="n"/>
      <c r="Q4981" s="12" t="n"/>
      <c r="R4981" s="12" t="n"/>
      <c r="S4981" s="12" t="inlineStr">
        <is>
          <t>Tray</t>
        </is>
      </c>
      <c r="T4981" s="16" t="n">
        <v>0</v>
      </c>
      <c r="U4981" s="16" t="n">
        <v>64</v>
      </c>
      <c r="V4981" s="16">
        <f>ROUNDUP((T4981+U4981+2*'Read Me'!$B$13)*(1+'Read Me'!$B$12),-1)</f>
        <v/>
      </c>
      <c r="W4981" s="16">
        <f>V4981*N4981*O4981</f>
        <v/>
      </c>
      <c r="X4981" s="12">
        <f>IF(LEFT(I4981,2)="MV",2*N4981*IF(L4981="1/C",O4981,1),0)</f>
        <v/>
      </c>
      <c r="Y4981" s="12">
        <f>IF(OR(LEFT(K4981,4)="LVAX",LEFT(K4981,6)="MV15AX",LEFT(K4981,4)="CTAX",LEFT(K4981,2)="W|"),2*N4981*O4981,0)</f>
        <v/>
      </c>
      <c r="Z4981" s="12" t="inlineStr"/>
      <c r="AA4981" s="12">
        <f>N4981*O4981</f>
        <v/>
      </c>
    </row>
    <row r="4982">
      <c r="A4982" s="12" t="inlineStr">
        <is>
          <t>I-I-0433</t>
        </is>
      </c>
      <c r="B4982" s="12" t="inlineStr">
        <is>
          <t>I</t>
        </is>
      </c>
      <c r="C4982" s="12" t="inlineStr">
        <is>
          <t>Modular / portable power</t>
        </is>
      </c>
      <c r="D4982" s="12" t="inlineStr">
        <is>
          <t>Analog instrument to JB JB-SC-1-AI02: 20 x 1 pr (field cables)</t>
        </is>
      </c>
      <c r="E4982" s="12" t="inlineStr">
        <is>
          <t>SC-1</t>
        </is>
      </c>
      <c r="F4982" s="12" t="inlineStr">
        <is>
          <t>SC-1: aeroderivative simple-cycle unit (LM6000 class)</t>
        </is>
      </c>
      <c r="G4982" s="12" t="inlineStr">
        <is>
          <t>JB-SC-1-AI02</t>
        </is>
      </c>
      <c r="H4982" s="12" t="inlineStr">
        <is>
          <t>SC-1: aeroderivative simple-cycle unit (LM6000 class)</t>
        </is>
      </c>
      <c r="I4982" s="12" t="inlineStr">
        <is>
          <t>Instrumentation</t>
        </is>
      </c>
      <c r="J4982" s="12" t="inlineStr">
        <is>
          <t>Instrumentation PLTC / TC-ER 300 V, #18 twisted shielded pairs, overall shield</t>
        </is>
      </c>
      <c r="K4982" s="12" t="inlineStr">
        <is>
          <t>PLTC|1 pr|16</t>
        </is>
      </c>
      <c r="L4982" s="12" t="inlineStr">
        <is>
          <t>1 pr</t>
        </is>
      </c>
      <c r="M4982" s="12" t="inlineStr">
        <is>
          <t>16</t>
        </is>
      </c>
      <c r="N4982" s="12" t="n">
        <v>20</v>
      </c>
      <c r="O4982" s="12" t="n">
        <v>1</v>
      </c>
      <c r="P4982" s="12" t="n"/>
      <c r="Q4982" s="12" t="n"/>
      <c r="R4982" s="12" t="n"/>
      <c r="S4982" s="12" t="inlineStr">
        <is>
          <t>Tray / conduit</t>
        </is>
      </c>
      <c r="T4982" s="16" t="n">
        <v>99</v>
      </c>
      <c r="U4982" s="16" t="n">
        <v>10</v>
      </c>
      <c r="V4982" s="16">
        <f>ROUNDUP((T4982+U4982+2*'Read Me'!$B$13)*(1+'Read Me'!$B$12),-1)</f>
        <v/>
      </c>
      <c r="W4982" s="16">
        <f>V4982*N4982*O4982</f>
        <v/>
      </c>
      <c r="X4982" s="12">
        <f>IF(LEFT(I4982,2)="MV",2*N4982*IF(L4982="1/C",O4982,1),0)</f>
        <v/>
      </c>
      <c r="Y4982" s="12">
        <f>IF(OR(LEFT(K4982,4)="LVAX",LEFT(K4982,6)="MV15AX",LEFT(K4982,4)="CTAX",LEFT(K4982,2)="W|"),2*N4982*O4982,0)</f>
        <v/>
      </c>
      <c r="Z4982" s="12" t="inlineStr">
        <is>
          <t>device-to-JB field wiring, one cable per device</t>
        </is>
      </c>
      <c r="AA4982" s="12">
        <f>N4982*O4982</f>
        <v/>
      </c>
    </row>
    <row r="4983">
      <c r="A4983" s="12" t="inlineStr">
        <is>
          <t>I-I-0434</t>
        </is>
      </c>
      <c r="B4983" s="12" t="inlineStr">
        <is>
          <t>I</t>
        </is>
      </c>
      <c r="C4983" s="12" t="inlineStr">
        <is>
          <t>Modular / portable power</t>
        </is>
      </c>
      <c r="D4983" s="12" t="inlineStr">
        <is>
          <t>Home run JB-SC-1-AI02 to the control / marshalling room</t>
        </is>
      </c>
      <c r="E4983" s="12" t="inlineStr"/>
      <c r="F4983" s="12" t="inlineStr">
        <is>
          <t>SC-1 PCM + 15 kV GCB</t>
        </is>
      </c>
      <c r="G4983" s="12" t="inlineStr">
        <is>
          <t>JB-SC-1-AI02</t>
        </is>
      </c>
      <c r="H4983" s="12" t="inlineStr">
        <is>
          <t>SC-1: aeroderivative simple-cycle unit (LM6000 class)</t>
        </is>
      </c>
      <c r="I4983" s="12" t="inlineStr">
        <is>
          <t>Instrumentation</t>
        </is>
      </c>
      <c r="J4983" s="12" t="inlineStr">
        <is>
          <t>Instrumentation PLTC / TC-ER 300 V, #18 twisted shielded pairs, overall shield</t>
        </is>
      </c>
      <c r="K4983" s="12" t="inlineStr">
        <is>
          <t>PLTC|24 pr|18</t>
        </is>
      </c>
      <c r="L4983" s="12" t="inlineStr">
        <is>
          <t>24 pr</t>
        </is>
      </c>
      <c r="M4983" s="12" t="inlineStr">
        <is>
          <t>18</t>
        </is>
      </c>
      <c r="N4983" s="12" t="n">
        <v>1</v>
      </c>
      <c r="O4983" s="12" t="n">
        <v>1</v>
      </c>
      <c r="P4983" s="12" t="n"/>
      <c r="Q4983" s="12" t="n"/>
      <c r="R4983" s="12" t="n"/>
      <c r="S4983" s="12" t="inlineStr">
        <is>
          <t>Tray</t>
        </is>
      </c>
      <c r="T4983" s="16" t="n">
        <v>0</v>
      </c>
      <c r="U4983" s="16" t="n">
        <v>64</v>
      </c>
      <c r="V4983" s="16">
        <f>ROUNDUP((T4983+U4983+2*'Read Me'!$B$13)*(1+'Read Me'!$B$12),-1)</f>
        <v/>
      </c>
      <c r="W4983" s="16">
        <f>V4983*N4983*O4983</f>
        <v/>
      </c>
      <c r="X4983" s="12">
        <f>IF(LEFT(I4983,2)="MV",2*N4983*IF(L4983="1/C",O4983,1),0)</f>
        <v/>
      </c>
      <c r="Y4983" s="12">
        <f>IF(OR(LEFT(K4983,4)="LVAX",LEFT(K4983,6)="MV15AX",LEFT(K4983,4)="CTAX",LEFT(K4983,2)="W|"),2*N4983*O4983,0)</f>
        <v/>
      </c>
      <c r="Z4983" s="12" t="inlineStr"/>
      <c r="AA4983" s="12">
        <f>N4983*O4983</f>
        <v/>
      </c>
    </row>
    <row r="4984">
      <c r="A4984" s="12" t="inlineStr">
        <is>
          <t>I-I-0435</t>
        </is>
      </c>
      <c r="B4984" s="12" t="inlineStr">
        <is>
          <t>I</t>
        </is>
      </c>
      <c r="C4984" s="12" t="inlineStr">
        <is>
          <t>Modular / portable power</t>
        </is>
      </c>
      <c r="D4984" s="12" t="inlineStr">
        <is>
          <t>Analog instrument to JB JB-SC-1-AI03: 20 x 1 pr (field cables)</t>
        </is>
      </c>
      <c r="E4984" s="12" t="inlineStr">
        <is>
          <t>SC-1</t>
        </is>
      </c>
      <c r="F4984" s="12" t="inlineStr">
        <is>
          <t>SC-1: aeroderivative simple-cycle unit (LM6000 class)</t>
        </is>
      </c>
      <c r="G4984" s="12" t="inlineStr">
        <is>
          <t>JB-SC-1-AI03</t>
        </is>
      </c>
      <c r="H4984" s="12" t="inlineStr">
        <is>
          <t>SC-1: aeroderivative simple-cycle unit (LM6000 class)</t>
        </is>
      </c>
      <c r="I4984" s="12" t="inlineStr">
        <is>
          <t>Instrumentation</t>
        </is>
      </c>
      <c r="J4984" s="12" t="inlineStr">
        <is>
          <t>Instrumentation PLTC / TC-ER 300 V, #18 twisted shielded pairs, overall shield</t>
        </is>
      </c>
      <c r="K4984" s="12" t="inlineStr">
        <is>
          <t>PLTC|1 pr|16</t>
        </is>
      </c>
      <c r="L4984" s="12" t="inlineStr">
        <is>
          <t>1 pr</t>
        </is>
      </c>
      <c r="M4984" s="12" t="inlineStr">
        <is>
          <t>16</t>
        </is>
      </c>
      <c r="N4984" s="12" t="n">
        <v>20</v>
      </c>
      <c r="O4984" s="12" t="n">
        <v>1</v>
      </c>
      <c r="P4984" s="12" t="n"/>
      <c r="Q4984" s="12" t="n"/>
      <c r="R4984" s="12" t="n"/>
      <c r="S4984" s="12" t="inlineStr">
        <is>
          <t>Tray / conduit</t>
        </is>
      </c>
      <c r="T4984" s="16" t="n">
        <v>99</v>
      </c>
      <c r="U4984" s="16" t="n">
        <v>10</v>
      </c>
      <c r="V4984" s="16">
        <f>ROUNDUP((T4984+U4984+2*'Read Me'!$B$13)*(1+'Read Me'!$B$12),-1)</f>
        <v/>
      </c>
      <c r="W4984" s="16">
        <f>V4984*N4984*O4984</f>
        <v/>
      </c>
      <c r="X4984" s="12">
        <f>IF(LEFT(I4984,2)="MV",2*N4984*IF(L4984="1/C",O4984,1),0)</f>
        <v/>
      </c>
      <c r="Y4984" s="12">
        <f>IF(OR(LEFT(K4984,4)="LVAX",LEFT(K4984,6)="MV15AX",LEFT(K4984,4)="CTAX",LEFT(K4984,2)="W|"),2*N4984*O4984,0)</f>
        <v/>
      </c>
      <c r="Z4984" s="12" t="inlineStr">
        <is>
          <t>device-to-JB field wiring, one cable per device</t>
        </is>
      </c>
      <c r="AA4984" s="12">
        <f>N4984*O4984</f>
        <v/>
      </c>
    </row>
    <row r="4985">
      <c r="A4985" s="12" t="inlineStr">
        <is>
          <t>I-I-0436</t>
        </is>
      </c>
      <c r="B4985" s="12" t="inlineStr">
        <is>
          <t>I</t>
        </is>
      </c>
      <c r="C4985" s="12" t="inlineStr">
        <is>
          <t>Modular / portable power</t>
        </is>
      </c>
      <c r="D4985" s="12" t="inlineStr">
        <is>
          <t>Home run JB-SC-1-AI03 to the control / marshalling room</t>
        </is>
      </c>
      <c r="E4985" s="12" t="inlineStr"/>
      <c r="F4985" s="12" t="inlineStr">
        <is>
          <t>SC-1 PCM + 15 kV GCB</t>
        </is>
      </c>
      <c r="G4985" s="12" t="inlineStr">
        <is>
          <t>JB-SC-1-AI03</t>
        </is>
      </c>
      <c r="H4985" s="12" t="inlineStr">
        <is>
          <t>SC-1: aeroderivative simple-cycle unit (LM6000 class)</t>
        </is>
      </c>
      <c r="I4985" s="12" t="inlineStr">
        <is>
          <t>Instrumentation</t>
        </is>
      </c>
      <c r="J4985" s="12" t="inlineStr">
        <is>
          <t>Instrumentation PLTC / TC-ER 300 V, #18 twisted shielded pairs, overall shield</t>
        </is>
      </c>
      <c r="K4985" s="12" t="inlineStr">
        <is>
          <t>PLTC|24 pr|18</t>
        </is>
      </c>
      <c r="L4985" s="12" t="inlineStr">
        <is>
          <t>24 pr</t>
        </is>
      </c>
      <c r="M4985" s="12" t="inlineStr">
        <is>
          <t>18</t>
        </is>
      </c>
      <c r="N4985" s="12" t="n">
        <v>1</v>
      </c>
      <c r="O4985" s="12" t="n">
        <v>1</v>
      </c>
      <c r="P4985" s="12" t="n"/>
      <c r="Q4985" s="12" t="n"/>
      <c r="R4985" s="12" t="n"/>
      <c r="S4985" s="12" t="inlineStr">
        <is>
          <t>Tray</t>
        </is>
      </c>
      <c r="T4985" s="16" t="n">
        <v>0</v>
      </c>
      <c r="U4985" s="16" t="n">
        <v>64</v>
      </c>
      <c r="V4985" s="16">
        <f>ROUNDUP((T4985+U4985+2*'Read Me'!$B$13)*(1+'Read Me'!$B$12),-1)</f>
        <v/>
      </c>
      <c r="W4985" s="16">
        <f>V4985*N4985*O4985</f>
        <v/>
      </c>
      <c r="X4985" s="12">
        <f>IF(LEFT(I4985,2)="MV",2*N4985*IF(L4985="1/C",O4985,1),0)</f>
        <v/>
      </c>
      <c r="Y4985" s="12">
        <f>IF(OR(LEFT(K4985,4)="LVAX",LEFT(K4985,6)="MV15AX",LEFT(K4985,4)="CTAX",LEFT(K4985,2)="W|"),2*N4985*O4985,0)</f>
        <v/>
      </c>
      <c r="Z4985" s="12" t="inlineStr"/>
      <c r="AA4985" s="12">
        <f>N4985*O4985</f>
        <v/>
      </c>
    </row>
    <row r="4986">
      <c r="A4986" s="12" t="inlineStr">
        <is>
          <t>I-I-0437</t>
        </is>
      </c>
      <c r="B4986" s="12" t="inlineStr">
        <is>
          <t>I</t>
        </is>
      </c>
      <c r="C4986" s="12" t="inlineStr">
        <is>
          <t>Modular / portable power</t>
        </is>
      </c>
      <c r="D4986" s="12" t="inlineStr">
        <is>
          <t>Analog instrument to JB JB-SC-1-AI04: 20 x 1 pr (field cables)</t>
        </is>
      </c>
      <c r="E4986" s="12" t="inlineStr">
        <is>
          <t>SC-1</t>
        </is>
      </c>
      <c r="F4986" s="12" t="inlineStr">
        <is>
          <t>SC-1: aeroderivative simple-cycle unit (LM6000 class)</t>
        </is>
      </c>
      <c r="G4986" s="12" t="inlineStr">
        <is>
          <t>JB-SC-1-AI04</t>
        </is>
      </c>
      <c r="H4986" s="12" t="inlineStr">
        <is>
          <t>SC-1: aeroderivative simple-cycle unit (LM6000 class)</t>
        </is>
      </c>
      <c r="I4986" s="12" t="inlineStr">
        <is>
          <t>Instrumentation</t>
        </is>
      </c>
      <c r="J4986" s="12" t="inlineStr">
        <is>
          <t>Instrumentation PLTC / TC-ER 300 V, #18 twisted shielded pairs, overall shield</t>
        </is>
      </c>
      <c r="K4986" s="12" t="inlineStr">
        <is>
          <t>PLTC|1 pr|16</t>
        </is>
      </c>
      <c r="L4986" s="12" t="inlineStr">
        <is>
          <t>1 pr</t>
        </is>
      </c>
      <c r="M4986" s="12" t="inlineStr">
        <is>
          <t>16</t>
        </is>
      </c>
      <c r="N4986" s="12" t="n">
        <v>20</v>
      </c>
      <c r="O4986" s="12" t="n">
        <v>1</v>
      </c>
      <c r="P4986" s="12" t="n"/>
      <c r="Q4986" s="12" t="n"/>
      <c r="R4986" s="12" t="n"/>
      <c r="S4986" s="12" t="inlineStr">
        <is>
          <t>Tray / conduit</t>
        </is>
      </c>
      <c r="T4986" s="16" t="n">
        <v>99</v>
      </c>
      <c r="U4986" s="16" t="n">
        <v>10</v>
      </c>
      <c r="V4986" s="16">
        <f>ROUNDUP((T4986+U4986+2*'Read Me'!$B$13)*(1+'Read Me'!$B$12),-1)</f>
        <v/>
      </c>
      <c r="W4986" s="16">
        <f>V4986*N4986*O4986</f>
        <v/>
      </c>
      <c r="X4986" s="12">
        <f>IF(LEFT(I4986,2)="MV",2*N4986*IF(L4986="1/C",O4986,1),0)</f>
        <v/>
      </c>
      <c r="Y4986" s="12">
        <f>IF(OR(LEFT(K4986,4)="LVAX",LEFT(K4986,6)="MV15AX",LEFT(K4986,4)="CTAX",LEFT(K4986,2)="W|"),2*N4986*O4986,0)</f>
        <v/>
      </c>
      <c r="Z4986" s="12" t="inlineStr">
        <is>
          <t>device-to-JB field wiring, one cable per device</t>
        </is>
      </c>
      <c r="AA4986" s="12">
        <f>N4986*O4986</f>
        <v/>
      </c>
    </row>
    <row r="4987">
      <c r="A4987" s="12" t="inlineStr">
        <is>
          <t>I-I-0438</t>
        </is>
      </c>
      <c r="B4987" s="12" t="inlineStr">
        <is>
          <t>I</t>
        </is>
      </c>
      <c r="C4987" s="12" t="inlineStr">
        <is>
          <t>Modular / portable power</t>
        </is>
      </c>
      <c r="D4987" s="12" t="inlineStr">
        <is>
          <t>Home run JB-SC-1-AI04 to the control / marshalling room</t>
        </is>
      </c>
      <c r="E4987" s="12" t="inlineStr"/>
      <c r="F4987" s="12" t="inlineStr">
        <is>
          <t>SC-1 PCM + 15 kV GCB</t>
        </is>
      </c>
      <c r="G4987" s="12" t="inlineStr">
        <is>
          <t>JB-SC-1-AI04</t>
        </is>
      </c>
      <c r="H4987" s="12" t="inlineStr">
        <is>
          <t>SC-1: aeroderivative simple-cycle unit (LM6000 class)</t>
        </is>
      </c>
      <c r="I4987" s="12" t="inlineStr">
        <is>
          <t>Instrumentation</t>
        </is>
      </c>
      <c r="J4987" s="12" t="inlineStr">
        <is>
          <t>Instrumentation PLTC / TC-ER 300 V, #18 twisted shielded pairs, overall shield</t>
        </is>
      </c>
      <c r="K4987" s="12" t="inlineStr">
        <is>
          <t>PLTC|24 pr|18</t>
        </is>
      </c>
      <c r="L4987" s="12" t="inlineStr">
        <is>
          <t>24 pr</t>
        </is>
      </c>
      <c r="M4987" s="12" t="inlineStr">
        <is>
          <t>18</t>
        </is>
      </c>
      <c r="N4987" s="12" t="n">
        <v>1</v>
      </c>
      <c r="O4987" s="12" t="n">
        <v>1</v>
      </c>
      <c r="P4987" s="12" t="n"/>
      <c r="Q4987" s="12" t="n"/>
      <c r="R4987" s="12" t="n"/>
      <c r="S4987" s="12" t="inlineStr">
        <is>
          <t>Tray</t>
        </is>
      </c>
      <c r="T4987" s="16" t="n">
        <v>0</v>
      </c>
      <c r="U4987" s="16" t="n">
        <v>64</v>
      </c>
      <c r="V4987" s="16">
        <f>ROUNDUP((T4987+U4987+2*'Read Me'!$B$13)*(1+'Read Me'!$B$12),-1)</f>
        <v/>
      </c>
      <c r="W4987" s="16">
        <f>V4987*N4987*O4987</f>
        <v/>
      </c>
      <c r="X4987" s="12">
        <f>IF(LEFT(I4987,2)="MV",2*N4987*IF(L4987="1/C",O4987,1),0)</f>
        <v/>
      </c>
      <c r="Y4987" s="12">
        <f>IF(OR(LEFT(K4987,4)="LVAX",LEFT(K4987,6)="MV15AX",LEFT(K4987,4)="CTAX",LEFT(K4987,2)="W|"),2*N4987*O4987,0)</f>
        <v/>
      </c>
      <c r="Z4987" s="12" t="inlineStr"/>
      <c r="AA4987" s="12">
        <f>N4987*O4987</f>
        <v/>
      </c>
    </row>
    <row r="4988">
      <c r="A4988" s="12" t="inlineStr">
        <is>
          <t>I-I-0439</t>
        </is>
      </c>
      <c r="B4988" s="12" t="inlineStr">
        <is>
          <t>I</t>
        </is>
      </c>
      <c r="C4988" s="12" t="inlineStr">
        <is>
          <t>Modular / portable power</t>
        </is>
      </c>
      <c r="D4988" s="12" t="inlineStr">
        <is>
          <t>Analog instrument to JB JB-SC-1-AI05: 20 x 1 pr (field cables)</t>
        </is>
      </c>
      <c r="E4988" s="12" t="inlineStr">
        <is>
          <t>SC-1</t>
        </is>
      </c>
      <c r="F4988" s="12" t="inlineStr">
        <is>
          <t>SC-1: aeroderivative simple-cycle unit (LM6000 class)</t>
        </is>
      </c>
      <c r="G4988" s="12" t="inlineStr">
        <is>
          <t>JB-SC-1-AI05</t>
        </is>
      </c>
      <c r="H4988" s="12" t="inlineStr">
        <is>
          <t>SC-1: aeroderivative simple-cycle unit (LM6000 class)</t>
        </is>
      </c>
      <c r="I4988" s="12" t="inlineStr">
        <is>
          <t>Instrumentation</t>
        </is>
      </c>
      <c r="J4988" s="12" t="inlineStr">
        <is>
          <t>Instrumentation PLTC / TC-ER 300 V, #18 twisted shielded pairs, overall shield</t>
        </is>
      </c>
      <c r="K4988" s="12" t="inlineStr">
        <is>
          <t>PLTC|1 pr|16</t>
        </is>
      </c>
      <c r="L4988" s="12" t="inlineStr">
        <is>
          <t>1 pr</t>
        </is>
      </c>
      <c r="M4988" s="12" t="inlineStr">
        <is>
          <t>16</t>
        </is>
      </c>
      <c r="N4988" s="12" t="n">
        <v>20</v>
      </c>
      <c r="O4988" s="12" t="n">
        <v>1</v>
      </c>
      <c r="P4988" s="12" t="n"/>
      <c r="Q4988" s="12" t="n"/>
      <c r="R4988" s="12" t="n"/>
      <c r="S4988" s="12" t="inlineStr">
        <is>
          <t>Tray / conduit</t>
        </is>
      </c>
      <c r="T4988" s="16" t="n">
        <v>99</v>
      </c>
      <c r="U4988" s="16" t="n">
        <v>10</v>
      </c>
      <c r="V4988" s="16">
        <f>ROUNDUP((T4988+U4988+2*'Read Me'!$B$13)*(1+'Read Me'!$B$12),-1)</f>
        <v/>
      </c>
      <c r="W4988" s="16">
        <f>V4988*N4988*O4988</f>
        <v/>
      </c>
      <c r="X4988" s="12">
        <f>IF(LEFT(I4988,2)="MV",2*N4988*IF(L4988="1/C",O4988,1),0)</f>
        <v/>
      </c>
      <c r="Y4988" s="12">
        <f>IF(OR(LEFT(K4988,4)="LVAX",LEFT(K4988,6)="MV15AX",LEFT(K4988,4)="CTAX",LEFT(K4988,2)="W|"),2*N4988*O4988,0)</f>
        <v/>
      </c>
      <c r="Z4988" s="12" t="inlineStr">
        <is>
          <t>device-to-JB field wiring, one cable per device</t>
        </is>
      </c>
      <c r="AA4988" s="12">
        <f>N4988*O4988</f>
        <v/>
      </c>
    </row>
    <row r="4989">
      <c r="A4989" s="12" t="inlineStr">
        <is>
          <t>I-I-0440</t>
        </is>
      </c>
      <c r="B4989" s="12" t="inlineStr">
        <is>
          <t>I</t>
        </is>
      </c>
      <c r="C4989" s="12" t="inlineStr">
        <is>
          <t>Modular / portable power</t>
        </is>
      </c>
      <c r="D4989" s="12" t="inlineStr">
        <is>
          <t>Home run JB-SC-1-AI05 to the control / marshalling room</t>
        </is>
      </c>
      <c r="E4989" s="12" t="inlineStr"/>
      <c r="F4989" s="12" t="inlineStr">
        <is>
          <t>SC-1 PCM + 15 kV GCB</t>
        </is>
      </c>
      <c r="G4989" s="12" t="inlineStr">
        <is>
          <t>JB-SC-1-AI05</t>
        </is>
      </c>
      <c r="H4989" s="12" t="inlineStr">
        <is>
          <t>SC-1: aeroderivative simple-cycle unit (LM6000 class)</t>
        </is>
      </c>
      <c r="I4989" s="12" t="inlineStr">
        <is>
          <t>Instrumentation</t>
        </is>
      </c>
      <c r="J4989" s="12" t="inlineStr">
        <is>
          <t>Instrumentation PLTC / TC-ER 300 V, #18 twisted shielded pairs, overall shield</t>
        </is>
      </c>
      <c r="K4989" s="12" t="inlineStr">
        <is>
          <t>PLTC|24 pr|18</t>
        </is>
      </c>
      <c r="L4989" s="12" t="inlineStr">
        <is>
          <t>24 pr</t>
        </is>
      </c>
      <c r="M4989" s="12" t="inlineStr">
        <is>
          <t>18</t>
        </is>
      </c>
      <c r="N4989" s="12" t="n">
        <v>1</v>
      </c>
      <c r="O4989" s="12" t="n">
        <v>1</v>
      </c>
      <c r="P4989" s="12" t="n"/>
      <c r="Q4989" s="12" t="n"/>
      <c r="R4989" s="12" t="n"/>
      <c r="S4989" s="12" t="inlineStr">
        <is>
          <t>Tray</t>
        </is>
      </c>
      <c r="T4989" s="16" t="n">
        <v>0</v>
      </c>
      <c r="U4989" s="16" t="n">
        <v>64</v>
      </c>
      <c r="V4989" s="16">
        <f>ROUNDUP((T4989+U4989+2*'Read Me'!$B$13)*(1+'Read Me'!$B$12),-1)</f>
        <v/>
      </c>
      <c r="W4989" s="16">
        <f>V4989*N4989*O4989</f>
        <v/>
      </c>
      <c r="X4989" s="12">
        <f>IF(LEFT(I4989,2)="MV",2*N4989*IF(L4989="1/C",O4989,1),0)</f>
        <v/>
      </c>
      <c r="Y4989" s="12">
        <f>IF(OR(LEFT(K4989,4)="LVAX",LEFT(K4989,6)="MV15AX",LEFT(K4989,4)="CTAX",LEFT(K4989,2)="W|"),2*N4989*O4989,0)</f>
        <v/>
      </c>
      <c r="Z4989" s="12" t="inlineStr"/>
      <c r="AA4989" s="12">
        <f>N4989*O4989</f>
        <v/>
      </c>
    </row>
    <row r="4990">
      <c r="A4990" s="12" t="inlineStr">
        <is>
          <t>I-I-0441</t>
        </is>
      </c>
      <c r="B4990" s="12" t="inlineStr">
        <is>
          <t>I</t>
        </is>
      </c>
      <c r="C4990" s="12" t="inlineStr">
        <is>
          <t>Modular / portable power</t>
        </is>
      </c>
      <c r="D4990" s="12" t="inlineStr">
        <is>
          <t>Analog instrument to JB JB-SC-1-AI06: 20 x 1 pr (field cables)</t>
        </is>
      </c>
      <c r="E4990" s="12" t="inlineStr">
        <is>
          <t>SC-1</t>
        </is>
      </c>
      <c r="F4990" s="12" t="inlineStr">
        <is>
          <t>SC-1: aeroderivative simple-cycle unit (LM6000 class)</t>
        </is>
      </c>
      <c r="G4990" s="12" t="inlineStr">
        <is>
          <t>JB-SC-1-AI06</t>
        </is>
      </c>
      <c r="H4990" s="12" t="inlineStr">
        <is>
          <t>SC-1: aeroderivative simple-cycle unit (LM6000 class)</t>
        </is>
      </c>
      <c r="I4990" s="12" t="inlineStr">
        <is>
          <t>Instrumentation</t>
        </is>
      </c>
      <c r="J4990" s="12" t="inlineStr">
        <is>
          <t>Instrumentation PLTC / TC-ER 300 V, #18 twisted shielded pairs, overall shield</t>
        </is>
      </c>
      <c r="K4990" s="12" t="inlineStr">
        <is>
          <t>PLTC|1 pr|16</t>
        </is>
      </c>
      <c r="L4990" s="12" t="inlineStr">
        <is>
          <t>1 pr</t>
        </is>
      </c>
      <c r="M4990" s="12" t="inlineStr">
        <is>
          <t>16</t>
        </is>
      </c>
      <c r="N4990" s="12" t="n">
        <v>20</v>
      </c>
      <c r="O4990" s="12" t="n">
        <v>1</v>
      </c>
      <c r="P4990" s="12" t="n"/>
      <c r="Q4990" s="12" t="n"/>
      <c r="R4990" s="12" t="n"/>
      <c r="S4990" s="12" t="inlineStr">
        <is>
          <t>Tray / conduit</t>
        </is>
      </c>
      <c r="T4990" s="16" t="n">
        <v>99</v>
      </c>
      <c r="U4990" s="16" t="n">
        <v>10</v>
      </c>
      <c r="V4990" s="16">
        <f>ROUNDUP((T4990+U4990+2*'Read Me'!$B$13)*(1+'Read Me'!$B$12),-1)</f>
        <v/>
      </c>
      <c r="W4990" s="16">
        <f>V4990*N4990*O4990</f>
        <v/>
      </c>
      <c r="X4990" s="12">
        <f>IF(LEFT(I4990,2)="MV",2*N4990*IF(L4990="1/C",O4990,1),0)</f>
        <v/>
      </c>
      <c r="Y4990" s="12">
        <f>IF(OR(LEFT(K4990,4)="LVAX",LEFT(K4990,6)="MV15AX",LEFT(K4990,4)="CTAX",LEFT(K4990,2)="W|"),2*N4990*O4990,0)</f>
        <v/>
      </c>
      <c r="Z4990" s="12" t="inlineStr">
        <is>
          <t>device-to-JB field wiring, one cable per device</t>
        </is>
      </c>
      <c r="AA4990" s="12">
        <f>N4990*O4990</f>
        <v/>
      </c>
    </row>
    <row r="4991">
      <c r="A4991" s="12" t="inlineStr">
        <is>
          <t>I-I-0442</t>
        </is>
      </c>
      <c r="B4991" s="12" t="inlineStr">
        <is>
          <t>I</t>
        </is>
      </c>
      <c r="C4991" s="12" t="inlineStr">
        <is>
          <t>Modular / portable power</t>
        </is>
      </c>
      <c r="D4991" s="12" t="inlineStr">
        <is>
          <t>Home run JB-SC-1-AI06 to the control / marshalling room</t>
        </is>
      </c>
      <c r="E4991" s="12" t="inlineStr"/>
      <c r="F4991" s="12" t="inlineStr">
        <is>
          <t>SC-1 PCM + 15 kV GCB</t>
        </is>
      </c>
      <c r="G4991" s="12" t="inlineStr">
        <is>
          <t>JB-SC-1-AI06</t>
        </is>
      </c>
      <c r="H4991" s="12" t="inlineStr">
        <is>
          <t>SC-1: aeroderivative simple-cycle unit (LM6000 class)</t>
        </is>
      </c>
      <c r="I4991" s="12" t="inlineStr">
        <is>
          <t>Instrumentation</t>
        </is>
      </c>
      <c r="J4991" s="12" t="inlineStr">
        <is>
          <t>Instrumentation PLTC / TC-ER 300 V, #18 twisted shielded pairs, overall shield</t>
        </is>
      </c>
      <c r="K4991" s="12" t="inlineStr">
        <is>
          <t>PLTC|24 pr|18</t>
        </is>
      </c>
      <c r="L4991" s="12" t="inlineStr">
        <is>
          <t>24 pr</t>
        </is>
      </c>
      <c r="M4991" s="12" t="inlineStr">
        <is>
          <t>18</t>
        </is>
      </c>
      <c r="N4991" s="12" t="n">
        <v>1</v>
      </c>
      <c r="O4991" s="12" t="n">
        <v>1</v>
      </c>
      <c r="P4991" s="12" t="n"/>
      <c r="Q4991" s="12" t="n"/>
      <c r="R4991" s="12" t="n"/>
      <c r="S4991" s="12" t="inlineStr">
        <is>
          <t>Tray</t>
        </is>
      </c>
      <c r="T4991" s="16" t="n">
        <v>0</v>
      </c>
      <c r="U4991" s="16" t="n">
        <v>64</v>
      </c>
      <c r="V4991" s="16">
        <f>ROUNDUP((T4991+U4991+2*'Read Me'!$B$13)*(1+'Read Me'!$B$12),-1)</f>
        <v/>
      </c>
      <c r="W4991" s="16">
        <f>V4991*N4991*O4991</f>
        <v/>
      </c>
      <c r="X4991" s="12">
        <f>IF(LEFT(I4991,2)="MV",2*N4991*IF(L4991="1/C",O4991,1),0)</f>
        <v/>
      </c>
      <c r="Y4991" s="12">
        <f>IF(OR(LEFT(K4991,4)="LVAX",LEFT(K4991,6)="MV15AX",LEFT(K4991,4)="CTAX",LEFT(K4991,2)="W|"),2*N4991*O4991,0)</f>
        <v/>
      </c>
      <c r="Z4991" s="12" t="inlineStr"/>
      <c r="AA4991" s="12">
        <f>N4991*O4991</f>
        <v/>
      </c>
    </row>
    <row r="4992">
      <c r="A4992" s="12" t="inlineStr">
        <is>
          <t>I-I-0443</t>
        </is>
      </c>
      <c r="B4992" s="12" t="inlineStr">
        <is>
          <t>I</t>
        </is>
      </c>
      <c r="C4992" s="12" t="inlineStr">
        <is>
          <t>Modular / portable power</t>
        </is>
      </c>
      <c r="D4992" s="12" t="inlineStr">
        <is>
          <t>Analog instrument to JB JB-SC-1-AI07: 20 x 1 pr (field cables)</t>
        </is>
      </c>
      <c r="E4992" s="12" t="inlineStr">
        <is>
          <t>SC-1</t>
        </is>
      </c>
      <c r="F4992" s="12" t="inlineStr">
        <is>
          <t>SC-1: aeroderivative simple-cycle unit (LM6000 class)</t>
        </is>
      </c>
      <c r="G4992" s="12" t="inlineStr">
        <is>
          <t>JB-SC-1-AI07</t>
        </is>
      </c>
      <c r="H4992" s="12" t="inlineStr">
        <is>
          <t>SC-1: aeroderivative simple-cycle unit (LM6000 class)</t>
        </is>
      </c>
      <c r="I4992" s="12" t="inlineStr">
        <is>
          <t>Instrumentation</t>
        </is>
      </c>
      <c r="J4992" s="12" t="inlineStr">
        <is>
          <t>Instrumentation PLTC / TC-ER 300 V, #18 twisted shielded pairs, overall shield</t>
        </is>
      </c>
      <c r="K4992" s="12" t="inlineStr">
        <is>
          <t>PLTC|1 pr|16</t>
        </is>
      </c>
      <c r="L4992" s="12" t="inlineStr">
        <is>
          <t>1 pr</t>
        </is>
      </c>
      <c r="M4992" s="12" t="inlineStr">
        <is>
          <t>16</t>
        </is>
      </c>
      <c r="N4992" s="12" t="n">
        <v>20</v>
      </c>
      <c r="O4992" s="12" t="n">
        <v>1</v>
      </c>
      <c r="P4992" s="12" t="n"/>
      <c r="Q4992" s="12" t="n"/>
      <c r="R4992" s="12" t="n"/>
      <c r="S4992" s="12" t="inlineStr">
        <is>
          <t>Tray / conduit</t>
        </is>
      </c>
      <c r="T4992" s="16" t="n">
        <v>99</v>
      </c>
      <c r="U4992" s="16" t="n">
        <v>10</v>
      </c>
      <c r="V4992" s="16">
        <f>ROUNDUP((T4992+U4992+2*'Read Me'!$B$13)*(1+'Read Me'!$B$12),-1)</f>
        <v/>
      </c>
      <c r="W4992" s="16">
        <f>V4992*N4992*O4992</f>
        <v/>
      </c>
      <c r="X4992" s="12">
        <f>IF(LEFT(I4992,2)="MV",2*N4992*IF(L4992="1/C",O4992,1),0)</f>
        <v/>
      </c>
      <c r="Y4992" s="12">
        <f>IF(OR(LEFT(K4992,4)="LVAX",LEFT(K4992,6)="MV15AX",LEFT(K4992,4)="CTAX",LEFT(K4992,2)="W|"),2*N4992*O4992,0)</f>
        <v/>
      </c>
      <c r="Z4992" s="12" t="inlineStr">
        <is>
          <t>device-to-JB field wiring, one cable per device</t>
        </is>
      </c>
      <c r="AA4992" s="12">
        <f>N4992*O4992</f>
        <v/>
      </c>
    </row>
    <row r="4993">
      <c r="A4993" s="12" t="inlineStr">
        <is>
          <t>I-I-0444</t>
        </is>
      </c>
      <c r="B4993" s="12" t="inlineStr">
        <is>
          <t>I</t>
        </is>
      </c>
      <c r="C4993" s="12" t="inlineStr">
        <is>
          <t>Modular / portable power</t>
        </is>
      </c>
      <c r="D4993" s="12" t="inlineStr">
        <is>
          <t>Home run JB-SC-1-AI07 to the control / marshalling room</t>
        </is>
      </c>
      <c r="E4993" s="12" t="inlineStr"/>
      <c r="F4993" s="12" t="inlineStr">
        <is>
          <t>SC-1 PCM + 15 kV GCB</t>
        </is>
      </c>
      <c r="G4993" s="12" t="inlineStr">
        <is>
          <t>JB-SC-1-AI07</t>
        </is>
      </c>
      <c r="H4993" s="12" t="inlineStr">
        <is>
          <t>SC-1: aeroderivative simple-cycle unit (LM6000 class)</t>
        </is>
      </c>
      <c r="I4993" s="12" t="inlineStr">
        <is>
          <t>Instrumentation</t>
        </is>
      </c>
      <c r="J4993" s="12" t="inlineStr">
        <is>
          <t>Instrumentation PLTC / TC-ER 300 V, #18 twisted shielded pairs, overall shield</t>
        </is>
      </c>
      <c r="K4993" s="12" t="inlineStr">
        <is>
          <t>PLTC|24 pr|18</t>
        </is>
      </c>
      <c r="L4993" s="12" t="inlineStr">
        <is>
          <t>24 pr</t>
        </is>
      </c>
      <c r="M4993" s="12" t="inlineStr">
        <is>
          <t>18</t>
        </is>
      </c>
      <c r="N4993" s="12" t="n">
        <v>1</v>
      </c>
      <c r="O4993" s="12" t="n">
        <v>1</v>
      </c>
      <c r="P4993" s="12" t="n"/>
      <c r="Q4993" s="12" t="n"/>
      <c r="R4993" s="12" t="n"/>
      <c r="S4993" s="12" t="inlineStr">
        <is>
          <t>Tray</t>
        </is>
      </c>
      <c r="T4993" s="16" t="n">
        <v>0</v>
      </c>
      <c r="U4993" s="16" t="n">
        <v>64</v>
      </c>
      <c r="V4993" s="16">
        <f>ROUNDUP((T4993+U4993+2*'Read Me'!$B$13)*(1+'Read Me'!$B$12),-1)</f>
        <v/>
      </c>
      <c r="W4993" s="16">
        <f>V4993*N4993*O4993</f>
        <v/>
      </c>
      <c r="X4993" s="12">
        <f>IF(LEFT(I4993,2)="MV",2*N4993*IF(L4993="1/C",O4993,1),0)</f>
        <v/>
      </c>
      <c r="Y4993" s="12">
        <f>IF(OR(LEFT(K4993,4)="LVAX",LEFT(K4993,6)="MV15AX",LEFT(K4993,4)="CTAX",LEFT(K4993,2)="W|"),2*N4993*O4993,0)</f>
        <v/>
      </c>
      <c r="Z4993" s="12" t="inlineStr"/>
      <c r="AA4993" s="12">
        <f>N4993*O4993</f>
        <v/>
      </c>
    </row>
    <row r="4994">
      <c r="A4994" s="12" t="inlineStr">
        <is>
          <t>I-I-0445</t>
        </is>
      </c>
      <c r="B4994" s="12" t="inlineStr">
        <is>
          <t>I</t>
        </is>
      </c>
      <c r="C4994" s="12" t="inlineStr">
        <is>
          <t>Modular / portable power</t>
        </is>
      </c>
      <c r="D4994" s="12" t="inlineStr">
        <is>
          <t>Analog instrument to JB JB-SC-1-AI08: 10 x 1 pr (field cables)</t>
        </is>
      </c>
      <c r="E4994" s="12" t="inlineStr">
        <is>
          <t>SC-1</t>
        </is>
      </c>
      <c r="F4994" s="12" t="inlineStr">
        <is>
          <t>SC-1: aeroderivative simple-cycle unit (LM6000 class)</t>
        </is>
      </c>
      <c r="G4994" s="12" t="inlineStr">
        <is>
          <t>JB-SC-1-AI08</t>
        </is>
      </c>
      <c r="H4994" s="12" t="inlineStr">
        <is>
          <t>SC-1: aeroderivative simple-cycle unit (LM6000 class)</t>
        </is>
      </c>
      <c r="I4994" s="12" t="inlineStr">
        <is>
          <t>Instrumentation</t>
        </is>
      </c>
      <c r="J4994" s="12" t="inlineStr">
        <is>
          <t>Instrumentation PLTC / TC-ER 300 V, #18 twisted shielded pairs, overall shield</t>
        </is>
      </c>
      <c r="K4994" s="12" t="inlineStr">
        <is>
          <t>PLTC|1 pr|16</t>
        </is>
      </c>
      <c r="L4994" s="12" t="inlineStr">
        <is>
          <t>1 pr</t>
        </is>
      </c>
      <c r="M4994" s="12" t="inlineStr">
        <is>
          <t>16</t>
        </is>
      </c>
      <c r="N4994" s="12" t="n">
        <v>10</v>
      </c>
      <c r="O4994" s="12" t="n">
        <v>1</v>
      </c>
      <c r="P4994" s="12" t="n"/>
      <c r="Q4994" s="12" t="n"/>
      <c r="R4994" s="12" t="n"/>
      <c r="S4994" s="12" t="inlineStr">
        <is>
          <t>Tray / conduit</t>
        </is>
      </c>
      <c r="T4994" s="16" t="n">
        <v>99</v>
      </c>
      <c r="U4994" s="16" t="n">
        <v>10</v>
      </c>
      <c r="V4994" s="16">
        <f>ROUNDUP((T4994+U4994+2*'Read Me'!$B$13)*(1+'Read Me'!$B$12),-1)</f>
        <v/>
      </c>
      <c r="W4994" s="16">
        <f>V4994*N4994*O4994</f>
        <v/>
      </c>
      <c r="X4994" s="12">
        <f>IF(LEFT(I4994,2)="MV",2*N4994*IF(L4994="1/C",O4994,1),0)</f>
        <v/>
      </c>
      <c r="Y4994" s="12">
        <f>IF(OR(LEFT(K4994,4)="LVAX",LEFT(K4994,6)="MV15AX",LEFT(K4994,4)="CTAX",LEFT(K4994,2)="W|"),2*N4994*O4994,0)</f>
        <v/>
      </c>
      <c r="Z4994" s="12" t="inlineStr">
        <is>
          <t>device-to-JB field wiring, one cable per device</t>
        </is>
      </c>
      <c r="AA4994" s="12">
        <f>N4994*O4994</f>
        <v/>
      </c>
    </row>
    <row r="4995">
      <c r="A4995" s="12" t="inlineStr">
        <is>
          <t>I-I-0446</t>
        </is>
      </c>
      <c r="B4995" s="12" t="inlineStr">
        <is>
          <t>I</t>
        </is>
      </c>
      <c r="C4995" s="12" t="inlineStr">
        <is>
          <t>Modular / portable power</t>
        </is>
      </c>
      <c r="D4995" s="12" t="inlineStr">
        <is>
          <t>Home run JB-SC-1-AI08 to the control / marshalling room</t>
        </is>
      </c>
      <c r="E4995" s="12" t="inlineStr"/>
      <c r="F4995" s="12" t="inlineStr">
        <is>
          <t>SC-1 PCM + 15 kV GCB</t>
        </is>
      </c>
      <c r="G4995" s="12" t="inlineStr">
        <is>
          <t>JB-SC-1-AI08</t>
        </is>
      </c>
      <c r="H4995" s="12" t="inlineStr">
        <is>
          <t>SC-1: aeroderivative simple-cycle unit (LM6000 class)</t>
        </is>
      </c>
      <c r="I4995" s="12" t="inlineStr">
        <is>
          <t>Instrumentation</t>
        </is>
      </c>
      <c r="J4995" s="12" t="inlineStr">
        <is>
          <t>Instrumentation PLTC / TC-ER 300 V, #18 twisted shielded pairs, overall shield</t>
        </is>
      </c>
      <c r="K4995" s="12" t="inlineStr">
        <is>
          <t>PLTC|24 pr|18</t>
        </is>
      </c>
      <c r="L4995" s="12" t="inlineStr">
        <is>
          <t>24 pr</t>
        </is>
      </c>
      <c r="M4995" s="12" t="inlineStr">
        <is>
          <t>18</t>
        </is>
      </c>
      <c r="N4995" s="12" t="n">
        <v>1</v>
      </c>
      <c r="O4995" s="12" t="n">
        <v>1</v>
      </c>
      <c r="P4995" s="12" t="n"/>
      <c r="Q4995" s="12" t="n"/>
      <c r="R4995" s="12" t="n"/>
      <c r="S4995" s="12" t="inlineStr">
        <is>
          <t>Tray</t>
        </is>
      </c>
      <c r="T4995" s="16" t="n">
        <v>0</v>
      </c>
      <c r="U4995" s="16" t="n">
        <v>64</v>
      </c>
      <c r="V4995" s="16">
        <f>ROUNDUP((T4995+U4995+2*'Read Me'!$B$13)*(1+'Read Me'!$B$12),-1)</f>
        <v/>
      </c>
      <c r="W4995" s="16">
        <f>V4995*N4995*O4995</f>
        <v/>
      </c>
      <c r="X4995" s="12">
        <f>IF(LEFT(I4995,2)="MV",2*N4995*IF(L4995="1/C",O4995,1),0)</f>
        <v/>
      </c>
      <c r="Y4995" s="12">
        <f>IF(OR(LEFT(K4995,4)="LVAX",LEFT(K4995,6)="MV15AX",LEFT(K4995,4)="CTAX",LEFT(K4995,2)="W|"),2*N4995*O4995,0)</f>
        <v/>
      </c>
      <c r="Z4995" s="12" t="inlineStr"/>
      <c r="AA4995" s="12">
        <f>N4995*O4995</f>
        <v/>
      </c>
    </row>
    <row r="4996">
      <c r="A4996" s="12" t="inlineStr">
        <is>
          <t>I-I-0447</t>
        </is>
      </c>
      <c r="B4996" s="12" t="inlineStr">
        <is>
          <t>I</t>
        </is>
      </c>
      <c r="C4996" s="12" t="inlineStr">
        <is>
          <t>Modular / portable power</t>
        </is>
      </c>
      <c r="D4996" s="12" t="inlineStr">
        <is>
          <t>Discrete device to JB JB-SC-1-DI01: 20 x 1 pr (field cables)</t>
        </is>
      </c>
      <c r="E4996" s="12" t="inlineStr">
        <is>
          <t>SC-1</t>
        </is>
      </c>
      <c r="F4996" s="12" t="inlineStr">
        <is>
          <t>SC-1: aeroderivative simple-cycle unit (LM6000 class)</t>
        </is>
      </c>
      <c r="G4996" s="12" t="inlineStr">
        <is>
          <t>JB-SC-1-DI01</t>
        </is>
      </c>
      <c r="H4996" s="12" t="inlineStr">
        <is>
          <t>SC-1: aeroderivative simple-cycle unit (LM6000 class)</t>
        </is>
      </c>
      <c r="I4996" s="12" t="inlineStr">
        <is>
          <t>Instrumentation</t>
        </is>
      </c>
      <c r="J4996" s="12" t="inlineStr">
        <is>
          <t>Instrumentation PLTC / TC-ER 300 V, #18 twisted shielded pairs, overall shield</t>
        </is>
      </c>
      <c r="K4996" s="12" t="inlineStr">
        <is>
          <t>PLTC|1 pr|16</t>
        </is>
      </c>
      <c r="L4996" s="12" t="inlineStr">
        <is>
          <t>1 pr</t>
        </is>
      </c>
      <c r="M4996" s="12" t="inlineStr">
        <is>
          <t>16</t>
        </is>
      </c>
      <c r="N4996" s="12" t="n">
        <v>20</v>
      </c>
      <c r="O4996" s="12" t="n">
        <v>1</v>
      </c>
      <c r="P4996" s="12" t="n"/>
      <c r="Q4996" s="12" t="n"/>
      <c r="R4996" s="12" t="n"/>
      <c r="S4996" s="12" t="inlineStr">
        <is>
          <t>Tray / conduit</t>
        </is>
      </c>
      <c r="T4996" s="16" t="n">
        <v>99</v>
      </c>
      <c r="U4996" s="16" t="n">
        <v>10</v>
      </c>
      <c r="V4996" s="16">
        <f>ROUNDUP((T4996+U4996+2*'Read Me'!$B$13)*(1+'Read Me'!$B$12),-1)</f>
        <v/>
      </c>
      <c r="W4996" s="16">
        <f>V4996*N4996*O4996</f>
        <v/>
      </c>
      <c r="X4996" s="12">
        <f>IF(LEFT(I4996,2)="MV",2*N4996*IF(L4996="1/C",O4996,1),0)</f>
        <v/>
      </c>
      <c r="Y4996" s="12">
        <f>IF(OR(LEFT(K4996,4)="LVAX",LEFT(K4996,6)="MV15AX",LEFT(K4996,4)="CTAX",LEFT(K4996,2)="W|"),2*N4996*O4996,0)</f>
        <v/>
      </c>
      <c r="Z4996" s="12" t="inlineStr">
        <is>
          <t>device-to-JB field wiring, one cable per device</t>
        </is>
      </c>
      <c r="AA4996" s="12">
        <f>N4996*O4996</f>
        <v/>
      </c>
    </row>
    <row r="4997">
      <c r="A4997" s="12" t="inlineStr">
        <is>
          <t>I-I-0448</t>
        </is>
      </c>
      <c r="B4997" s="12" t="inlineStr">
        <is>
          <t>I</t>
        </is>
      </c>
      <c r="C4997" s="12" t="inlineStr">
        <is>
          <t>Modular / portable power</t>
        </is>
      </c>
      <c r="D4997" s="12" t="inlineStr">
        <is>
          <t>Home run JB-SC-1-DI01 to the control / marshalling room</t>
        </is>
      </c>
      <c r="E4997" s="12" t="inlineStr"/>
      <c r="F4997" s="12" t="inlineStr">
        <is>
          <t>SC-1 PCM + 15 kV GCB</t>
        </is>
      </c>
      <c r="G4997" s="12" t="inlineStr">
        <is>
          <t>JB-SC-1-DI01</t>
        </is>
      </c>
      <c r="H4997" s="12" t="inlineStr">
        <is>
          <t>SC-1: aeroderivative simple-cycle unit (LM6000 class)</t>
        </is>
      </c>
      <c r="I4997" s="12" t="inlineStr">
        <is>
          <t>Instrumentation</t>
        </is>
      </c>
      <c r="J4997" s="12" t="inlineStr">
        <is>
          <t>Instrumentation PLTC / TC-ER 300 V, #18 twisted shielded pairs, overall shield</t>
        </is>
      </c>
      <c r="K4997" s="12" t="inlineStr">
        <is>
          <t>PLTC|24 pr|18</t>
        </is>
      </c>
      <c r="L4997" s="12" t="inlineStr">
        <is>
          <t>24 pr</t>
        </is>
      </c>
      <c r="M4997" s="12" t="inlineStr">
        <is>
          <t>18</t>
        </is>
      </c>
      <c r="N4997" s="12" t="n">
        <v>1</v>
      </c>
      <c r="O4997" s="12" t="n">
        <v>1</v>
      </c>
      <c r="P4997" s="12" t="n"/>
      <c r="Q4997" s="12" t="n"/>
      <c r="R4997" s="12" t="n"/>
      <c r="S4997" s="12" t="inlineStr">
        <is>
          <t>Tray</t>
        </is>
      </c>
      <c r="T4997" s="16" t="n">
        <v>0</v>
      </c>
      <c r="U4997" s="16" t="n">
        <v>64</v>
      </c>
      <c r="V4997" s="16">
        <f>ROUNDUP((T4997+U4997+2*'Read Me'!$B$13)*(1+'Read Me'!$B$12),-1)</f>
        <v/>
      </c>
      <c r="W4997" s="16">
        <f>V4997*N4997*O4997</f>
        <v/>
      </c>
      <c r="X4997" s="12">
        <f>IF(LEFT(I4997,2)="MV",2*N4997*IF(L4997="1/C",O4997,1),0)</f>
        <v/>
      </c>
      <c r="Y4997" s="12">
        <f>IF(OR(LEFT(K4997,4)="LVAX",LEFT(K4997,6)="MV15AX",LEFT(K4997,4)="CTAX",LEFT(K4997,2)="W|"),2*N4997*O4997,0)</f>
        <v/>
      </c>
      <c r="Z4997" s="12" t="inlineStr"/>
      <c r="AA4997" s="12">
        <f>N4997*O4997</f>
        <v/>
      </c>
    </row>
    <row r="4998">
      <c r="A4998" s="12" t="inlineStr">
        <is>
          <t>I-I-0449</t>
        </is>
      </c>
      <c r="B4998" s="12" t="inlineStr">
        <is>
          <t>I</t>
        </is>
      </c>
      <c r="C4998" s="12" t="inlineStr">
        <is>
          <t>Modular / portable power</t>
        </is>
      </c>
      <c r="D4998" s="12" t="inlineStr">
        <is>
          <t>Discrete device to JB JB-SC-1-DI02: 20 x 1 pr (field cables)</t>
        </is>
      </c>
      <c r="E4998" s="12" t="inlineStr">
        <is>
          <t>SC-1</t>
        </is>
      </c>
      <c r="F4998" s="12" t="inlineStr">
        <is>
          <t>SC-1: aeroderivative simple-cycle unit (LM6000 class)</t>
        </is>
      </c>
      <c r="G4998" s="12" t="inlineStr">
        <is>
          <t>JB-SC-1-DI02</t>
        </is>
      </c>
      <c r="H4998" s="12" t="inlineStr">
        <is>
          <t>SC-1: aeroderivative simple-cycle unit (LM6000 class)</t>
        </is>
      </c>
      <c r="I4998" s="12" t="inlineStr">
        <is>
          <t>Instrumentation</t>
        </is>
      </c>
      <c r="J4998" s="12" t="inlineStr">
        <is>
          <t>Instrumentation PLTC / TC-ER 300 V, #18 twisted shielded pairs, overall shield</t>
        </is>
      </c>
      <c r="K4998" s="12" t="inlineStr">
        <is>
          <t>PLTC|1 pr|16</t>
        </is>
      </c>
      <c r="L4998" s="12" t="inlineStr">
        <is>
          <t>1 pr</t>
        </is>
      </c>
      <c r="M4998" s="12" t="inlineStr">
        <is>
          <t>16</t>
        </is>
      </c>
      <c r="N4998" s="12" t="n">
        <v>20</v>
      </c>
      <c r="O4998" s="12" t="n">
        <v>1</v>
      </c>
      <c r="P4998" s="12" t="n"/>
      <c r="Q4998" s="12" t="n"/>
      <c r="R4998" s="12" t="n"/>
      <c r="S4998" s="12" t="inlineStr">
        <is>
          <t>Tray / conduit</t>
        </is>
      </c>
      <c r="T4998" s="16" t="n">
        <v>99</v>
      </c>
      <c r="U4998" s="16" t="n">
        <v>10</v>
      </c>
      <c r="V4998" s="16">
        <f>ROUNDUP((T4998+U4998+2*'Read Me'!$B$13)*(1+'Read Me'!$B$12),-1)</f>
        <v/>
      </c>
      <c r="W4998" s="16">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I-I-0450</t>
        </is>
      </c>
      <c r="B4999" s="12" t="inlineStr">
        <is>
          <t>I</t>
        </is>
      </c>
      <c r="C4999" s="12" t="inlineStr">
        <is>
          <t>Modular / portable power</t>
        </is>
      </c>
      <c r="D4999" s="12" t="inlineStr">
        <is>
          <t>Home run JB-SC-1-DI02 to the control / marshalling room</t>
        </is>
      </c>
      <c r="E4999" s="12" t="inlineStr"/>
      <c r="F4999" s="12" t="inlineStr">
        <is>
          <t>SC-1 PCM + 15 kV GCB</t>
        </is>
      </c>
      <c r="G4999" s="12" t="inlineStr">
        <is>
          <t>JB-SC-1-DI02</t>
        </is>
      </c>
      <c r="H4999" s="12" t="inlineStr">
        <is>
          <t>SC-1: aeroderivative simple-cycle unit (LM6000 class)</t>
        </is>
      </c>
      <c r="I4999" s="12" t="inlineStr">
        <is>
          <t>Instrumentation</t>
        </is>
      </c>
      <c r="J4999" s="12" t="inlineStr">
        <is>
          <t>Instrumentation PLTC / TC-ER 300 V, #18 twisted shielded pairs, overall shield</t>
        </is>
      </c>
      <c r="K4999" s="12" t="inlineStr">
        <is>
          <t>PLTC|24 pr|18</t>
        </is>
      </c>
      <c r="L4999" s="12" t="inlineStr">
        <is>
          <t>24 pr</t>
        </is>
      </c>
      <c r="M4999" s="12" t="inlineStr">
        <is>
          <t>18</t>
        </is>
      </c>
      <c r="N4999" s="12" t="n">
        <v>1</v>
      </c>
      <c r="O4999" s="12" t="n">
        <v>1</v>
      </c>
      <c r="P4999" s="12" t="n"/>
      <c r="Q4999" s="12" t="n"/>
      <c r="R4999" s="12" t="n"/>
      <c r="S4999" s="12" t="inlineStr">
        <is>
          <t>Tray</t>
        </is>
      </c>
      <c r="T4999" s="16" t="n">
        <v>0</v>
      </c>
      <c r="U4999" s="16" t="n">
        <v>64</v>
      </c>
      <c r="V4999" s="16">
        <f>ROUNDUP((T4999+U4999+2*'Read Me'!$B$13)*(1+'Read Me'!$B$12),-1)</f>
        <v/>
      </c>
      <c r="W4999" s="16">
        <f>V4999*N4999*O4999</f>
        <v/>
      </c>
      <c r="X4999" s="12">
        <f>IF(LEFT(I4999,2)="MV",2*N4999*IF(L4999="1/C",O4999,1),0)</f>
        <v/>
      </c>
      <c r="Y4999" s="12">
        <f>IF(OR(LEFT(K4999,4)="LVAX",LEFT(K4999,6)="MV15AX",LEFT(K4999,4)="CTAX",LEFT(K4999,2)="W|"),2*N4999*O4999,0)</f>
        <v/>
      </c>
      <c r="Z4999" s="12" t="inlineStr"/>
      <c r="AA4999" s="12">
        <f>N4999*O4999</f>
        <v/>
      </c>
    </row>
    <row r="5000">
      <c r="A5000" s="12" t="inlineStr">
        <is>
          <t>I-I-0451</t>
        </is>
      </c>
      <c r="B5000" s="12" t="inlineStr">
        <is>
          <t>I</t>
        </is>
      </c>
      <c r="C5000" s="12" t="inlineStr">
        <is>
          <t>Modular / portable power</t>
        </is>
      </c>
      <c r="D5000" s="12" t="inlineStr">
        <is>
          <t>Discrete device to JB JB-SC-1-DI03: 20 x 1 pr (field cables)</t>
        </is>
      </c>
      <c r="E5000" s="12" t="inlineStr">
        <is>
          <t>SC-1</t>
        </is>
      </c>
      <c r="F5000" s="12" t="inlineStr">
        <is>
          <t>SC-1: aeroderivative simple-cycle unit (LM6000 class)</t>
        </is>
      </c>
      <c r="G5000" s="12" t="inlineStr">
        <is>
          <t>JB-SC-1-DI03</t>
        </is>
      </c>
      <c r="H5000" s="12" t="inlineStr">
        <is>
          <t>SC-1: aeroderivative simple-cycle unit (LM6000 class)</t>
        </is>
      </c>
      <c r="I5000" s="12" t="inlineStr">
        <is>
          <t>Instrumentation</t>
        </is>
      </c>
      <c r="J5000" s="12" t="inlineStr">
        <is>
          <t>Instrumentation PLTC / TC-ER 300 V, #18 twisted shielded pairs, overall shield</t>
        </is>
      </c>
      <c r="K5000" s="12" t="inlineStr">
        <is>
          <t>PLTC|1 pr|16</t>
        </is>
      </c>
      <c r="L5000" s="12" t="inlineStr">
        <is>
          <t>1 pr</t>
        </is>
      </c>
      <c r="M5000" s="12" t="inlineStr">
        <is>
          <t>16</t>
        </is>
      </c>
      <c r="N5000" s="12" t="n">
        <v>20</v>
      </c>
      <c r="O5000" s="12" t="n">
        <v>1</v>
      </c>
      <c r="P5000" s="12" t="n"/>
      <c r="Q5000" s="12" t="n"/>
      <c r="R5000" s="12" t="n"/>
      <c r="S5000" s="12" t="inlineStr">
        <is>
          <t>Tray / conduit</t>
        </is>
      </c>
      <c r="T5000" s="16" t="n">
        <v>99</v>
      </c>
      <c r="U5000" s="16" t="n">
        <v>10</v>
      </c>
      <c r="V5000" s="16">
        <f>ROUNDUP((T5000+U5000+2*'Read Me'!$B$13)*(1+'Read Me'!$B$12),-1)</f>
        <v/>
      </c>
      <c r="W5000" s="16">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I-I-0452</t>
        </is>
      </c>
      <c r="B5001" s="12" t="inlineStr">
        <is>
          <t>I</t>
        </is>
      </c>
      <c r="C5001" s="12" t="inlineStr">
        <is>
          <t>Modular / portable power</t>
        </is>
      </c>
      <c r="D5001" s="12" t="inlineStr">
        <is>
          <t>Home run JB-SC-1-DI03 to the control / marshalling room</t>
        </is>
      </c>
      <c r="E5001" s="12" t="inlineStr"/>
      <c r="F5001" s="12" t="inlineStr">
        <is>
          <t>SC-1 PCM + 15 kV GCB</t>
        </is>
      </c>
      <c r="G5001" s="12" t="inlineStr">
        <is>
          <t>JB-SC-1-DI03</t>
        </is>
      </c>
      <c r="H5001" s="12" t="inlineStr">
        <is>
          <t>SC-1: aeroderivative simple-cycle unit (LM6000 class)</t>
        </is>
      </c>
      <c r="I5001" s="12" t="inlineStr">
        <is>
          <t>Instrumentation</t>
        </is>
      </c>
      <c r="J5001" s="12" t="inlineStr">
        <is>
          <t>Instrumentation PLTC / TC-ER 300 V, #18 twisted shielded pairs, overall shield</t>
        </is>
      </c>
      <c r="K5001" s="12" t="inlineStr">
        <is>
          <t>PLTC|24 pr|18</t>
        </is>
      </c>
      <c r="L5001" s="12" t="inlineStr">
        <is>
          <t>24 pr</t>
        </is>
      </c>
      <c r="M5001" s="12" t="inlineStr">
        <is>
          <t>18</t>
        </is>
      </c>
      <c r="N5001" s="12" t="n">
        <v>1</v>
      </c>
      <c r="O5001" s="12" t="n">
        <v>1</v>
      </c>
      <c r="P5001" s="12" t="n"/>
      <c r="Q5001" s="12" t="n"/>
      <c r="R5001" s="12" t="n"/>
      <c r="S5001" s="12" t="inlineStr">
        <is>
          <t>Tray</t>
        </is>
      </c>
      <c r="T5001" s="16" t="n">
        <v>0</v>
      </c>
      <c r="U5001" s="16" t="n">
        <v>64</v>
      </c>
      <c r="V5001" s="16">
        <f>ROUNDUP((T5001+U5001+2*'Read Me'!$B$13)*(1+'Read Me'!$B$12),-1)</f>
        <v/>
      </c>
      <c r="W5001" s="16">
        <f>V5001*N5001*O5001</f>
        <v/>
      </c>
      <c r="X5001" s="12">
        <f>IF(LEFT(I5001,2)="MV",2*N5001*IF(L5001="1/C",O5001,1),0)</f>
        <v/>
      </c>
      <c r="Y5001" s="12">
        <f>IF(OR(LEFT(K5001,4)="LVAX",LEFT(K5001,6)="MV15AX",LEFT(K5001,4)="CTAX",LEFT(K5001,2)="W|"),2*N5001*O5001,0)</f>
        <v/>
      </c>
      <c r="Z5001" s="12" t="inlineStr"/>
      <c r="AA5001" s="12">
        <f>N5001*O5001</f>
        <v/>
      </c>
    </row>
    <row r="5002">
      <c r="A5002" s="12" t="inlineStr">
        <is>
          <t>I-I-0453</t>
        </is>
      </c>
      <c r="B5002" s="12" t="inlineStr">
        <is>
          <t>I</t>
        </is>
      </c>
      <c r="C5002" s="12" t="inlineStr">
        <is>
          <t>Modular / portable power</t>
        </is>
      </c>
      <c r="D5002" s="12" t="inlineStr">
        <is>
          <t>Discrete device to JB JB-SC-1-DI04: 20 x 1 pr (field cables)</t>
        </is>
      </c>
      <c r="E5002" s="12" t="inlineStr">
        <is>
          <t>SC-1</t>
        </is>
      </c>
      <c r="F5002" s="12" t="inlineStr">
        <is>
          <t>SC-1: aeroderivative simple-cycle unit (LM6000 class)</t>
        </is>
      </c>
      <c r="G5002" s="12" t="inlineStr">
        <is>
          <t>JB-SC-1-DI04</t>
        </is>
      </c>
      <c r="H5002" s="12" t="inlineStr">
        <is>
          <t>SC-1: aeroderivative simple-cycle unit (LM6000 class)</t>
        </is>
      </c>
      <c r="I5002" s="12" t="inlineStr">
        <is>
          <t>Instrumentation</t>
        </is>
      </c>
      <c r="J5002" s="12" t="inlineStr">
        <is>
          <t>Instrumentation PLTC / TC-ER 300 V, #18 twisted shielded pairs, overall shield</t>
        </is>
      </c>
      <c r="K5002" s="12" t="inlineStr">
        <is>
          <t>PLTC|1 pr|16</t>
        </is>
      </c>
      <c r="L5002" s="12" t="inlineStr">
        <is>
          <t>1 pr</t>
        </is>
      </c>
      <c r="M5002" s="12" t="inlineStr">
        <is>
          <t>16</t>
        </is>
      </c>
      <c r="N5002" s="12" t="n">
        <v>20</v>
      </c>
      <c r="O5002" s="12" t="n">
        <v>1</v>
      </c>
      <c r="P5002" s="12" t="n"/>
      <c r="Q5002" s="12" t="n"/>
      <c r="R5002" s="12" t="n"/>
      <c r="S5002" s="12" t="inlineStr">
        <is>
          <t>Tray / conduit</t>
        </is>
      </c>
      <c r="T5002" s="16" t="n">
        <v>99</v>
      </c>
      <c r="U5002" s="16" t="n">
        <v>10</v>
      </c>
      <c r="V5002" s="16">
        <f>ROUNDUP((T5002+U5002+2*'Read Me'!$B$13)*(1+'Read Me'!$B$12),-1)</f>
        <v/>
      </c>
      <c r="W5002" s="16">
        <f>V5002*N5002*O5002</f>
        <v/>
      </c>
      <c r="X5002" s="12">
        <f>IF(LEFT(I5002,2)="MV",2*N5002*IF(L5002="1/C",O5002,1),0)</f>
        <v/>
      </c>
      <c r="Y5002" s="12">
        <f>IF(OR(LEFT(K5002,4)="LVAX",LEFT(K5002,6)="MV15AX",LEFT(K5002,4)="CTAX",LEFT(K5002,2)="W|"),2*N5002*O5002,0)</f>
        <v/>
      </c>
      <c r="Z5002" s="12" t="inlineStr">
        <is>
          <t>device-to-JB field wiring, one cable per device</t>
        </is>
      </c>
      <c r="AA5002" s="12">
        <f>N5002*O5002</f>
        <v/>
      </c>
    </row>
    <row r="5003">
      <c r="A5003" s="12" t="inlineStr">
        <is>
          <t>I-I-0454</t>
        </is>
      </c>
      <c r="B5003" s="12" t="inlineStr">
        <is>
          <t>I</t>
        </is>
      </c>
      <c r="C5003" s="12" t="inlineStr">
        <is>
          <t>Modular / portable power</t>
        </is>
      </c>
      <c r="D5003" s="12" t="inlineStr">
        <is>
          <t>Home run JB-SC-1-DI04 to the control / marshalling room</t>
        </is>
      </c>
      <c r="E5003" s="12" t="inlineStr"/>
      <c r="F5003" s="12" t="inlineStr">
        <is>
          <t>SC-1 PCM + 15 kV GCB</t>
        </is>
      </c>
      <c r="G5003" s="12" t="inlineStr">
        <is>
          <t>JB-SC-1-DI04</t>
        </is>
      </c>
      <c r="H5003" s="12" t="inlineStr">
        <is>
          <t>SC-1: aeroderivative simple-cycle unit (LM6000 class)</t>
        </is>
      </c>
      <c r="I5003" s="12" t="inlineStr">
        <is>
          <t>Instrumentation</t>
        </is>
      </c>
      <c r="J5003" s="12" t="inlineStr">
        <is>
          <t>Instrumentation PLTC / TC-ER 300 V, #18 twisted shielded pairs, overall shield</t>
        </is>
      </c>
      <c r="K5003" s="12" t="inlineStr">
        <is>
          <t>PLTC|24 pr|18</t>
        </is>
      </c>
      <c r="L5003" s="12" t="inlineStr">
        <is>
          <t>24 pr</t>
        </is>
      </c>
      <c r="M5003" s="12" t="inlineStr">
        <is>
          <t>18</t>
        </is>
      </c>
      <c r="N5003" s="12" t="n">
        <v>1</v>
      </c>
      <c r="O5003" s="12" t="n">
        <v>1</v>
      </c>
      <c r="P5003" s="12" t="n"/>
      <c r="Q5003" s="12" t="n"/>
      <c r="R5003" s="12" t="n"/>
      <c r="S5003" s="12" t="inlineStr">
        <is>
          <t>Tray</t>
        </is>
      </c>
      <c r="T5003" s="16" t="n">
        <v>0</v>
      </c>
      <c r="U5003" s="16" t="n">
        <v>64</v>
      </c>
      <c r="V5003" s="16">
        <f>ROUNDUP((T5003+U5003+2*'Read Me'!$B$13)*(1+'Read Me'!$B$12),-1)</f>
        <v/>
      </c>
      <c r="W5003" s="16">
        <f>V5003*N5003*O5003</f>
        <v/>
      </c>
      <c r="X5003" s="12">
        <f>IF(LEFT(I5003,2)="MV",2*N5003*IF(L5003="1/C",O5003,1),0)</f>
        <v/>
      </c>
      <c r="Y5003" s="12">
        <f>IF(OR(LEFT(K5003,4)="LVAX",LEFT(K5003,6)="MV15AX",LEFT(K5003,4)="CTAX",LEFT(K5003,2)="W|"),2*N5003*O5003,0)</f>
        <v/>
      </c>
      <c r="Z5003" s="12" t="inlineStr"/>
      <c r="AA5003" s="12">
        <f>N5003*O5003</f>
        <v/>
      </c>
    </row>
    <row r="5004">
      <c r="A5004" s="12" t="inlineStr">
        <is>
          <t>I-I-0455</t>
        </is>
      </c>
      <c r="B5004" s="12" t="inlineStr">
        <is>
          <t>I</t>
        </is>
      </c>
      <c r="C5004" s="12" t="inlineStr">
        <is>
          <t>Modular / portable power</t>
        </is>
      </c>
      <c r="D5004" s="12" t="inlineStr">
        <is>
          <t>Discrete device to JB JB-SC-1-DI05: 20 x 1 pr (field cables)</t>
        </is>
      </c>
      <c r="E5004" s="12" t="inlineStr">
        <is>
          <t>SC-1</t>
        </is>
      </c>
      <c r="F5004" s="12" t="inlineStr">
        <is>
          <t>SC-1: aeroderivative simple-cycle unit (LM6000 class)</t>
        </is>
      </c>
      <c r="G5004" s="12" t="inlineStr">
        <is>
          <t>JB-SC-1-DI05</t>
        </is>
      </c>
      <c r="H5004" s="12" t="inlineStr">
        <is>
          <t>SC-1: aeroderivative simple-cycle unit (LM6000 class)</t>
        </is>
      </c>
      <c r="I5004" s="12" t="inlineStr">
        <is>
          <t>Instrumentation</t>
        </is>
      </c>
      <c r="J5004" s="12" t="inlineStr">
        <is>
          <t>Instrumentation PLTC / TC-ER 300 V, #18 twisted shielded pairs, overall shield</t>
        </is>
      </c>
      <c r="K5004" s="12" t="inlineStr">
        <is>
          <t>PLTC|1 pr|16</t>
        </is>
      </c>
      <c r="L5004" s="12" t="inlineStr">
        <is>
          <t>1 pr</t>
        </is>
      </c>
      <c r="M5004" s="12" t="inlineStr">
        <is>
          <t>16</t>
        </is>
      </c>
      <c r="N5004" s="12" t="n">
        <v>20</v>
      </c>
      <c r="O5004" s="12" t="n">
        <v>1</v>
      </c>
      <c r="P5004" s="12" t="n"/>
      <c r="Q5004" s="12" t="n"/>
      <c r="R5004" s="12" t="n"/>
      <c r="S5004" s="12" t="inlineStr">
        <is>
          <t>Tray / conduit</t>
        </is>
      </c>
      <c r="T5004" s="16" t="n">
        <v>99</v>
      </c>
      <c r="U5004" s="16" t="n">
        <v>10</v>
      </c>
      <c r="V5004" s="16">
        <f>ROUNDUP((T5004+U5004+2*'Read Me'!$B$13)*(1+'Read Me'!$B$12),-1)</f>
        <v/>
      </c>
      <c r="W5004" s="16">
        <f>V5004*N5004*O5004</f>
        <v/>
      </c>
      <c r="X5004" s="12">
        <f>IF(LEFT(I5004,2)="MV",2*N5004*IF(L5004="1/C",O5004,1),0)</f>
        <v/>
      </c>
      <c r="Y5004" s="12">
        <f>IF(OR(LEFT(K5004,4)="LVAX",LEFT(K5004,6)="MV15AX",LEFT(K5004,4)="CTAX",LEFT(K5004,2)="W|"),2*N5004*O5004,0)</f>
        <v/>
      </c>
      <c r="Z5004" s="12" t="inlineStr">
        <is>
          <t>device-to-JB field wiring, one cable per device</t>
        </is>
      </c>
      <c r="AA5004" s="12">
        <f>N5004*O5004</f>
        <v/>
      </c>
    </row>
    <row r="5005">
      <c r="A5005" s="12" t="inlineStr">
        <is>
          <t>I-I-0456</t>
        </is>
      </c>
      <c r="B5005" s="12" t="inlineStr">
        <is>
          <t>I</t>
        </is>
      </c>
      <c r="C5005" s="12" t="inlineStr">
        <is>
          <t>Modular / portable power</t>
        </is>
      </c>
      <c r="D5005" s="12" t="inlineStr">
        <is>
          <t>Home run JB-SC-1-DI05 to the control / marshalling room</t>
        </is>
      </c>
      <c r="E5005" s="12" t="inlineStr"/>
      <c r="F5005" s="12" t="inlineStr">
        <is>
          <t>SC-1 PCM + 15 kV GCB</t>
        </is>
      </c>
      <c r="G5005" s="12" t="inlineStr">
        <is>
          <t>JB-SC-1-DI05</t>
        </is>
      </c>
      <c r="H5005" s="12" t="inlineStr">
        <is>
          <t>SC-1: aeroderivative simple-cycle unit (LM6000 class)</t>
        </is>
      </c>
      <c r="I5005" s="12" t="inlineStr">
        <is>
          <t>Instrumentation</t>
        </is>
      </c>
      <c r="J5005" s="12" t="inlineStr">
        <is>
          <t>Instrumentation PLTC / TC-ER 300 V, #18 twisted shielded pairs, overall shield</t>
        </is>
      </c>
      <c r="K5005" s="12" t="inlineStr">
        <is>
          <t>PLTC|24 pr|18</t>
        </is>
      </c>
      <c r="L5005" s="12" t="inlineStr">
        <is>
          <t>24 pr</t>
        </is>
      </c>
      <c r="M5005" s="12" t="inlineStr">
        <is>
          <t>18</t>
        </is>
      </c>
      <c r="N5005" s="12" t="n">
        <v>1</v>
      </c>
      <c r="O5005" s="12" t="n">
        <v>1</v>
      </c>
      <c r="P5005" s="12" t="n"/>
      <c r="Q5005" s="12" t="n"/>
      <c r="R5005" s="12" t="n"/>
      <c r="S5005" s="12" t="inlineStr">
        <is>
          <t>Tray</t>
        </is>
      </c>
      <c r="T5005" s="16" t="n">
        <v>0</v>
      </c>
      <c r="U5005" s="16" t="n">
        <v>64</v>
      </c>
      <c r="V5005" s="16">
        <f>ROUNDUP((T5005+U5005+2*'Read Me'!$B$13)*(1+'Read Me'!$B$12),-1)</f>
        <v/>
      </c>
      <c r="W5005" s="16">
        <f>V5005*N5005*O5005</f>
        <v/>
      </c>
      <c r="X5005" s="12">
        <f>IF(LEFT(I5005,2)="MV",2*N5005*IF(L5005="1/C",O5005,1),0)</f>
        <v/>
      </c>
      <c r="Y5005" s="12">
        <f>IF(OR(LEFT(K5005,4)="LVAX",LEFT(K5005,6)="MV15AX",LEFT(K5005,4)="CTAX",LEFT(K5005,2)="W|"),2*N5005*O5005,0)</f>
        <v/>
      </c>
      <c r="Z5005" s="12" t="inlineStr"/>
      <c r="AA5005" s="12">
        <f>N5005*O5005</f>
        <v/>
      </c>
    </row>
    <row r="5006">
      <c r="A5006" s="12" t="inlineStr">
        <is>
          <t>I-I-0457</t>
        </is>
      </c>
      <c r="B5006" s="12" t="inlineStr">
        <is>
          <t>I</t>
        </is>
      </c>
      <c r="C5006" s="12" t="inlineStr">
        <is>
          <t>Modular / portable power</t>
        </is>
      </c>
      <c r="D5006" s="12" t="inlineStr">
        <is>
          <t>Thermocouple to TC JB JB-SC-1-TC01: 20 x 1 pr (field cables)</t>
        </is>
      </c>
      <c r="E5006" s="12" t="inlineStr">
        <is>
          <t>SC-1</t>
        </is>
      </c>
      <c r="F5006" s="12" t="inlineStr">
        <is>
          <t>SC-1: aeroderivative simple-cycle unit (LM6000 class)</t>
        </is>
      </c>
      <c r="G5006" s="12" t="inlineStr">
        <is>
          <t>JB-SC-1-TC01</t>
        </is>
      </c>
      <c r="H5006" s="12" t="inlineStr">
        <is>
          <t>SC-1: aeroderivative simple-cycle unit (LM6000 class)</t>
        </is>
      </c>
      <c r="I5006" s="12" t="inlineStr">
        <is>
          <t>Instrumentation</t>
        </is>
      </c>
      <c r="J5006" s="12" t="inlineStr">
        <is>
          <t>Thermocouple extension KX, #16 shielded pairs, PLTC</t>
        </is>
      </c>
      <c r="K5006" s="12" t="inlineStr">
        <is>
          <t>TCX|1 pr|16</t>
        </is>
      </c>
      <c r="L5006" s="12" t="inlineStr">
        <is>
          <t>1 pr</t>
        </is>
      </c>
      <c r="M5006" s="12" t="inlineStr">
        <is>
          <t>16</t>
        </is>
      </c>
      <c r="N5006" s="12" t="n">
        <v>20</v>
      </c>
      <c r="O5006" s="12" t="n">
        <v>1</v>
      </c>
      <c r="P5006" s="12" t="n"/>
      <c r="Q5006" s="12" t="n"/>
      <c r="R5006" s="12" t="n"/>
      <c r="S5006" s="12" t="inlineStr">
        <is>
          <t>Tray / conduit</t>
        </is>
      </c>
      <c r="T5006" s="16" t="n">
        <v>99</v>
      </c>
      <c r="U5006" s="16" t="n">
        <v>10</v>
      </c>
      <c r="V5006" s="16">
        <f>ROUNDUP((T5006+U5006+2*'Read Me'!$B$13)*(1+'Read Me'!$B$12),-1)</f>
        <v/>
      </c>
      <c r="W5006" s="16">
        <f>V5006*N5006*O5006</f>
        <v/>
      </c>
      <c r="X5006" s="12">
        <f>IF(LEFT(I5006,2)="MV",2*N5006*IF(L5006="1/C",O5006,1),0)</f>
        <v/>
      </c>
      <c r="Y5006" s="12">
        <f>IF(OR(LEFT(K5006,4)="LVAX",LEFT(K5006,6)="MV15AX",LEFT(K5006,4)="CTAX",LEFT(K5006,2)="W|"),2*N5006*O5006,0)</f>
        <v/>
      </c>
      <c r="Z5006" s="12" t="inlineStr">
        <is>
          <t>device-to-JB field wiring, one cable per device</t>
        </is>
      </c>
      <c r="AA5006" s="12">
        <f>N5006*O5006</f>
        <v/>
      </c>
    </row>
    <row r="5007">
      <c r="A5007" s="12" t="inlineStr">
        <is>
          <t>I-I-0458</t>
        </is>
      </c>
      <c r="B5007" s="12" t="inlineStr">
        <is>
          <t>I</t>
        </is>
      </c>
      <c r="C5007" s="12" t="inlineStr">
        <is>
          <t>Modular / portable power</t>
        </is>
      </c>
      <c r="D5007" s="12" t="inlineStr">
        <is>
          <t>Home run JB-SC-1-TC01 to the control / marshalling room</t>
        </is>
      </c>
      <c r="E5007" s="12" t="inlineStr"/>
      <c r="F5007" s="12" t="inlineStr">
        <is>
          <t>SC-1 PCM + 15 kV GCB</t>
        </is>
      </c>
      <c r="G5007" s="12" t="inlineStr">
        <is>
          <t>JB-SC-1-TC01</t>
        </is>
      </c>
      <c r="H5007" s="12" t="inlineStr">
        <is>
          <t>SC-1: aeroderivative simple-cycle unit (LM6000 class)</t>
        </is>
      </c>
      <c r="I5007" s="12" t="inlineStr">
        <is>
          <t>Instrumentation</t>
        </is>
      </c>
      <c r="J5007" s="12" t="inlineStr">
        <is>
          <t>Thermocouple extension KX, #16 shielded pairs, PLTC</t>
        </is>
      </c>
      <c r="K5007" s="12" t="inlineStr">
        <is>
          <t>TCX|24 pr|16</t>
        </is>
      </c>
      <c r="L5007" s="12" t="inlineStr">
        <is>
          <t>24 pr</t>
        </is>
      </c>
      <c r="M5007" s="12" t="inlineStr">
        <is>
          <t>16</t>
        </is>
      </c>
      <c r="N5007" s="12" t="n">
        <v>1</v>
      </c>
      <c r="O5007" s="12" t="n">
        <v>1</v>
      </c>
      <c r="P5007" s="12" t="n"/>
      <c r="Q5007" s="12" t="n"/>
      <c r="R5007" s="12" t="n"/>
      <c r="S5007" s="12" t="inlineStr">
        <is>
          <t>Tray</t>
        </is>
      </c>
      <c r="T5007" s="16" t="n">
        <v>0</v>
      </c>
      <c r="U5007" s="16" t="n">
        <v>64</v>
      </c>
      <c r="V5007" s="16">
        <f>ROUNDUP((T5007+U5007+2*'Read Me'!$B$13)*(1+'Read Me'!$B$12),-1)</f>
        <v/>
      </c>
      <c r="W5007" s="16">
        <f>V5007*N5007*O5007</f>
        <v/>
      </c>
      <c r="X5007" s="12">
        <f>IF(LEFT(I5007,2)="MV",2*N5007*IF(L5007="1/C",O5007,1),0)</f>
        <v/>
      </c>
      <c r="Y5007" s="12">
        <f>IF(OR(LEFT(K5007,4)="LVAX",LEFT(K5007,6)="MV15AX",LEFT(K5007,4)="CTAX",LEFT(K5007,2)="W|"),2*N5007*O5007,0)</f>
        <v/>
      </c>
      <c r="Z5007" s="12" t="inlineStr"/>
      <c r="AA5007" s="12">
        <f>N5007*O5007</f>
        <v/>
      </c>
    </row>
    <row r="5008">
      <c r="A5008" s="12" t="inlineStr">
        <is>
          <t>I-I-0459</t>
        </is>
      </c>
      <c r="B5008" s="12" t="inlineStr">
        <is>
          <t>I</t>
        </is>
      </c>
      <c r="C5008" s="12" t="inlineStr">
        <is>
          <t>Modular / portable power</t>
        </is>
      </c>
      <c r="D5008" s="12" t="inlineStr">
        <is>
          <t>Thermocouple to TC JB JB-SC-1-TC02: 20 x 1 pr (field cables)</t>
        </is>
      </c>
      <c r="E5008" s="12" t="inlineStr">
        <is>
          <t>SC-1</t>
        </is>
      </c>
      <c r="F5008" s="12" t="inlineStr">
        <is>
          <t>SC-1: aeroderivative simple-cycle unit (LM6000 class)</t>
        </is>
      </c>
      <c r="G5008" s="12" t="inlineStr">
        <is>
          <t>JB-SC-1-TC02</t>
        </is>
      </c>
      <c r="H5008" s="12" t="inlineStr">
        <is>
          <t>SC-1: aeroderivative simple-cycle unit (LM6000 class)</t>
        </is>
      </c>
      <c r="I5008" s="12" t="inlineStr">
        <is>
          <t>Instrumentation</t>
        </is>
      </c>
      <c r="J5008" s="12" t="inlineStr">
        <is>
          <t>Thermocouple extension KX, #16 shielded pairs, PLTC</t>
        </is>
      </c>
      <c r="K5008" s="12" t="inlineStr">
        <is>
          <t>TCX|1 pr|16</t>
        </is>
      </c>
      <c r="L5008" s="12" t="inlineStr">
        <is>
          <t>1 pr</t>
        </is>
      </c>
      <c r="M5008" s="12" t="inlineStr">
        <is>
          <t>16</t>
        </is>
      </c>
      <c r="N5008" s="12" t="n">
        <v>20</v>
      </c>
      <c r="O5008" s="12" t="n">
        <v>1</v>
      </c>
      <c r="P5008" s="12" t="n"/>
      <c r="Q5008" s="12" t="n"/>
      <c r="R5008" s="12" t="n"/>
      <c r="S5008" s="12" t="inlineStr">
        <is>
          <t>Tray / conduit</t>
        </is>
      </c>
      <c r="T5008" s="16" t="n">
        <v>99</v>
      </c>
      <c r="U5008" s="16" t="n">
        <v>10</v>
      </c>
      <c r="V5008" s="16">
        <f>ROUNDUP((T5008+U5008+2*'Read Me'!$B$13)*(1+'Read Me'!$B$12),-1)</f>
        <v/>
      </c>
      <c r="W5008" s="16">
        <f>V5008*N5008*O5008</f>
        <v/>
      </c>
      <c r="X5008" s="12">
        <f>IF(LEFT(I5008,2)="MV",2*N5008*IF(L5008="1/C",O5008,1),0)</f>
        <v/>
      </c>
      <c r="Y5008" s="12">
        <f>IF(OR(LEFT(K5008,4)="LVAX",LEFT(K5008,6)="MV15AX",LEFT(K5008,4)="CTAX",LEFT(K5008,2)="W|"),2*N5008*O5008,0)</f>
        <v/>
      </c>
      <c r="Z5008" s="12" t="inlineStr">
        <is>
          <t>device-to-JB field wiring, one cable per device</t>
        </is>
      </c>
      <c r="AA5008" s="12">
        <f>N5008*O5008</f>
        <v/>
      </c>
    </row>
    <row r="5009">
      <c r="A5009" s="12" t="inlineStr">
        <is>
          <t>I-I-0460</t>
        </is>
      </c>
      <c r="B5009" s="12" t="inlineStr">
        <is>
          <t>I</t>
        </is>
      </c>
      <c r="C5009" s="12" t="inlineStr">
        <is>
          <t>Modular / portable power</t>
        </is>
      </c>
      <c r="D5009" s="12" t="inlineStr">
        <is>
          <t>Home run JB-SC-1-TC02 to the control / marshalling room</t>
        </is>
      </c>
      <c r="E5009" s="12" t="inlineStr"/>
      <c r="F5009" s="12" t="inlineStr">
        <is>
          <t>SC-1 PCM + 15 kV GCB</t>
        </is>
      </c>
      <c r="G5009" s="12" t="inlineStr">
        <is>
          <t>JB-SC-1-TC02</t>
        </is>
      </c>
      <c r="H5009" s="12" t="inlineStr">
        <is>
          <t>SC-1: aeroderivative simple-cycle unit (LM6000 class)</t>
        </is>
      </c>
      <c r="I5009" s="12" t="inlineStr">
        <is>
          <t>Instrumentation</t>
        </is>
      </c>
      <c r="J5009" s="12" t="inlineStr">
        <is>
          <t>Thermocouple extension KX, #16 shielded pairs, PLTC</t>
        </is>
      </c>
      <c r="K5009" s="12" t="inlineStr">
        <is>
          <t>TCX|24 pr|16</t>
        </is>
      </c>
      <c r="L5009" s="12" t="inlineStr">
        <is>
          <t>24 pr</t>
        </is>
      </c>
      <c r="M5009" s="12" t="inlineStr">
        <is>
          <t>16</t>
        </is>
      </c>
      <c r="N5009" s="12" t="n">
        <v>1</v>
      </c>
      <c r="O5009" s="12" t="n">
        <v>1</v>
      </c>
      <c r="P5009" s="12" t="n"/>
      <c r="Q5009" s="12" t="n"/>
      <c r="R5009" s="12" t="n"/>
      <c r="S5009" s="12" t="inlineStr">
        <is>
          <t>Tray</t>
        </is>
      </c>
      <c r="T5009" s="16" t="n">
        <v>0</v>
      </c>
      <c r="U5009" s="16" t="n">
        <v>64</v>
      </c>
      <c r="V5009" s="16">
        <f>ROUNDUP((T5009+U5009+2*'Read Me'!$B$13)*(1+'Read Me'!$B$12),-1)</f>
        <v/>
      </c>
      <c r="W5009" s="16">
        <f>V5009*N5009*O5009</f>
        <v/>
      </c>
      <c r="X5009" s="12">
        <f>IF(LEFT(I5009,2)="MV",2*N5009*IF(L5009="1/C",O5009,1),0)</f>
        <v/>
      </c>
      <c r="Y5009" s="12">
        <f>IF(OR(LEFT(K5009,4)="LVAX",LEFT(K5009,6)="MV15AX",LEFT(K5009,4)="CTAX",LEFT(K5009,2)="W|"),2*N5009*O5009,0)</f>
        <v/>
      </c>
      <c r="Z5009" s="12" t="inlineStr"/>
      <c r="AA5009" s="12">
        <f>N5009*O5009</f>
        <v/>
      </c>
    </row>
    <row r="5010">
      <c r="A5010" s="12" t="inlineStr">
        <is>
          <t>I-I-0461</t>
        </is>
      </c>
      <c r="B5010" s="12" t="inlineStr">
        <is>
          <t>I</t>
        </is>
      </c>
      <c r="C5010" s="12" t="inlineStr">
        <is>
          <t>Modular / portable power</t>
        </is>
      </c>
      <c r="D5010" s="12" t="inlineStr">
        <is>
          <t>Analog instrument to JB JB-SC-2 CEMS shelter-AI01: 12 x 1 pr (field cables)</t>
        </is>
      </c>
      <c r="E5010" s="12" t="inlineStr"/>
      <c r="F5010" s="12" t="inlineStr">
        <is>
          <t>SC-2 CEMS shelter</t>
        </is>
      </c>
      <c r="G5010" s="12" t="inlineStr">
        <is>
          <t>JB-SC-2 CEMS shelter-AI01</t>
        </is>
      </c>
      <c r="H5010" s="12" t="inlineStr">
        <is>
          <t>SC-2 CEMS shelter</t>
        </is>
      </c>
      <c r="I5010" s="12" t="inlineStr">
        <is>
          <t>Instrumentation</t>
        </is>
      </c>
      <c r="J5010" s="12" t="inlineStr">
        <is>
          <t>Instrumentation PLTC / TC-ER 300 V, #18 twisted shielded pairs, overall shield</t>
        </is>
      </c>
      <c r="K5010" s="12" t="inlineStr">
        <is>
          <t>PLTC|1 pr|16</t>
        </is>
      </c>
      <c r="L5010" s="12" t="inlineStr">
        <is>
          <t>1 pr</t>
        </is>
      </c>
      <c r="M5010" s="12" t="inlineStr">
        <is>
          <t>16</t>
        </is>
      </c>
      <c r="N5010" s="12" t="n">
        <v>12</v>
      </c>
      <c r="O5010" s="12" t="n">
        <v>1</v>
      </c>
      <c r="P5010" s="12" t="n"/>
      <c r="Q5010" s="12" t="n"/>
      <c r="R5010" s="12" t="n"/>
      <c r="S5010" s="12" t="inlineStr">
        <is>
          <t>Tray / conduit</t>
        </is>
      </c>
      <c r="T5010" s="16" t="n">
        <v>57</v>
      </c>
      <c r="U5010" s="16" t="n">
        <v>10</v>
      </c>
      <c r="V5010" s="16">
        <f>ROUNDUP((T5010+U5010+2*'Read Me'!$B$13)*(1+'Read Me'!$B$12),-1)</f>
        <v/>
      </c>
      <c r="W5010" s="16">
        <f>V5010*N5010*O5010</f>
        <v/>
      </c>
      <c r="X5010" s="12">
        <f>IF(LEFT(I5010,2)="MV",2*N5010*IF(L5010="1/C",O5010,1),0)</f>
        <v/>
      </c>
      <c r="Y5010" s="12">
        <f>IF(OR(LEFT(K5010,4)="LVAX",LEFT(K5010,6)="MV15AX",LEFT(K5010,4)="CTAX",LEFT(K5010,2)="W|"),2*N5010*O5010,0)</f>
        <v/>
      </c>
      <c r="Z5010" s="12" t="inlineStr">
        <is>
          <t>device-to-JB field wiring, one cable per device</t>
        </is>
      </c>
      <c r="AA5010" s="12">
        <f>N5010*O5010</f>
        <v/>
      </c>
    </row>
    <row r="5011">
      <c r="A5011" s="12" t="inlineStr">
        <is>
          <t>I-I-0462</t>
        </is>
      </c>
      <c r="B5011" s="12" t="inlineStr">
        <is>
          <t>I</t>
        </is>
      </c>
      <c r="C5011" s="12" t="inlineStr">
        <is>
          <t>Modular / portable power</t>
        </is>
      </c>
      <c r="D5011" s="12" t="inlineStr">
        <is>
          <t>Home run JB-SC-2 CEMS shelter-AI01 to the control / marshalling room</t>
        </is>
      </c>
      <c r="E5011" s="12" t="inlineStr"/>
      <c r="F5011" s="12" t="inlineStr">
        <is>
          <t>SC-2 PCM + 15 kV GCB</t>
        </is>
      </c>
      <c r="G5011" s="12" t="inlineStr">
        <is>
          <t>JB-SC-2 CEMS shelter-AI01</t>
        </is>
      </c>
      <c r="H5011" s="12" t="inlineStr">
        <is>
          <t>SC-2 CEMS shelter</t>
        </is>
      </c>
      <c r="I5011" s="12" t="inlineStr">
        <is>
          <t>Instrumentation</t>
        </is>
      </c>
      <c r="J5011" s="12" t="inlineStr">
        <is>
          <t>Instrumentation PLTC / TC-ER 300 V, #18 twisted shielded pairs, overall shield</t>
        </is>
      </c>
      <c r="K5011" s="12" t="inlineStr">
        <is>
          <t>PLTC|24 pr|18</t>
        </is>
      </c>
      <c r="L5011" s="12" t="inlineStr">
        <is>
          <t>24 pr</t>
        </is>
      </c>
      <c r="M5011" s="12" t="inlineStr">
        <is>
          <t>18</t>
        </is>
      </c>
      <c r="N5011" s="12" t="n">
        <v>1</v>
      </c>
      <c r="O5011" s="12" t="n">
        <v>1</v>
      </c>
      <c r="P5011" s="12" t="n"/>
      <c r="Q5011" s="12" t="n"/>
      <c r="R5011" s="12" t="n"/>
      <c r="S5011" s="12" t="inlineStr">
        <is>
          <t>Duct bank</t>
        </is>
      </c>
      <c r="T5011" s="16" t="n">
        <v>25</v>
      </c>
      <c r="U5011" s="16" t="n">
        <v>197</v>
      </c>
      <c r="V5011" s="16">
        <f>ROUNDUP((T5011+U5011+2*'Read Me'!$B$13)*(1+'Read Me'!$B$12),-1)</f>
        <v/>
      </c>
      <c r="W5011" s="16">
        <f>V5011*N5011*O5011</f>
        <v/>
      </c>
      <c r="X5011" s="12">
        <f>IF(LEFT(I5011,2)="MV",2*N5011*IF(L5011="1/C",O5011,1),0)</f>
        <v/>
      </c>
      <c r="Y5011" s="12">
        <f>IF(OR(LEFT(K5011,4)="LVAX",LEFT(K5011,6)="MV15AX",LEFT(K5011,4)="CTAX",LEFT(K5011,2)="W|"),2*N5011*O5011,0)</f>
        <v/>
      </c>
      <c r="Z5011" s="12" t="inlineStr"/>
      <c r="AA5011" s="12">
        <f>N5011*O5011</f>
        <v/>
      </c>
    </row>
    <row r="5012">
      <c r="A5012" s="12" t="inlineStr">
        <is>
          <t>I-I-0463</t>
        </is>
      </c>
      <c r="B5012" s="12" t="inlineStr">
        <is>
          <t>I</t>
        </is>
      </c>
      <c r="C5012" s="12" t="inlineStr">
        <is>
          <t>Modular / portable power</t>
        </is>
      </c>
      <c r="D5012" s="12" t="inlineStr">
        <is>
          <t>Discrete device to JB JB-SC-2 CEMS shelter-DI01: 10 x 1 pr (field cables)</t>
        </is>
      </c>
      <c r="E5012" s="12" t="inlineStr"/>
      <c r="F5012" s="12" t="inlineStr">
        <is>
          <t>SC-2 CEMS shelter</t>
        </is>
      </c>
      <c r="G5012" s="12" t="inlineStr">
        <is>
          <t>JB-SC-2 CEMS shelter-DI01</t>
        </is>
      </c>
      <c r="H5012" s="12" t="inlineStr">
        <is>
          <t>SC-2 CEMS shelter</t>
        </is>
      </c>
      <c r="I5012" s="12" t="inlineStr">
        <is>
          <t>Instrumentation</t>
        </is>
      </c>
      <c r="J5012" s="12" t="inlineStr">
        <is>
          <t>Instrumentation PLTC / TC-ER 300 V, #18 twisted shielded pairs, overall shield</t>
        </is>
      </c>
      <c r="K5012" s="12" t="inlineStr">
        <is>
          <t>PLTC|1 pr|16</t>
        </is>
      </c>
      <c r="L5012" s="12" t="inlineStr">
        <is>
          <t>1 pr</t>
        </is>
      </c>
      <c r="M5012" s="12" t="inlineStr">
        <is>
          <t>16</t>
        </is>
      </c>
      <c r="N5012" s="12" t="n">
        <v>10</v>
      </c>
      <c r="O5012" s="12" t="n">
        <v>1</v>
      </c>
      <c r="P5012" s="12" t="n"/>
      <c r="Q5012" s="12" t="n"/>
      <c r="R5012" s="12" t="n"/>
      <c r="S5012" s="12" t="inlineStr">
        <is>
          <t>Tray / conduit</t>
        </is>
      </c>
      <c r="T5012" s="16" t="n">
        <v>57</v>
      </c>
      <c r="U5012" s="16" t="n">
        <v>10</v>
      </c>
      <c r="V5012" s="16">
        <f>ROUNDUP((T5012+U5012+2*'Read Me'!$B$13)*(1+'Read Me'!$B$12),-1)</f>
        <v/>
      </c>
      <c r="W5012" s="16">
        <f>V5012*N5012*O5012</f>
        <v/>
      </c>
      <c r="X5012" s="12">
        <f>IF(LEFT(I5012,2)="MV",2*N5012*IF(L5012="1/C",O5012,1),0)</f>
        <v/>
      </c>
      <c r="Y5012" s="12">
        <f>IF(OR(LEFT(K5012,4)="LVAX",LEFT(K5012,6)="MV15AX",LEFT(K5012,4)="CTAX",LEFT(K5012,2)="W|"),2*N5012*O5012,0)</f>
        <v/>
      </c>
      <c r="Z5012" s="12" t="inlineStr">
        <is>
          <t>device-to-JB field wiring, one cable per device</t>
        </is>
      </c>
      <c r="AA5012" s="12">
        <f>N5012*O5012</f>
        <v/>
      </c>
    </row>
    <row r="5013">
      <c r="A5013" s="12" t="inlineStr">
        <is>
          <t>I-I-0464</t>
        </is>
      </c>
      <c r="B5013" s="12" t="inlineStr">
        <is>
          <t>I</t>
        </is>
      </c>
      <c r="C5013" s="12" t="inlineStr">
        <is>
          <t>Modular / portable power</t>
        </is>
      </c>
      <c r="D5013" s="12" t="inlineStr">
        <is>
          <t>Home run JB-SC-2 CEMS shelter-DI01 to the control / marshalling room</t>
        </is>
      </c>
      <c r="E5013" s="12" t="inlineStr"/>
      <c r="F5013" s="12" t="inlineStr">
        <is>
          <t>SC-2 PCM + 15 kV GCB</t>
        </is>
      </c>
      <c r="G5013" s="12" t="inlineStr">
        <is>
          <t>JB-SC-2 CEMS shelter-DI01</t>
        </is>
      </c>
      <c r="H5013" s="12" t="inlineStr">
        <is>
          <t>SC-2 CEMS shelter</t>
        </is>
      </c>
      <c r="I5013" s="12" t="inlineStr">
        <is>
          <t>Instrumentation</t>
        </is>
      </c>
      <c r="J5013" s="12" t="inlineStr">
        <is>
          <t>Instrumentation PLTC / TC-ER 300 V, #18 twisted shielded pairs, overall shield</t>
        </is>
      </c>
      <c r="K5013" s="12" t="inlineStr">
        <is>
          <t>PLTC|24 pr|18</t>
        </is>
      </c>
      <c r="L5013" s="12" t="inlineStr">
        <is>
          <t>24 pr</t>
        </is>
      </c>
      <c r="M5013" s="12" t="inlineStr">
        <is>
          <t>18</t>
        </is>
      </c>
      <c r="N5013" s="12" t="n">
        <v>1</v>
      </c>
      <c r="O5013" s="12" t="n">
        <v>1</v>
      </c>
      <c r="P5013" s="12" t="n"/>
      <c r="Q5013" s="12" t="n"/>
      <c r="R5013" s="12" t="n"/>
      <c r="S5013" s="12" t="inlineStr">
        <is>
          <t>Duct bank</t>
        </is>
      </c>
      <c r="T5013" s="16" t="n">
        <v>25</v>
      </c>
      <c r="U5013" s="16" t="n">
        <v>197</v>
      </c>
      <c r="V5013" s="16">
        <f>ROUNDUP((T5013+U5013+2*'Read Me'!$B$13)*(1+'Read Me'!$B$12),-1)</f>
        <v/>
      </c>
      <c r="W5013" s="16">
        <f>V5013*N5013*O5013</f>
        <v/>
      </c>
      <c r="X5013" s="12">
        <f>IF(LEFT(I5013,2)="MV",2*N5013*IF(L5013="1/C",O5013,1),0)</f>
        <v/>
      </c>
      <c r="Y5013" s="12">
        <f>IF(OR(LEFT(K5013,4)="LVAX",LEFT(K5013,6)="MV15AX",LEFT(K5013,4)="CTAX",LEFT(K5013,2)="W|"),2*N5013*O5013,0)</f>
        <v/>
      </c>
      <c r="Z5013" s="12" t="inlineStr"/>
      <c r="AA5013" s="12">
        <f>N5013*O5013</f>
        <v/>
      </c>
    </row>
    <row r="5014">
      <c r="A5014" s="12" t="inlineStr">
        <is>
          <t>I-I-0465</t>
        </is>
      </c>
      <c r="B5014" s="12" t="inlineStr">
        <is>
          <t>I</t>
        </is>
      </c>
      <c r="C5014" s="12" t="inlineStr">
        <is>
          <t>Modular / portable power</t>
        </is>
      </c>
      <c r="D5014" s="12" t="inlineStr">
        <is>
          <t>Analog instrument to JB JB-SC-2 SCR / CO cata-AI01: 16 x 1 pr (field cables)</t>
        </is>
      </c>
      <c r="E5014" s="12" t="inlineStr"/>
      <c r="F5014" s="12" t="inlineStr">
        <is>
          <t>SC-2 SCR / CO catalyst</t>
        </is>
      </c>
      <c r="G5014" s="12" t="inlineStr">
        <is>
          <t>JB-SC-2 SCR / CO cata-AI01</t>
        </is>
      </c>
      <c r="H5014" s="12" t="inlineStr">
        <is>
          <t>SC-2 SCR / CO catalyst</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16</v>
      </c>
      <c r="O5014" s="12" t="n">
        <v>1</v>
      </c>
      <c r="P5014" s="12" t="n"/>
      <c r="Q5014" s="12" t="n"/>
      <c r="R5014" s="12" t="n"/>
      <c r="S5014" s="12" t="inlineStr">
        <is>
          <t>Tray / conduit</t>
        </is>
      </c>
      <c r="T5014" s="16" t="n">
        <v>74</v>
      </c>
      <c r="U5014" s="16" t="n">
        <v>10</v>
      </c>
      <c r="V5014" s="16">
        <f>ROUNDUP((T5014+U5014+2*'Read Me'!$B$13)*(1+'Read Me'!$B$12),-1)</f>
        <v/>
      </c>
      <c r="W5014" s="16">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I-I-0466</t>
        </is>
      </c>
      <c r="B5015" s="12" t="inlineStr">
        <is>
          <t>I</t>
        </is>
      </c>
      <c r="C5015" s="12" t="inlineStr">
        <is>
          <t>Modular / portable power</t>
        </is>
      </c>
      <c r="D5015" s="12" t="inlineStr">
        <is>
          <t>Home run JB-SC-2 SCR / CO cata-AI01 to the control / marshalling room</t>
        </is>
      </c>
      <c r="E5015" s="12" t="inlineStr"/>
      <c r="F5015" s="12" t="inlineStr">
        <is>
          <t>SC-2 PCM + 15 kV GCB</t>
        </is>
      </c>
      <c r="G5015" s="12" t="inlineStr">
        <is>
          <t>JB-SC-2 SCR / CO cata-AI01</t>
        </is>
      </c>
      <c r="H5015" s="12" t="inlineStr">
        <is>
          <t>SC-2 SCR / CO catalyst</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Duct bank</t>
        </is>
      </c>
      <c r="T5015" s="16" t="n">
        <v>25</v>
      </c>
      <c r="U5015" s="16" t="n">
        <v>122</v>
      </c>
      <c r="V5015" s="16">
        <f>ROUNDUP((T5015+U5015+2*'Read Me'!$B$13)*(1+'Read Me'!$B$12),-1)</f>
        <v/>
      </c>
      <c r="W5015" s="16">
        <f>V5015*N5015*O5015</f>
        <v/>
      </c>
      <c r="X5015" s="12">
        <f>IF(LEFT(I5015,2)="MV",2*N5015*IF(L5015="1/C",O5015,1),0)</f>
        <v/>
      </c>
      <c r="Y5015" s="12">
        <f>IF(OR(LEFT(K5015,4)="LVAX",LEFT(K5015,6)="MV15AX",LEFT(K5015,4)="CTAX",LEFT(K5015,2)="W|"),2*N5015*O5015,0)</f>
        <v/>
      </c>
      <c r="Z5015" s="12" t="inlineStr"/>
      <c r="AA5015" s="12">
        <f>N5015*O5015</f>
        <v/>
      </c>
    </row>
    <row r="5016">
      <c r="A5016" s="12" t="inlineStr">
        <is>
          <t>I-I-0467</t>
        </is>
      </c>
      <c r="B5016" s="12" t="inlineStr">
        <is>
          <t>I</t>
        </is>
      </c>
      <c r="C5016" s="12" t="inlineStr">
        <is>
          <t>Modular / portable power</t>
        </is>
      </c>
      <c r="D5016" s="12" t="inlineStr">
        <is>
          <t>Discrete device to JB JB-SC-2 SCR / CO cata-DI01: 8 x 1 pr (field cables)</t>
        </is>
      </c>
      <c r="E5016" s="12" t="inlineStr"/>
      <c r="F5016" s="12" t="inlineStr">
        <is>
          <t>SC-2 SCR / CO catalyst</t>
        </is>
      </c>
      <c r="G5016" s="12" t="inlineStr">
        <is>
          <t>JB-SC-2 SCR / CO cata-DI01</t>
        </is>
      </c>
      <c r="H5016" s="12" t="inlineStr">
        <is>
          <t>SC-2 SCR / CO catalyst</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8</v>
      </c>
      <c r="O5016" s="12" t="n">
        <v>1</v>
      </c>
      <c r="P5016" s="12" t="n"/>
      <c r="Q5016" s="12" t="n"/>
      <c r="R5016" s="12" t="n"/>
      <c r="S5016" s="12" t="inlineStr">
        <is>
          <t>Tray / conduit</t>
        </is>
      </c>
      <c r="T5016" s="16" t="n">
        <v>74</v>
      </c>
      <c r="U5016" s="16" t="n">
        <v>10</v>
      </c>
      <c r="V5016" s="16">
        <f>ROUNDUP((T5016+U5016+2*'Read Me'!$B$13)*(1+'Read Me'!$B$12),-1)</f>
        <v/>
      </c>
      <c r="W5016" s="16">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I-I-0468</t>
        </is>
      </c>
      <c r="B5017" s="12" t="inlineStr">
        <is>
          <t>I</t>
        </is>
      </c>
      <c r="C5017" s="12" t="inlineStr">
        <is>
          <t>Modular / portable power</t>
        </is>
      </c>
      <c r="D5017" s="12" t="inlineStr">
        <is>
          <t>Home run JB-SC-2 SCR / CO cata-DI01 to the control / marshalling room</t>
        </is>
      </c>
      <c r="E5017" s="12" t="inlineStr"/>
      <c r="F5017" s="12" t="inlineStr">
        <is>
          <t>SC-2 PCM + 15 kV GCB</t>
        </is>
      </c>
      <c r="G5017" s="12" t="inlineStr">
        <is>
          <t>JB-SC-2 SCR / CO cata-DI01</t>
        </is>
      </c>
      <c r="H5017" s="12" t="inlineStr">
        <is>
          <t>SC-2 SCR / CO catalyst</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Duct bank</t>
        </is>
      </c>
      <c r="T5017" s="16" t="n">
        <v>25</v>
      </c>
      <c r="U5017" s="16" t="n">
        <v>122</v>
      </c>
      <c r="V5017" s="16">
        <f>ROUNDUP((T5017+U5017+2*'Read Me'!$B$13)*(1+'Read Me'!$B$12),-1)</f>
        <v/>
      </c>
      <c r="W5017" s="16">
        <f>V5017*N5017*O5017</f>
        <v/>
      </c>
      <c r="X5017" s="12">
        <f>IF(LEFT(I5017,2)="MV",2*N5017*IF(L5017="1/C",O5017,1),0)</f>
        <v/>
      </c>
      <c r="Y5017" s="12">
        <f>IF(OR(LEFT(K5017,4)="LVAX",LEFT(K5017,6)="MV15AX",LEFT(K5017,4)="CTAX",LEFT(K5017,2)="W|"),2*N5017*O5017,0)</f>
        <v/>
      </c>
      <c r="Z5017" s="12" t="inlineStr"/>
      <c r="AA5017" s="12">
        <f>N5017*O5017</f>
        <v/>
      </c>
    </row>
    <row r="5018">
      <c r="A5018" s="12" t="inlineStr">
        <is>
          <t>I-I-0469</t>
        </is>
      </c>
      <c r="B5018" s="12" t="inlineStr">
        <is>
          <t>I</t>
        </is>
      </c>
      <c r="C5018" s="12" t="inlineStr">
        <is>
          <t>Modular / portable power</t>
        </is>
      </c>
      <c r="D5018" s="12" t="inlineStr">
        <is>
          <t>Analog instrument to JB JB-SC-2 ammonia flow--AI01: 8 x 1 pr (field cables)</t>
        </is>
      </c>
      <c r="E5018" s="12" t="inlineStr"/>
      <c r="F5018" s="12" t="inlineStr">
        <is>
          <t>SC-2 ammonia flow-control unit</t>
        </is>
      </c>
      <c r="G5018" s="12" t="inlineStr">
        <is>
          <t>JB-SC-2 ammonia flow--AI01</t>
        </is>
      </c>
      <c r="H5018" s="12" t="inlineStr">
        <is>
          <t>SC-2 ammonia flow-control unit</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8</v>
      </c>
      <c r="O5018" s="12" t="n">
        <v>1</v>
      </c>
      <c r="P5018" s="12" t="n"/>
      <c r="Q5018" s="12" t="n"/>
      <c r="R5018" s="12" t="n"/>
      <c r="S5018" s="12" t="inlineStr">
        <is>
          <t>Tray / conduit</t>
        </is>
      </c>
      <c r="T5018" s="16" t="n">
        <v>40</v>
      </c>
      <c r="U5018" s="16" t="n">
        <v>10</v>
      </c>
      <c r="V5018" s="16">
        <f>ROUNDUP((T5018+U5018+2*'Read Me'!$B$13)*(1+'Read Me'!$B$12),-1)</f>
        <v/>
      </c>
      <c r="W5018" s="16">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I-I-0470</t>
        </is>
      </c>
      <c r="B5019" s="12" t="inlineStr">
        <is>
          <t>I</t>
        </is>
      </c>
      <c r="C5019" s="12" t="inlineStr">
        <is>
          <t>Modular / portable power</t>
        </is>
      </c>
      <c r="D5019" s="12" t="inlineStr">
        <is>
          <t>Home run JB-SC-2 ammonia flow--AI01 to the control / marshalling room</t>
        </is>
      </c>
      <c r="E5019" s="12" t="inlineStr"/>
      <c r="F5019" s="12" t="inlineStr">
        <is>
          <t>SC-2 PCM + 15 kV GCB</t>
        </is>
      </c>
      <c r="G5019" s="12" t="inlineStr">
        <is>
          <t>JB-SC-2 ammonia flow--AI01</t>
        </is>
      </c>
      <c r="H5019" s="12" t="inlineStr">
        <is>
          <t>SC-2 ammonia flow-control unit</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Tray</t>
        </is>
      </c>
      <c r="T5019" s="16" t="n">
        <v>0</v>
      </c>
      <c r="U5019" s="16" t="n">
        <v>152</v>
      </c>
      <c r="V5019" s="16">
        <f>ROUNDUP((T5019+U5019+2*'Read Me'!$B$13)*(1+'Read Me'!$B$12),-1)</f>
        <v/>
      </c>
      <c r="W5019" s="16">
        <f>V5019*N5019*O5019</f>
        <v/>
      </c>
      <c r="X5019" s="12">
        <f>IF(LEFT(I5019,2)="MV",2*N5019*IF(L5019="1/C",O5019,1),0)</f>
        <v/>
      </c>
      <c r="Y5019" s="12">
        <f>IF(OR(LEFT(K5019,4)="LVAX",LEFT(K5019,6)="MV15AX",LEFT(K5019,4)="CTAX",LEFT(K5019,2)="W|"),2*N5019*O5019,0)</f>
        <v/>
      </c>
      <c r="Z5019" s="12" t="inlineStr"/>
      <c r="AA5019" s="12">
        <f>N5019*O5019</f>
        <v/>
      </c>
    </row>
    <row r="5020">
      <c r="A5020" s="12" t="inlineStr">
        <is>
          <t>I-I-0471</t>
        </is>
      </c>
      <c r="B5020" s="12" t="inlineStr">
        <is>
          <t>I</t>
        </is>
      </c>
      <c r="C5020" s="12" t="inlineStr">
        <is>
          <t>Modular / portable power</t>
        </is>
      </c>
      <c r="D5020" s="12" t="inlineStr">
        <is>
          <t>Discrete device to JB JB-SC-2 ammonia flow--DI01: 8 x 1 pr (field cables)</t>
        </is>
      </c>
      <c r="E5020" s="12" t="inlineStr"/>
      <c r="F5020" s="12" t="inlineStr">
        <is>
          <t>SC-2 ammonia flow-control unit</t>
        </is>
      </c>
      <c r="G5020" s="12" t="inlineStr">
        <is>
          <t>JB-SC-2 ammonia flow--DI01</t>
        </is>
      </c>
      <c r="H5020" s="12" t="inlineStr">
        <is>
          <t>SC-2 ammonia flow-control unit</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8</v>
      </c>
      <c r="O5020" s="12" t="n">
        <v>1</v>
      </c>
      <c r="P5020" s="12" t="n"/>
      <c r="Q5020" s="12" t="n"/>
      <c r="R5020" s="12" t="n"/>
      <c r="S5020" s="12" t="inlineStr">
        <is>
          <t>Tray / conduit</t>
        </is>
      </c>
      <c r="T5020" s="16" t="n">
        <v>40</v>
      </c>
      <c r="U5020" s="16" t="n">
        <v>10</v>
      </c>
      <c r="V5020" s="16">
        <f>ROUNDUP((T5020+U5020+2*'Read Me'!$B$13)*(1+'Read Me'!$B$12),-1)</f>
        <v/>
      </c>
      <c r="W5020" s="16">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I-I-0472</t>
        </is>
      </c>
      <c r="B5021" s="12" t="inlineStr">
        <is>
          <t>I</t>
        </is>
      </c>
      <c r="C5021" s="12" t="inlineStr">
        <is>
          <t>Modular / portable power</t>
        </is>
      </c>
      <c r="D5021" s="12" t="inlineStr">
        <is>
          <t>Home run JB-SC-2 ammonia flow--DI01 to the control / marshalling room</t>
        </is>
      </c>
      <c r="E5021" s="12" t="inlineStr"/>
      <c r="F5021" s="12" t="inlineStr">
        <is>
          <t>SC-2 PCM + 15 kV GCB</t>
        </is>
      </c>
      <c r="G5021" s="12" t="inlineStr">
        <is>
          <t>JB-SC-2 ammonia flow--DI01</t>
        </is>
      </c>
      <c r="H5021" s="12" t="inlineStr">
        <is>
          <t>SC-2 ammonia flow-control unit</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Tray</t>
        </is>
      </c>
      <c r="T5021" s="16" t="n">
        <v>0</v>
      </c>
      <c r="U5021" s="16" t="n">
        <v>152</v>
      </c>
      <c r="V5021" s="16">
        <f>ROUNDUP((T5021+U5021+2*'Read Me'!$B$13)*(1+'Read Me'!$B$12),-1)</f>
        <v/>
      </c>
      <c r="W5021" s="16">
        <f>V5021*N5021*O5021</f>
        <v/>
      </c>
      <c r="X5021" s="12">
        <f>IF(LEFT(I5021,2)="MV",2*N5021*IF(L5021="1/C",O5021,1),0)</f>
        <v/>
      </c>
      <c r="Y5021" s="12">
        <f>IF(OR(LEFT(K5021,4)="LVAX",LEFT(K5021,6)="MV15AX",LEFT(K5021,4)="CTAX",LEFT(K5021,2)="W|"),2*N5021*O5021,0)</f>
        <v/>
      </c>
      <c r="Z5021" s="12" t="inlineStr"/>
      <c r="AA5021" s="12">
        <f>N5021*O5021</f>
        <v/>
      </c>
    </row>
    <row r="5022">
      <c r="A5022" s="12" t="inlineStr">
        <is>
          <t>I-I-0473</t>
        </is>
      </c>
      <c r="B5022" s="12" t="inlineStr">
        <is>
          <t>I</t>
        </is>
      </c>
      <c r="C5022" s="12" t="inlineStr">
        <is>
          <t>Modular / portable power</t>
        </is>
      </c>
      <c r="D5022" s="12" t="inlineStr">
        <is>
          <t>Analog instrument to JB JB-SC-2 auxiliary ski-AI01: 14 x 1 pr (field cables)</t>
        </is>
      </c>
      <c r="E5022" s="12" t="inlineStr"/>
      <c r="F5022" s="12" t="inlineStr">
        <is>
          <t>SC-2 auxiliary skids: fuel-gas module, water-wash skid</t>
        </is>
      </c>
      <c r="G5022" s="12" t="inlineStr">
        <is>
          <t>JB-SC-2 auxiliary ski-AI01</t>
        </is>
      </c>
      <c r="H5022" s="12" t="inlineStr">
        <is>
          <t>SC-2 auxiliary skids: fuel-gas module, water-wash skid</t>
        </is>
      </c>
      <c r="I5022" s="12" t="inlineStr">
        <is>
          <t>Instrumentation</t>
        </is>
      </c>
      <c r="J5022" s="12" t="inlineStr">
        <is>
          <t>Instrumentation ITC / PLTC, IS, #18 shielded pairs, blue jacket</t>
        </is>
      </c>
      <c r="K5022" s="12" t="inlineStr">
        <is>
          <t>ITC|1 pr|16</t>
        </is>
      </c>
      <c r="L5022" s="12" t="inlineStr">
        <is>
          <t>1 pr</t>
        </is>
      </c>
      <c r="M5022" s="12" t="inlineStr">
        <is>
          <t>16</t>
        </is>
      </c>
      <c r="N5022" s="12" t="n">
        <v>14</v>
      </c>
      <c r="O5022" s="12" t="n">
        <v>1</v>
      </c>
      <c r="P5022" s="12" t="n"/>
      <c r="Q5022" s="12" t="n"/>
      <c r="R5022" s="12" t="n"/>
      <c r="S5022" s="12" t="inlineStr">
        <is>
          <t>Tray / conduit</t>
        </is>
      </c>
      <c r="T5022" s="16" t="n">
        <v>63</v>
      </c>
      <c r="U5022" s="16" t="n">
        <v>10</v>
      </c>
      <c r="V5022" s="16">
        <f>ROUNDUP((T5022+U5022+2*'Read Me'!$B$13)*(1+'Read Me'!$B$12),-1)</f>
        <v/>
      </c>
      <c r="W5022" s="16">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I-I-0474</t>
        </is>
      </c>
      <c r="B5023" s="12" t="inlineStr">
        <is>
          <t>I</t>
        </is>
      </c>
      <c r="C5023" s="12" t="inlineStr">
        <is>
          <t>Modular / portable power</t>
        </is>
      </c>
      <c r="D5023" s="12" t="inlineStr">
        <is>
          <t>Home run JB-SC-2 auxiliary ski-AI01 to the control / marshalling room</t>
        </is>
      </c>
      <c r="E5023" s="12" t="inlineStr"/>
      <c r="F5023" s="12" t="inlineStr">
        <is>
          <t>SC-2 PCM + 15 kV GCB</t>
        </is>
      </c>
      <c r="G5023" s="12" t="inlineStr">
        <is>
          <t>JB-SC-2 auxiliary ski-AI01</t>
        </is>
      </c>
      <c r="H5023" s="12" t="inlineStr">
        <is>
          <t>SC-2 auxiliary skids: fuel-gas module, water-wash skid</t>
        </is>
      </c>
      <c r="I5023" s="12" t="inlineStr">
        <is>
          <t>Instrumentation</t>
        </is>
      </c>
      <c r="J5023" s="12" t="inlineStr">
        <is>
          <t>Instrumentation ITC / PLTC, IS, #18 shielded pairs, blue jacket</t>
        </is>
      </c>
      <c r="K5023" s="12" t="inlineStr">
        <is>
          <t>ITC|24 pr|18</t>
        </is>
      </c>
      <c r="L5023" s="12" t="inlineStr">
        <is>
          <t>24 pr</t>
        </is>
      </c>
      <c r="M5023" s="12" t="inlineStr">
        <is>
          <t>18</t>
        </is>
      </c>
      <c r="N5023" s="12" t="n">
        <v>1</v>
      </c>
      <c r="O5023" s="12" t="n">
        <v>1</v>
      </c>
      <c r="P5023" s="12" t="n"/>
      <c r="Q5023" s="12" t="n"/>
      <c r="R5023" s="12" t="n"/>
      <c r="S5023" s="12" t="inlineStr">
        <is>
          <t>Tray</t>
        </is>
      </c>
      <c r="T5023" s="16" t="n">
        <v>0</v>
      </c>
      <c r="U5023" s="16" t="n">
        <v>77</v>
      </c>
      <c r="V5023" s="16">
        <f>ROUNDUP((T5023+U5023+2*'Read Me'!$B$13)*(1+'Read Me'!$B$12),-1)</f>
        <v/>
      </c>
      <c r="W5023" s="16">
        <f>V5023*N5023*O5023</f>
        <v/>
      </c>
      <c r="X5023" s="12">
        <f>IF(LEFT(I5023,2)="MV",2*N5023*IF(L5023="1/C",O5023,1),0)</f>
        <v/>
      </c>
      <c r="Y5023" s="12">
        <f>IF(OR(LEFT(K5023,4)="LVAX",LEFT(K5023,6)="MV15AX",LEFT(K5023,4)="CTAX",LEFT(K5023,2)="W|"),2*N5023*O5023,0)</f>
        <v/>
      </c>
      <c r="Z5023" s="12" t="inlineStr"/>
      <c r="AA5023" s="12">
        <f>N5023*O5023</f>
        <v/>
      </c>
    </row>
    <row r="5024">
      <c r="A5024" s="12" t="inlineStr">
        <is>
          <t>I-I-0475</t>
        </is>
      </c>
      <c r="B5024" s="12" t="inlineStr">
        <is>
          <t>I</t>
        </is>
      </c>
      <c r="C5024" s="12" t="inlineStr">
        <is>
          <t>Modular / portable power</t>
        </is>
      </c>
      <c r="D5024" s="12" t="inlineStr">
        <is>
          <t>Discrete device to JB JB-SC-2 auxiliary ski-DI01: 12 x 1 pr (field cables)</t>
        </is>
      </c>
      <c r="E5024" s="12" t="inlineStr"/>
      <c r="F5024" s="12" t="inlineStr">
        <is>
          <t>SC-2 auxiliary skids: fuel-gas module, water-wash skid</t>
        </is>
      </c>
      <c r="G5024" s="12" t="inlineStr">
        <is>
          <t>JB-SC-2 auxiliary ski-DI01</t>
        </is>
      </c>
      <c r="H5024" s="12" t="inlineStr">
        <is>
          <t>SC-2 auxiliary skids: fuel-gas module, water-wash skid</t>
        </is>
      </c>
      <c r="I5024" s="12" t="inlineStr">
        <is>
          <t>Instrumentation</t>
        </is>
      </c>
      <c r="J5024" s="12" t="inlineStr">
        <is>
          <t>Instrumentation ITC / PLTC, IS, #18 shielded pairs, blue jacket</t>
        </is>
      </c>
      <c r="K5024" s="12" t="inlineStr">
        <is>
          <t>ITC|1 pr|16</t>
        </is>
      </c>
      <c r="L5024" s="12" t="inlineStr">
        <is>
          <t>1 pr</t>
        </is>
      </c>
      <c r="M5024" s="12" t="inlineStr">
        <is>
          <t>16</t>
        </is>
      </c>
      <c r="N5024" s="12" t="n">
        <v>12</v>
      </c>
      <c r="O5024" s="12" t="n">
        <v>1</v>
      </c>
      <c r="P5024" s="12" t="n"/>
      <c r="Q5024" s="12" t="n"/>
      <c r="R5024" s="12" t="n"/>
      <c r="S5024" s="12" t="inlineStr">
        <is>
          <t>Tray / conduit</t>
        </is>
      </c>
      <c r="T5024" s="16" t="n">
        <v>63</v>
      </c>
      <c r="U5024" s="16" t="n">
        <v>10</v>
      </c>
      <c r="V5024" s="16">
        <f>ROUNDUP((T5024+U5024+2*'Read Me'!$B$13)*(1+'Read Me'!$B$12),-1)</f>
        <v/>
      </c>
      <c r="W5024" s="16">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I-I-0476</t>
        </is>
      </c>
      <c r="B5025" s="12" t="inlineStr">
        <is>
          <t>I</t>
        </is>
      </c>
      <c r="C5025" s="12" t="inlineStr">
        <is>
          <t>Modular / portable power</t>
        </is>
      </c>
      <c r="D5025" s="12" t="inlineStr">
        <is>
          <t>Home run JB-SC-2 auxiliary ski-DI01 to the control / marshalling room</t>
        </is>
      </c>
      <c r="E5025" s="12" t="inlineStr"/>
      <c r="F5025" s="12" t="inlineStr">
        <is>
          <t>SC-2 PCM + 15 kV GCB</t>
        </is>
      </c>
      <c r="G5025" s="12" t="inlineStr">
        <is>
          <t>JB-SC-2 auxiliary ski-DI01</t>
        </is>
      </c>
      <c r="H5025" s="12" t="inlineStr">
        <is>
          <t>SC-2 auxiliary skids: fuel-gas module, water-wash skid</t>
        </is>
      </c>
      <c r="I5025" s="12" t="inlineStr">
        <is>
          <t>Instrumentation</t>
        </is>
      </c>
      <c r="J5025" s="12" t="inlineStr">
        <is>
          <t>Instrumentation ITC / PLTC, IS, #18 shielded pairs, blue jacket</t>
        </is>
      </c>
      <c r="K5025" s="12" t="inlineStr">
        <is>
          <t>ITC|24 pr|18</t>
        </is>
      </c>
      <c r="L5025" s="12" t="inlineStr">
        <is>
          <t>24 pr</t>
        </is>
      </c>
      <c r="M5025" s="12" t="inlineStr">
        <is>
          <t>18</t>
        </is>
      </c>
      <c r="N5025" s="12" t="n">
        <v>1</v>
      </c>
      <c r="O5025" s="12" t="n">
        <v>1</v>
      </c>
      <c r="P5025" s="12" t="n"/>
      <c r="Q5025" s="12" t="n"/>
      <c r="R5025" s="12" t="n"/>
      <c r="S5025" s="12" t="inlineStr">
        <is>
          <t>Tray</t>
        </is>
      </c>
      <c r="T5025" s="16" t="n">
        <v>0</v>
      </c>
      <c r="U5025" s="16" t="n">
        <v>77</v>
      </c>
      <c r="V5025" s="16">
        <f>ROUNDUP((T5025+U5025+2*'Read Me'!$B$13)*(1+'Read Me'!$B$12),-1)</f>
        <v/>
      </c>
      <c r="W5025" s="16">
        <f>V5025*N5025*O5025</f>
        <v/>
      </c>
      <c r="X5025" s="12">
        <f>IF(LEFT(I5025,2)="MV",2*N5025*IF(L5025="1/C",O5025,1),0)</f>
        <v/>
      </c>
      <c r="Y5025" s="12">
        <f>IF(OR(LEFT(K5025,4)="LVAX",LEFT(K5025,6)="MV15AX",LEFT(K5025,4)="CTAX",LEFT(K5025,2)="W|"),2*N5025*O5025,0)</f>
        <v/>
      </c>
      <c r="Z5025" s="12" t="inlineStr"/>
      <c r="AA5025" s="12">
        <f>N5025*O5025</f>
        <v/>
      </c>
    </row>
    <row r="5026">
      <c r="A5026" s="12" t="inlineStr">
        <is>
          <t>I-I-0477</t>
        </is>
      </c>
      <c r="B5026" s="12" t="inlineStr">
        <is>
          <t>I</t>
        </is>
      </c>
      <c r="C5026" s="12" t="inlineStr">
        <is>
          <t>Modular / portable power</t>
        </is>
      </c>
      <c r="D5026" s="12" t="inlineStr">
        <is>
          <t>Analog instrument to JB JB-SC-2 lube-oil fin--AI01: 4 x 1 pr (field cables)</t>
        </is>
      </c>
      <c r="E5026" s="12" t="inlineStr"/>
      <c r="F5026" s="12" t="inlineStr">
        <is>
          <t>SC-2 lube-oil fin-fan cooler</t>
        </is>
      </c>
      <c r="G5026" s="12" t="inlineStr">
        <is>
          <t>JB-SC-2 lube-oil fin--AI01</t>
        </is>
      </c>
      <c r="H5026" s="12" t="inlineStr">
        <is>
          <t>SC-2 lube-oil fin-fan cooler</t>
        </is>
      </c>
      <c r="I5026" s="12" t="inlineStr">
        <is>
          <t>Instrumentation</t>
        </is>
      </c>
      <c r="J5026" s="12" t="inlineStr">
        <is>
          <t>Instrumentation PLTC / TC-ER 300 V, #18 twisted shielded pairs, overall shield</t>
        </is>
      </c>
      <c r="K5026" s="12" t="inlineStr">
        <is>
          <t>PLTC|1 pr|16</t>
        </is>
      </c>
      <c r="L5026" s="12" t="inlineStr">
        <is>
          <t>1 pr</t>
        </is>
      </c>
      <c r="M5026" s="12" t="inlineStr">
        <is>
          <t>16</t>
        </is>
      </c>
      <c r="N5026" s="12" t="n">
        <v>4</v>
      </c>
      <c r="O5026" s="12" t="n">
        <v>1</v>
      </c>
      <c r="P5026" s="12" t="n"/>
      <c r="Q5026" s="12" t="n"/>
      <c r="R5026" s="12" t="n"/>
      <c r="S5026" s="12" t="inlineStr">
        <is>
          <t>Tray / conduit</t>
        </is>
      </c>
      <c r="T5026" s="16" t="n">
        <v>46</v>
      </c>
      <c r="U5026" s="16" t="n">
        <v>10</v>
      </c>
      <c r="V5026" s="16">
        <f>ROUNDUP((T5026+U5026+2*'Read Me'!$B$13)*(1+'Read Me'!$B$12),-1)</f>
        <v/>
      </c>
      <c r="W5026" s="16">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I-I-0478</t>
        </is>
      </c>
      <c r="B5027" s="12" t="inlineStr">
        <is>
          <t>I</t>
        </is>
      </c>
      <c r="C5027" s="12" t="inlineStr">
        <is>
          <t>Modular / portable power</t>
        </is>
      </c>
      <c r="D5027" s="12" t="inlineStr">
        <is>
          <t>Home run JB-SC-2 lube-oil fin--AI01 to the control / marshalling room</t>
        </is>
      </c>
      <c r="E5027" s="12" t="inlineStr"/>
      <c r="F5027" s="12" t="inlineStr">
        <is>
          <t>SC-2 PCM + 15 kV GCB</t>
        </is>
      </c>
      <c r="G5027" s="12" t="inlineStr">
        <is>
          <t>JB-SC-2 lube-oil fin--AI01</t>
        </is>
      </c>
      <c r="H5027" s="12" t="inlineStr">
        <is>
          <t>SC-2 lube-oil fin-fan cooler</t>
        </is>
      </c>
      <c r="I5027" s="12" t="inlineStr">
        <is>
          <t>Instrumentation</t>
        </is>
      </c>
      <c r="J5027" s="12" t="inlineStr">
        <is>
          <t>Instrumentation PLTC / TC-ER 300 V, #18 twisted shielded pairs, overall shield</t>
        </is>
      </c>
      <c r="K5027" s="12" t="inlineStr">
        <is>
          <t>PLTC|24 pr|18</t>
        </is>
      </c>
      <c r="L5027" s="12" t="inlineStr">
        <is>
          <t>24 pr</t>
        </is>
      </c>
      <c r="M5027" s="12" t="inlineStr">
        <is>
          <t>18</t>
        </is>
      </c>
      <c r="N5027" s="12" t="n">
        <v>1</v>
      </c>
      <c r="O5027" s="12" t="n">
        <v>1</v>
      </c>
      <c r="P5027" s="12" t="n"/>
      <c r="Q5027" s="12" t="n"/>
      <c r="R5027" s="12" t="n"/>
      <c r="S5027" s="12" t="inlineStr">
        <is>
          <t>Tray</t>
        </is>
      </c>
      <c r="T5027" s="16" t="n">
        <v>0</v>
      </c>
      <c r="U5027" s="16" t="n">
        <v>82</v>
      </c>
      <c r="V5027" s="16">
        <f>ROUNDUP((T5027+U5027+2*'Read Me'!$B$13)*(1+'Read Me'!$B$12),-1)</f>
        <v/>
      </c>
      <c r="W5027" s="16">
        <f>V5027*N5027*O5027</f>
        <v/>
      </c>
      <c r="X5027" s="12">
        <f>IF(LEFT(I5027,2)="MV",2*N5027*IF(L5027="1/C",O5027,1),0)</f>
        <v/>
      </c>
      <c r="Y5027" s="12">
        <f>IF(OR(LEFT(K5027,4)="LVAX",LEFT(K5027,6)="MV15AX",LEFT(K5027,4)="CTAX",LEFT(K5027,2)="W|"),2*N5027*O5027,0)</f>
        <v/>
      </c>
      <c r="Z5027" s="12" t="inlineStr"/>
      <c r="AA5027" s="12">
        <f>N5027*O5027</f>
        <v/>
      </c>
    </row>
    <row r="5028">
      <c r="A5028" s="12" t="inlineStr">
        <is>
          <t>I-I-0479</t>
        </is>
      </c>
      <c r="B5028" s="12" t="inlineStr">
        <is>
          <t>I</t>
        </is>
      </c>
      <c r="C5028" s="12" t="inlineStr">
        <is>
          <t>Modular / portable power</t>
        </is>
      </c>
      <c r="D5028" s="12" t="inlineStr">
        <is>
          <t>Discrete device to JB JB-SC-2 lube-oil fin--DI01: 8 x 1 pr (field cables)</t>
        </is>
      </c>
      <c r="E5028" s="12" t="inlineStr"/>
      <c r="F5028" s="12" t="inlineStr">
        <is>
          <t>SC-2 lube-oil fin-fan cooler</t>
        </is>
      </c>
      <c r="G5028" s="12" t="inlineStr">
        <is>
          <t>JB-SC-2 lube-oil fin--DI01</t>
        </is>
      </c>
      <c r="H5028" s="12" t="inlineStr">
        <is>
          <t>SC-2 lube-oil fin-fan cooler</t>
        </is>
      </c>
      <c r="I5028" s="12" t="inlineStr">
        <is>
          <t>Instrumentation</t>
        </is>
      </c>
      <c r="J5028" s="12" t="inlineStr">
        <is>
          <t>Instrumentation PLTC / TC-ER 300 V, #18 twisted shielded pairs, overall shield</t>
        </is>
      </c>
      <c r="K5028" s="12" t="inlineStr">
        <is>
          <t>PLTC|1 pr|16</t>
        </is>
      </c>
      <c r="L5028" s="12" t="inlineStr">
        <is>
          <t>1 pr</t>
        </is>
      </c>
      <c r="M5028" s="12" t="inlineStr">
        <is>
          <t>16</t>
        </is>
      </c>
      <c r="N5028" s="12" t="n">
        <v>8</v>
      </c>
      <c r="O5028" s="12" t="n">
        <v>1</v>
      </c>
      <c r="P5028" s="12" t="n"/>
      <c r="Q5028" s="12" t="n"/>
      <c r="R5028" s="12" t="n"/>
      <c r="S5028" s="12" t="inlineStr">
        <is>
          <t>Tray / conduit</t>
        </is>
      </c>
      <c r="T5028" s="16" t="n">
        <v>46</v>
      </c>
      <c r="U5028" s="16" t="n">
        <v>10</v>
      </c>
      <c r="V5028" s="16">
        <f>ROUNDUP((T5028+U5028+2*'Read Me'!$B$13)*(1+'Read Me'!$B$12),-1)</f>
        <v/>
      </c>
      <c r="W5028" s="16">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I-I-0480</t>
        </is>
      </c>
      <c r="B5029" s="12" t="inlineStr">
        <is>
          <t>I</t>
        </is>
      </c>
      <c r="C5029" s="12" t="inlineStr">
        <is>
          <t>Modular / portable power</t>
        </is>
      </c>
      <c r="D5029" s="12" t="inlineStr">
        <is>
          <t>Home run JB-SC-2 lube-oil fin--DI01 to the control / marshalling room</t>
        </is>
      </c>
      <c r="E5029" s="12" t="inlineStr"/>
      <c r="F5029" s="12" t="inlineStr">
        <is>
          <t>SC-2 PCM + 15 kV GCB</t>
        </is>
      </c>
      <c r="G5029" s="12" t="inlineStr">
        <is>
          <t>JB-SC-2 lube-oil fin--DI01</t>
        </is>
      </c>
      <c r="H5029" s="12" t="inlineStr">
        <is>
          <t>SC-2 lube-oil fin-fan cooler</t>
        </is>
      </c>
      <c r="I5029" s="12" t="inlineStr">
        <is>
          <t>Instrumentation</t>
        </is>
      </c>
      <c r="J5029" s="12" t="inlineStr">
        <is>
          <t>Instrumentation PLTC / TC-ER 300 V, #18 twisted shielded pairs, overall shield</t>
        </is>
      </c>
      <c r="K5029" s="12" t="inlineStr">
        <is>
          <t>PLTC|24 pr|18</t>
        </is>
      </c>
      <c r="L5029" s="12" t="inlineStr">
        <is>
          <t>24 pr</t>
        </is>
      </c>
      <c r="M5029" s="12" t="inlineStr">
        <is>
          <t>18</t>
        </is>
      </c>
      <c r="N5029" s="12" t="n">
        <v>1</v>
      </c>
      <c r="O5029" s="12" t="n">
        <v>1</v>
      </c>
      <c r="P5029" s="12" t="n"/>
      <c r="Q5029" s="12" t="n"/>
      <c r="R5029" s="12" t="n"/>
      <c r="S5029" s="12" t="inlineStr">
        <is>
          <t>Tray</t>
        </is>
      </c>
      <c r="T5029" s="16" t="n">
        <v>0</v>
      </c>
      <c r="U5029" s="16" t="n">
        <v>82</v>
      </c>
      <c r="V5029" s="16">
        <f>ROUNDUP((T5029+U5029+2*'Read Me'!$B$13)*(1+'Read Me'!$B$12),-1)</f>
        <v/>
      </c>
      <c r="W5029" s="16">
        <f>V5029*N5029*O5029</f>
        <v/>
      </c>
      <c r="X5029" s="12">
        <f>IF(LEFT(I5029,2)="MV",2*N5029*IF(L5029="1/C",O5029,1),0)</f>
        <v/>
      </c>
      <c r="Y5029" s="12">
        <f>IF(OR(LEFT(K5029,4)="LVAX",LEFT(K5029,6)="MV15AX",LEFT(K5029,4)="CTAX",LEFT(K5029,2)="W|"),2*N5029*O5029,0)</f>
        <v/>
      </c>
      <c r="Z5029" s="12" t="inlineStr"/>
      <c r="AA5029" s="12">
        <f>N5029*O5029</f>
        <v/>
      </c>
    </row>
    <row r="5030">
      <c r="A5030" s="12" t="inlineStr">
        <is>
          <t>I-I-0481</t>
        </is>
      </c>
      <c r="B5030" s="12" t="inlineStr">
        <is>
          <t>I</t>
        </is>
      </c>
      <c r="C5030" s="12" t="inlineStr">
        <is>
          <t>Modular / portable power</t>
        </is>
      </c>
      <c r="D5030" s="12" t="inlineStr">
        <is>
          <t>Analog instrument to JB JB-SC-2 tempering-air-AI01: 8 x 1 pr (field cables)</t>
        </is>
      </c>
      <c r="E5030" s="12" t="inlineStr"/>
      <c r="F5030" s="12" t="inlineStr">
        <is>
          <t>SC-2 tempering-air fans (2 x 100 %)</t>
        </is>
      </c>
      <c r="G5030" s="12" t="inlineStr">
        <is>
          <t>JB-SC-2 tempering-air-AI01</t>
        </is>
      </c>
      <c r="H5030" s="12" t="inlineStr">
        <is>
          <t>SC-2 tempering-air fans (2 x 100 %)</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8</v>
      </c>
      <c r="O5030" s="12" t="n">
        <v>1</v>
      </c>
      <c r="P5030" s="12" t="n"/>
      <c r="Q5030" s="12" t="n"/>
      <c r="R5030" s="12" t="n"/>
      <c r="S5030" s="12" t="inlineStr">
        <is>
          <t>Tray / conduit</t>
        </is>
      </c>
      <c r="T5030" s="16" t="n">
        <v>53</v>
      </c>
      <c r="U5030" s="16" t="n">
        <v>10</v>
      </c>
      <c r="V5030" s="16">
        <f>ROUNDUP((T5030+U5030+2*'Read Me'!$B$13)*(1+'Read Me'!$B$12),-1)</f>
        <v/>
      </c>
      <c r="W5030" s="16">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I-I-0482</t>
        </is>
      </c>
      <c r="B5031" s="12" t="inlineStr">
        <is>
          <t>I</t>
        </is>
      </c>
      <c r="C5031" s="12" t="inlineStr">
        <is>
          <t>Modular / portable power</t>
        </is>
      </c>
      <c r="D5031" s="12" t="inlineStr">
        <is>
          <t>Home run JB-SC-2 tempering-air-AI01 to the control / marshalling room</t>
        </is>
      </c>
      <c r="E5031" s="12" t="inlineStr"/>
      <c r="F5031" s="12" t="inlineStr">
        <is>
          <t>SC-2 PCM + 15 kV GCB</t>
        </is>
      </c>
      <c r="G5031" s="12" t="inlineStr">
        <is>
          <t>JB-SC-2 tempering-air-AI01</t>
        </is>
      </c>
      <c r="H5031" s="12" t="inlineStr">
        <is>
          <t>SC-2 tempering-air fans (2 x 100 %)</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Duct bank</t>
        </is>
      </c>
      <c r="T5031" s="16" t="n">
        <v>25</v>
      </c>
      <c r="U5031" s="16" t="n">
        <v>124</v>
      </c>
      <c r="V5031" s="16">
        <f>ROUNDUP((T5031+U5031+2*'Read Me'!$B$13)*(1+'Read Me'!$B$12),-1)</f>
        <v/>
      </c>
      <c r="W5031" s="16">
        <f>V5031*N5031*O5031</f>
        <v/>
      </c>
      <c r="X5031" s="12">
        <f>IF(LEFT(I5031,2)="MV",2*N5031*IF(L5031="1/C",O5031,1),0)</f>
        <v/>
      </c>
      <c r="Y5031" s="12">
        <f>IF(OR(LEFT(K5031,4)="LVAX",LEFT(K5031,6)="MV15AX",LEFT(K5031,4)="CTAX",LEFT(K5031,2)="W|"),2*N5031*O5031,0)</f>
        <v/>
      </c>
      <c r="Z5031" s="12" t="inlineStr"/>
      <c r="AA5031" s="12">
        <f>N5031*O5031</f>
        <v/>
      </c>
    </row>
    <row r="5032">
      <c r="A5032" s="12" t="inlineStr">
        <is>
          <t>I-I-0483</t>
        </is>
      </c>
      <c r="B5032" s="12" t="inlineStr">
        <is>
          <t>I</t>
        </is>
      </c>
      <c r="C5032" s="12" t="inlineStr">
        <is>
          <t>Modular / portable power</t>
        </is>
      </c>
      <c r="D5032" s="12" t="inlineStr">
        <is>
          <t>Discrete device to JB JB-SC-2 tempering-air-DI01: 8 x 1 pr (field cables)</t>
        </is>
      </c>
      <c r="E5032" s="12" t="inlineStr"/>
      <c r="F5032" s="12" t="inlineStr">
        <is>
          <t>SC-2 tempering-air fans (2 x 100 %)</t>
        </is>
      </c>
      <c r="G5032" s="12" t="inlineStr">
        <is>
          <t>JB-SC-2 tempering-air-DI01</t>
        </is>
      </c>
      <c r="H5032" s="12" t="inlineStr">
        <is>
          <t>SC-2 tempering-air fans (2 x 100 %)</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8</v>
      </c>
      <c r="O5032" s="12" t="n">
        <v>1</v>
      </c>
      <c r="P5032" s="12" t="n"/>
      <c r="Q5032" s="12" t="n"/>
      <c r="R5032" s="12" t="n"/>
      <c r="S5032" s="12" t="inlineStr">
        <is>
          <t>Tray / conduit</t>
        </is>
      </c>
      <c r="T5032" s="16" t="n">
        <v>53</v>
      </c>
      <c r="U5032" s="16" t="n">
        <v>10</v>
      </c>
      <c r="V5032" s="16">
        <f>ROUNDUP((T5032+U5032+2*'Read Me'!$B$13)*(1+'Read Me'!$B$12),-1)</f>
        <v/>
      </c>
      <c r="W5032" s="16">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I-I-0484</t>
        </is>
      </c>
      <c r="B5033" s="12" t="inlineStr">
        <is>
          <t>I</t>
        </is>
      </c>
      <c r="C5033" s="12" t="inlineStr">
        <is>
          <t>Modular / portable power</t>
        </is>
      </c>
      <c r="D5033" s="12" t="inlineStr">
        <is>
          <t>Home run JB-SC-2 tempering-air-DI01 to the control / marshalling room</t>
        </is>
      </c>
      <c r="E5033" s="12" t="inlineStr"/>
      <c r="F5033" s="12" t="inlineStr">
        <is>
          <t>SC-2 PCM + 15 kV GCB</t>
        </is>
      </c>
      <c r="G5033" s="12" t="inlineStr">
        <is>
          <t>JB-SC-2 tempering-air-DI01</t>
        </is>
      </c>
      <c r="H5033" s="12" t="inlineStr">
        <is>
          <t>SC-2 tempering-air fans (2 x 100 %)</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Duct bank</t>
        </is>
      </c>
      <c r="T5033" s="16" t="n">
        <v>25</v>
      </c>
      <c r="U5033" s="16" t="n">
        <v>124</v>
      </c>
      <c r="V5033" s="16">
        <f>ROUNDUP((T5033+U5033+2*'Read Me'!$B$13)*(1+'Read Me'!$B$12),-1)</f>
        <v/>
      </c>
      <c r="W5033" s="16">
        <f>V5033*N5033*O5033</f>
        <v/>
      </c>
      <c r="X5033" s="12">
        <f>IF(LEFT(I5033,2)="MV",2*N5033*IF(L5033="1/C",O5033,1),0)</f>
        <v/>
      </c>
      <c r="Y5033" s="12">
        <f>IF(OR(LEFT(K5033,4)="LVAX",LEFT(K5033,6)="MV15AX",LEFT(K5033,4)="CTAX",LEFT(K5033,2)="W|"),2*N5033*O5033,0)</f>
        <v/>
      </c>
      <c r="Z5033" s="12" t="inlineStr"/>
      <c r="AA5033" s="12">
        <f>N5033*O5033</f>
        <v/>
      </c>
    </row>
    <row r="5034">
      <c r="A5034" s="12" t="inlineStr">
        <is>
          <t>I-I-0485</t>
        </is>
      </c>
      <c r="B5034" s="12" t="inlineStr">
        <is>
          <t>I</t>
        </is>
      </c>
      <c r="C5034" s="12" t="inlineStr">
        <is>
          <t>Modular / portable power</t>
        </is>
      </c>
      <c r="D5034" s="12" t="inlineStr">
        <is>
          <t>Analog instrument to JB JB-SC-2-AI01: 20 x 1 pr (field cables)</t>
        </is>
      </c>
      <c r="E5034" s="12" t="inlineStr">
        <is>
          <t>SC-2</t>
        </is>
      </c>
      <c r="F5034" s="12" t="inlineStr">
        <is>
          <t>SC-2: aeroderivative simple-cycle unit (LM6000 class)</t>
        </is>
      </c>
      <c r="G5034" s="12" t="inlineStr">
        <is>
          <t>JB-SC-2-AI01</t>
        </is>
      </c>
      <c r="H5034" s="12" t="inlineStr">
        <is>
          <t>SC-2: aeroderivative simple-cycle unit (LM6000 class)</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20</v>
      </c>
      <c r="O5034" s="12" t="n">
        <v>1</v>
      </c>
      <c r="P5034" s="12" t="n"/>
      <c r="Q5034" s="12" t="n"/>
      <c r="R5034" s="12" t="n"/>
      <c r="S5034" s="12" t="inlineStr">
        <is>
          <t>Tray / conduit</t>
        </is>
      </c>
      <c r="T5034" s="16" t="n">
        <v>99</v>
      </c>
      <c r="U5034" s="16" t="n">
        <v>10</v>
      </c>
      <c r="V5034" s="16">
        <f>ROUNDUP((T5034+U5034+2*'Read Me'!$B$13)*(1+'Read Me'!$B$12),-1)</f>
        <v/>
      </c>
      <c r="W5034" s="16">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I-I-0486</t>
        </is>
      </c>
      <c r="B5035" s="12" t="inlineStr">
        <is>
          <t>I</t>
        </is>
      </c>
      <c r="C5035" s="12" t="inlineStr">
        <is>
          <t>Modular / portable power</t>
        </is>
      </c>
      <c r="D5035" s="12" t="inlineStr">
        <is>
          <t>Home run JB-SC-2-AI01 to the control / marshalling room</t>
        </is>
      </c>
      <c r="E5035" s="12" t="inlineStr"/>
      <c r="F5035" s="12" t="inlineStr">
        <is>
          <t>SC-2 PCM + 15 kV GCB</t>
        </is>
      </c>
      <c r="G5035" s="12" t="inlineStr">
        <is>
          <t>JB-SC-2-AI01</t>
        </is>
      </c>
      <c r="H5035" s="12" t="inlineStr">
        <is>
          <t>SC-2: aeroderivative simple-cycle unit (LM6000 class)</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Duct bank</t>
        </is>
      </c>
      <c r="T5035" s="16" t="n">
        <v>25</v>
      </c>
      <c r="U5035" s="16" t="n">
        <v>32</v>
      </c>
      <c r="V5035" s="16">
        <f>ROUNDUP((T5035+U5035+2*'Read Me'!$B$13)*(1+'Read Me'!$B$12),-1)</f>
        <v/>
      </c>
      <c r="W5035" s="16">
        <f>V5035*N5035*O5035</f>
        <v/>
      </c>
      <c r="X5035" s="12">
        <f>IF(LEFT(I5035,2)="MV",2*N5035*IF(L5035="1/C",O5035,1),0)</f>
        <v/>
      </c>
      <c r="Y5035" s="12">
        <f>IF(OR(LEFT(K5035,4)="LVAX",LEFT(K5035,6)="MV15AX",LEFT(K5035,4)="CTAX",LEFT(K5035,2)="W|"),2*N5035*O5035,0)</f>
        <v/>
      </c>
      <c r="Z5035" s="12" t="inlineStr"/>
      <c r="AA5035" s="12">
        <f>N5035*O5035</f>
        <v/>
      </c>
    </row>
    <row r="5036">
      <c r="A5036" s="12" t="inlineStr">
        <is>
          <t>I-I-0487</t>
        </is>
      </c>
      <c r="B5036" s="12" t="inlineStr">
        <is>
          <t>I</t>
        </is>
      </c>
      <c r="C5036" s="12" t="inlineStr">
        <is>
          <t>Modular / portable power</t>
        </is>
      </c>
      <c r="D5036" s="12" t="inlineStr">
        <is>
          <t>Analog instrument to JB JB-SC-2-AI02: 20 x 1 pr (field cables)</t>
        </is>
      </c>
      <c r="E5036" s="12" t="inlineStr">
        <is>
          <t>SC-2</t>
        </is>
      </c>
      <c r="F5036" s="12" t="inlineStr">
        <is>
          <t>SC-2: aeroderivative simple-cycle unit (LM6000 class)</t>
        </is>
      </c>
      <c r="G5036" s="12" t="inlineStr">
        <is>
          <t>JB-SC-2-AI02</t>
        </is>
      </c>
      <c r="H5036" s="12" t="inlineStr">
        <is>
          <t>SC-2: aeroderivative simple-cycle unit (LM6000 class)</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20</v>
      </c>
      <c r="O5036" s="12" t="n">
        <v>1</v>
      </c>
      <c r="P5036" s="12" t="n"/>
      <c r="Q5036" s="12" t="n"/>
      <c r="R5036" s="12" t="n"/>
      <c r="S5036" s="12" t="inlineStr">
        <is>
          <t>Tray / conduit</t>
        </is>
      </c>
      <c r="T5036" s="16" t="n">
        <v>99</v>
      </c>
      <c r="U5036" s="16" t="n">
        <v>10</v>
      </c>
      <c r="V5036" s="16">
        <f>ROUNDUP((T5036+U5036+2*'Read Me'!$B$13)*(1+'Read Me'!$B$12),-1)</f>
        <v/>
      </c>
      <c r="W5036" s="16">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I-I-0488</t>
        </is>
      </c>
      <c r="B5037" s="12" t="inlineStr">
        <is>
          <t>I</t>
        </is>
      </c>
      <c r="C5037" s="12" t="inlineStr">
        <is>
          <t>Modular / portable power</t>
        </is>
      </c>
      <c r="D5037" s="12" t="inlineStr">
        <is>
          <t>Home run JB-SC-2-AI02 to the control / marshalling room</t>
        </is>
      </c>
      <c r="E5037" s="12" t="inlineStr"/>
      <c r="F5037" s="12" t="inlineStr">
        <is>
          <t>SC-2 PCM + 15 kV GCB</t>
        </is>
      </c>
      <c r="G5037" s="12" t="inlineStr">
        <is>
          <t>JB-SC-2-AI02</t>
        </is>
      </c>
      <c r="H5037" s="12" t="inlineStr">
        <is>
          <t>SC-2: aeroderivative simple-cycle unit (LM6000 class)</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Duct bank</t>
        </is>
      </c>
      <c r="T5037" s="16" t="n">
        <v>25</v>
      </c>
      <c r="U5037" s="16" t="n">
        <v>32</v>
      </c>
      <c r="V5037" s="16">
        <f>ROUNDUP((T5037+U5037+2*'Read Me'!$B$13)*(1+'Read Me'!$B$12),-1)</f>
        <v/>
      </c>
      <c r="W5037" s="16">
        <f>V5037*N5037*O5037</f>
        <v/>
      </c>
      <c r="X5037" s="12">
        <f>IF(LEFT(I5037,2)="MV",2*N5037*IF(L5037="1/C",O5037,1),0)</f>
        <v/>
      </c>
      <c r="Y5037" s="12">
        <f>IF(OR(LEFT(K5037,4)="LVAX",LEFT(K5037,6)="MV15AX",LEFT(K5037,4)="CTAX",LEFT(K5037,2)="W|"),2*N5037*O5037,0)</f>
        <v/>
      </c>
      <c r="Z5037" s="12" t="inlineStr"/>
      <c r="AA5037" s="12">
        <f>N5037*O5037</f>
        <v/>
      </c>
    </row>
    <row r="5038">
      <c r="A5038" s="12" t="inlineStr">
        <is>
          <t>I-I-0489</t>
        </is>
      </c>
      <c r="B5038" s="12" t="inlineStr">
        <is>
          <t>I</t>
        </is>
      </c>
      <c r="C5038" s="12" t="inlineStr">
        <is>
          <t>Modular / portable power</t>
        </is>
      </c>
      <c r="D5038" s="12" t="inlineStr">
        <is>
          <t>Analog instrument to JB JB-SC-2-AI03: 20 x 1 pr (field cables)</t>
        </is>
      </c>
      <c r="E5038" s="12" t="inlineStr">
        <is>
          <t>SC-2</t>
        </is>
      </c>
      <c r="F5038" s="12" t="inlineStr">
        <is>
          <t>SC-2: aeroderivative simple-cycle unit (LM6000 class)</t>
        </is>
      </c>
      <c r="G5038" s="12" t="inlineStr">
        <is>
          <t>JB-SC-2-AI03</t>
        </is>
      </c>
      <c r="H5038" s="12" t="inlineStr">
        <is>
          <t>SC-2: aeroderivative simple-cycle unit (LM6000 class)</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20</v>
      </c>
      <c r="O5038" s="12" t="n">
        <v>1</v>
      </c>
      <c r="P5038" s="12" t="n"/>
      <c r="Q5038" s="12" t="n"/>
      <c r="R5038" s="12" t="n"/>
      <c r="S5038" s="12" t="inlineStr">
        <is>
          <t>Tray / conduit</t>
        </is>
      </c>
      <c r="T5038" s="16" t="n">
        <v>99</v>
      </c>
      <c r="U5038" s="16" t="n">
        <v>10</v>
      </c>
      <c r="V5038" s="16">
        <f>ROUNDUP((T5038+U5038+2*'Read Me'!$B$13)*(1+'Read Me'!$B$12),-1)</f>
        <v/>
      </c>
      <c r="W5038" s="16">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I-I-0490</t>
        </is>
      </c>
      <c r="B5039" s="12" t="inlineStr">
        <is>
          <t>I</t>
        </is>
      </c>
      <c r="C5039" s="12" t="inlineStr">
        <is>
          <t>Modular / portable power</t>
        </is>
      </c>
      <c r="D5039" s="12" t="inlineStr">
        <is>
          <t>Home run JB-SC-2-AI03 to the control / marshalling room</t>
        </is>
      </c>
      <c r="E5039" s="12" t="inlineStr"/>
      <c r="F5039" s="12" t="inlineStr">
        <is>
          <t>SC-2 PCM + 15 kV GCB</t>
        </is>
      </c>
      <c r="G5039" s="12" t="inlineStr">
        <is>
          <t>JB-SC-2-AI03</t>
        </is>
      </c>
      <c r="H5039" s="12" t="inlineStr">
        <is>
          <t>SC-2: aeroderivative simple-cycle unit (LM6000 class)</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Duct bank</t>
        </is>
      </c>
      <c r="T5039" s="16" t="n">
        <v>25</v>
      </c>
      <c r="U5039" s="16" t="n">
        <v>32</v>
      </c>
      <c r="V5039" s="16">
        <f>ROUNDUP((T5039+U5039+2*'Read Me'!$B$13)*(1+'Read Me'!$B$12),-1)</f>
        <v/>
      </c>
      <c r="W5039" s="16">
        <f>V5039*N5039*O5039</f>
        <v/>
      </c>
      <c r="X5039" s="12">
        <f>IF(LEFT(I5039,2)="MV",2*N5039*IF(L5039="1/C",O5039,1),0)</f>
        <v/>
      </c>
      <c r="Y5039" s="12">
        <f>IF(OR(LEFT(K5039,4)="LVAX",LEFT(K5039,6)="MV15AX",LEFT(K5039,4)="CTAX",LEFT(K5039,2)="W|"),2*N5039*O5039,0)</f>
        <v/>
      </c>
      <c r="Z5039" s="12" t="inlineStr"/>
      <c r="AA5039" s="12">
        <f>N5039*O5039</f>
        <v/>
      </c>
    </row>
    <row r="5040">
      <c r="A5040" s="12" t="inlineStr">
        <is>
          <t>I-I-0491</t>
        </is>
      </c>
      <c r="B5040" s="12" t="inlineStr">
        <is>
          <t>I</t>
        </is>
      </c>
      <c r="C5040" s="12" t="inlineStr">
        <is>
          <t>Modular / portable power</t>
        </is>
      </c>
      <c r="D5040" s="12" t="inlineStr">
        <is>
          <t>Analog instrument to JB JB-SC-2-AI04: 20 x 1 pr (field cables)</t>
        </is>
      </c>
      <c r="E5040" s="12" t="inlineStr">
        <is>
          <t>SC-2</t>
        </is>
      </c>
      <c r="F5040" s="12" t="inlineStr">
        <is>
          <t>SC-2: aeroderivative simple-cycle unit (LM6000 class)</t>
        </is>
      </c>
      <c r="G5040" s="12" t="inlineStr">
        <is>
          <t>JB-SC-2-AI04</t>
        </is>
      </c>
      <c r="H5040" s="12" t="inlineStr">
        <is>
          <t>SC-2: aeroderivative simple-cycle unit (LM6000 class)</t>
        </is>
      </c>
      <c r="I5040" s="12" t="inlineStr">
        <is>
          <t>Instrumentation</t>
        </is>
      </c>
      <c r="J5040" s="12" t="inlineStr">
        <is>
          <t>Instrumentation PLTC / TC-ER 300 V, #18 twisted shielded pairs, overall shield</t>
        </is>
      </c>
      <c r="K5040" s="12" t="inlineStr">
        <is>
          <t>PLTC|1 pr|16</t>
        </is>
      </c>
      <c r="L5040" s="12" t="inlineStr">
        <is>
          <t>1 pr</t>
        </is>
      </c>
      <c r="M5040" s="12" t="inlineStr">
        <is>
          <t>16</t>
        </is>
      </c>
      <c r="N5040" s="12" t="n">
        <v>20</v>
      </c>
      <c r="O5040" s="12" t="n">
        <v>1</v>
      </c>
      <c r="P5040" s="12" t="n"/>
      <c r="Q5040" s="12" t="n"/>
      <c r="R5040" s="12" t="n"/>
      <c r="S5040" s="12" t="inlineStr">
        <is>
          <t>Tray / conduit</t>
        </is>
      </c>
      <c r="T5040" s="16" t="n">
        <v>99</v>
      </c>
      <c r="U5040" s="16" t="n">
        <v>10</v>
      </c>
      <c r="V5040" s="16">
        <f>ROUNDUP((T5040+U5040+2*'Read Me'!$B$13)*(1+'Read Me'!$B$12),-1)</f>
        <v/>
      </c>
      <c r="W5040" s="16">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I-I-0492</t>
        </is>
      </c>
      <c r="B5041" s="12" t="inlineStr">
        <is>
          <t>I</t>
        </is>
      </c>
      <c r="C5041" s="12" t="inlineStr">
        <is>
          <t>Modular / portable power</t>
        </is>
      </c>
      <c r="D5041" s="12" t="inlineStr">
        <is>
          <t>Home run JB-SC-2-AI04 to the control / marshalling room</t>
        </is>
      </c>
      <c r="E5041" s="12" t="inlineStr"/>
      <c r="F5041" s="12" t="inlineStr">
        <is>
          <t>SC-2 PCM + 15 kV GCB</t>
        </is>
      </c>
      <c r="G5041" s="12" t="inlineStr">
        <is>
          <t>JB-SC-2-AI04</t>
        </is>
      </c>
      <c r="H5041" s="12" t="inlineStr">
        <is>
          <t>SC-2: aeroderivative simple-cycle unit (LM6000 class)</t>
        </is>
      </c>
      <c r="I5041" s="12" t="inlineStr">
        <is>
          <t>Instrumentation</t>
        </is>
      </c>
      <c r="J5041" s="12" t="inlineStr">
        <is>
          <t>Instrumentation PLTC / TC-ER 300 V, #18 twisted shielded pairs, overall shield</t>
        </is>
      </c>
      <c r="K5041" s="12" t="inlineStr">
        <is>
          <t>PLTC|24 pr|18</t>
        </is>
      </c>
      <c r="L5041" s="12" t="inlineStr">
        <is>
          <t>24 pr</t>
        </is>
      </c>
      <c r="M5041" s="12" t="inlineStr">
        <is>
          <t>18</t>
        </is>
      </c>
      <c r="N5041" s="12" t="n">
        <v>1</v>
      </c>
      <c r="O5041" s="12" t="n">
        <v>1</v>
      </c>
      <c r="P5041" s="12" t="n"/>
      <c r="Q5041" s="12" t="n"/>
      <c r="R5041" s="12" t="n"/>
      <c r="S5041" s="12" t="inlineStr">
        <is>
          <t>Duct bank</t>
        </is>
      </c>
      <c r="T5041" s="16" t="n">
        <v>25</v>
      </c>
      <c r="U5041" s="16" t="n">
        <v>32</v>
      </c>
      <c r="V5041" s="16">
        <f>ROUNDUP((T5041+U5041+2*'Read Me'!$B$13)*(1+'Read Me'!$B$12),-1)</f>
        <v/>
      </c>
      <c r="W5041" s="16">
        <f>V5041*N5041*O5041</f>
        <v/>
      </c>
      <c r="X5041" s="12">
        <f>IF(LEFT(I5041,2)="MV",2*N5041*IF(L5041="1/C",O5041,1),0)</f>
        <v/>
      </c>
      <c r="Y5041" s="12">
        <f>IF(OR(LEFT(K5041,4)="LVAX",LEFT(K5041,6)="MV15AX",LEFT(K5041,4)="CTAX",LEFT(K5041,2)="W|"),2*N5041*O5041,0)</f>
        <v/>
      </c>
      <c r="Z5041" s="12" t="inlineStr"/>
      <c r="AA5041" s="12">
        <f>N5041*O5041</f>
        <v/>
      </c>
    </row>
    <row r="5042">
      <c r="A5042" s="12" t="inlineStr">
        <is>
          <t>I-I-0493</t>
        </is>
      </c>
      <c r="B5042" s="12" t="inlineStr">
        <is>
          <t>I</t>
        </is>
      </c>
      <c r="C5042" s="12" t="inlineStr">
        <is>
          <t>Modular / portable power</t>
        </is>
      </c>
      <c r="D5042" s="12" t="inlineStr">
        <is>
          <t>Analog instrument to JB JB-SC-2-AI05: 20 x 1 pr (field cables)</t>
        </is>
      </c>
      <c r="E5042" s="12" t="inlineStr">
        <is>
          <t>SC-2</t>
        </is>
      </c>
      <c r="F5042" s="12" t="inlineStr">
        <is>
          <t>SC-2: aeroderivative simple-cycle unit (LM6000 class)</t>
        </is>
      </c>
      <c r="G5042" s="12" t="inlineStr">
        <is>
          <t>JB-SC-2-AI05</t>
        </is>
      </c>
      <c r="H5042" s="12" t="inlineStr">
        <is>
          <t>SC-2: aeroderivative simple-cycle unit (LM6000 class)</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20</v>
      </c>
      <c r="O5042" s="12" t="n">
        <v>1</v>
      </c>
      <c r="P5042" s="12" t="n"/>
      <c r="Q5042" s="12" t="n"/>
      <c r="R5042" s="12" t="n"/>
      <c r="S5042" s="12" t="inlineStr">
        <is>
          <t>Tray / conduit</t>
        </is>
      </c>
      <c r="T5042" s="16" t="n">
        <v>99</v>
      </c>
      <c r="U5042" s="16" t="n">
        <v>10</v>
      </c>
      <c r="V5042" s="16">
        <f>ROUNDUP((T5042+U5042+2*'Read Me'!$B$13)*(1+'Read Me'!$B$12),-1)</f>
        <v/>
      </c>
      <c r="W5042" s="16">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I-I-0494</t>
        </is>
      </c>
      <c r="B5043" s="12" t="inlineStr">
        <is>
          <t>I</t>
        </is>
      </c>
      <c r="C5043" s="12" t="inlineStr">
        <is>
          <t>Modular / portable power</t>
        </is>
      </c>
      <c r="D5043" s="12" t="inlineStr">
        <is>
          <t>Home run JB-SC-2-AI05 to the control / marshalling room</t>
        </is>
      </c>
      <c r="E5043" s="12" t="inlineStr"/>
      <c r="F5043" s="12" t="inlineStr">
        <is>
          <t>SC-2 PCM + 15 kV GCB</t>
        </is>
      </c>
      <c r="G5043" s="12" t="inlineStr">
        <is>
          <t>JB-SC-2-AI05</t>
        </is>
      </c>
      <c r="H5043" s="12" t="inlineStr">
        <is>
          <t>SC-2: aeroderivative simple-cycle unit (LM6000 class)</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Duct bank</t>
        </is>
      </c>
      <c r="T5043" s="16" t="n">
        <v>25</v>
      </c>
      <c r="U5043" s="16" t="n">
        <v>32</v>
      </c>
      <c r="V5043" s="16">
        <f>ROUNDUP((T5043+U5043+2*'Read Me'!$B$13)*(1+'Read Me'!$B$12),-1)</f>
        <v/>
      </c>
      <c r="W5043" s="16">
        <f>V5043*N5043*O5043</f>
        <v/>
      </c>
      <c r="X5043" s="12">
        <f>IF(LEFT(I5043,2)="MV",2*N5043*IF(L5043="1/C",O5043,1),0)</f>
        <v/>
      </c>
      <c r="Y5043" s="12">
        <f>IF(OR(LEFT(K5043,4)="LVAX",LEFT(K5043,6)="MV15AX",LEFT(K5043,4)="CTAX",LEFT(K5043,2)="W|"),2*N5043*O5043,0)</f>
        <v/>
      </c>
      <c r="Z5043" s="12" t="inlineStr"/>
      <c r="AA5043" s="12">
        <f>N5043*O5043</f>
        <v/>
      </c>
    </row>
    <row r="5044">
      <c r="A5044" s="12" t="inlineStr">
        <is>
          <t>I-I-0495</t>
        </is>
      </c>
      <c r="B5044" s="12" t="inlineStr">
        <is>
          <t>I</t>
        </is>
      </c>
      <c r="C5044" s="12" t="inlineStr">
        <is>
          <t>Modular / portable power</t>
        </is>
      </c>
      <c r="D5044" s="12" t="inlineStr">
        <is>
          <t>Analog instrument to JB JB-SC-2-AI06: 20 x 1 pr (field cables)</t>
        </is>
      </c>
      <c r="E5044" s="12" t="inlineStr">
        <is>
          <t>SC-2</t>
        </is>
      </c>
      <c r="F5044" s="12" t="inlineStr">
        <is>
          <t>SC-2: aeroderivative simple-cycle unit (LM6000 class)</t>
        </is>
      </c>
      <c r="G5044" s="12" t="inlineStr">
        <is>
          <t>JB-SC-2-AI06</t>
        </is>
      </c>
      <c r="H5044" s="12" t="inlineStr">
        <is>
          <t>SC-2: aeroderivative simple-cycle unit (LM6000 class)</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20</v>
      </c>
      <c r="O5044" s="12" t="n">
        <v>1</v>
      </c>
      <c r="P5044" s="12" t="n"/>
      <c r="Q5044" s="12" t="n"/>
      <c r="R5044" s="12" t="n"/>
      <c r="S5044" s="12" t="inlineStr">
        <is>
          <t>Tray / conduit</t>
        </is>
      </c>
      <c r="T5044" s="16" t="n">
        <v>99</v>
      </c>
      <c r="U5044" s="16" t="n">
        <v>10</v>
      </c>
      <c r="V5044" s="16">
        <f>ROUNDUP((T5044+U5044+2*'Read Me'!$B$13)*(1+'Read Me'!$B$12),-1)</f>
        <v/>
      </c>
      <c r="W5044" s="16">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I-I-0496</t>
        </is>
      </c>
      <c r="B5045" s="12" t="inlineStr">
        <is>
          <t>I</t>
        </is>
      </c>
      <c r="C5045" s="12" t="inlineStr">
        <is>
          <t>Modular / portable power</t>
        </is>
      </c>
      <c r="D5045" s="12" t="inlineStr">
        <is>
          <t>Home run JB-SC-2-AI06 to the control / marshalling room</t>
        </is>
      </c>
      <c r="E5045" s="12" t="inlineStr"/>
      <c r="F5045" s="12" t="inlineStr">
        <is>
          <t>SC-2 PCM + 15 kV GCB</t>
        </is>
      </c>
      <c r="G5045" s="12" t="inlineStr">
        <is>
          <t>JB-SC-2-AI06</t>
        </is>
      </c>
      <c r="H5045" s="12" t="inlineStr">
        <is>
          <t>SC-2: aeroderivative simple-cycle unit (LM6000 class)</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Duct bank</t>
        </is>
      </c>
      <c r="T5045" s="16" t="n">
        <v>25</v>
      </c>
      <c r="U5045" s="16" t="n">
        <v>32</v>
      </c>
      <c r="V5045" s="16">
        <f>ROUNDUP((T5045+U5045+2*'Read Me'!$B$13)*(1+'Read Me'!$B$12),-1)</f>
        <v/>
      </c>
      <c r="W5045" s="16">
        <f>V5045*N5045*O5045</f>
        <v/>
      </c>
      <c r="X5045" s="12">
        <f>IF(LEFT(I5045,2)="MV",2*N5045*IF(L5045="1/C",O5045,1),0)</f>
        <v/>
      </c>
      <c r="Y5045" s="12">
        <f>IF(OR(LEFT(K5045,4)="LVAX",LEFT(K5045,6)="MV15AX",LEFT(K5045,4)="CTAX",LEFT(K5045,2)="W|"),2*N5045*O5045,0)</f>
        <v/>
      </c>
      <c r="Z5045" s="12" t="inlineStr"/>
      <c r="AA5045" s="12">
        <f>N5045*O5045</f>
        <v/>
      </c>
    </row>
    <row r="5046">
      <c r="A5046" s="12" t="inlineStr">
        <is>
          <t>I-I-0497</t>
        </is>
      </c>
      <c r="B5046" s="12" t="inlineStr">
        <is>
          <t>I</t>
        </is>
      </c>
      <c r="C5046" s="12" t="inlineStr">
        <is>
          <t>Modular / portable power</t>
        </is>
      </c>
      <c r="D5046" s="12" t="inlineStr">
        <is>
          <t>Analog instrument to JB JB-SC-2-AI07: 20 x 1 pr (field cables)</t>
        </is>
      </c>
      <c r="E5046" s="12" t="inlineStr">
        <is>
          <t>SC-2</t>
        </is>
      </c>
      <c r="F5046" s="12" t="inlineStr">
        <is>
          <t>SC-2: aeroderivative simple-cycle unit (LM6000 class)</t>
        </is>
      </c>
      <c r="G5046" s="12" t="inlineStr">
        <is>
          <t>JB-SC-2-AI07</t>
        </is>
      </c>
      <c r="H5046" s="12" t="inlineStr">
        <is>
          <t>SC-2: aeroderivative simple-cycle unit (LM6000 class)</t>
        </is>
      </c>
      <c r="I5046" s="12" t="inlineStr">
        <is>
          <t>Instrumentation</t>
        </is>
      </c>
      <c r="J5046" s="12" t="inlineStr">
        <is>
          <t>Instrumentation PLTC / TC-ER 300 V, #18 twisted shielded pairs, overall shield</t>
        </is>
      </c>
      <c r="K5046" s="12" t="inlineStr">
        <is>
          <t>PLTC|1 pr|16</t>
        </is>
      </c>
      <c r="L5046" s="12" t="inlineStr">
        <is>
          <t>1 pr</t>
        </is>
      </c>
      <c r="M5046" s="12" t="inlineStr">
        <is>
          <t>16</t>
        </is>
      </c>
      <c r="N5046" s="12" t="n">
        <v>20</v>
      </c>
      <c r="O5046" s="12" t="n">
        <v>1</v>
      </c>
      <c r="P5046" s="12" t="n"/>
      <c r="Q5046" s="12" t="n"/>
      <c r="R5046" s="12" t="n"/>
      <c r="S5046" s="12" t="inlineStr">
        <is>
          <t>Tray / conduit</t>
        </is>
      </c>
      <c r="T5046" s="16" t="n">
        <v>99</v>
      </c>
      <c r="U5046" s="16" t="n">
        <v>10</v>
      </c>
      <c r="V5046" s="16">
        <f>ROUNDUP((T5046+U5046+2*'Read Me'!$B$13)*(1+'Read Me'!$B$12),-1)</f>
        <v/>
      </c>
      <c r="W5046" s="16">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I-I-0498</t>
        </is>
      </c>
      <c r="B5047" s="12" t="inlineStr">
        <is>
          <t>I</t>
        </is>
      </c>
      <c r="C5047" s="12" t="inlineStr">
        <is>
          <t>Modular / portable power</t>
        </is>
      </c>
      <c r="D5047" s="12" t="inlineStr">
        <is>
          <t>Home run JB-SC-2-AI07 to the control / marshalling room</t>
        </is>
      </c>
      <c r="E5047" s="12" t="inlineStr"/>
      <c r="F5047" s="12" t="inlineStr">
        <is>
          <t>SC-2 PCM + 15 kV GCB</t>
        </is>
      </c>
      <c r="G5047" s="12" t="inlineStr">
        <is>
          <t>JB-SC-2-AI07</t>
        </is>
      </c>
      <c r="H5047" s="12" t="inlineStr">
        <is>
          <t>SC-2: aeroderivative simple-cycle unit (LM6000 class)</t>
        </is>
      </c>
      <c r="I5047" s="12" t="inlineStr">
        <is>
          <t>Instrumentation</t>
        </is>
      </c>
      <c r="J5047" s="12" t="inlineStr">
        <is>
          <t>Instrumentation PLTC / TC-ER 300 V, #18 twisted shielded pairs, overall shield</t>
        </is>
      </c>
      <c r="K5047" s="12" t="inlineStr">
        <is>
          <t>PLTC|24 pr|18</t>
        </is>
      </c>
      <c r="L5047" s="12" t="inlineStr">
        <is>
          <t>24 pr</t>
        </is>
      </c>
      <c r="M5047" s="12" t="inlineStr">
        <is>
          <t>18</t>
        </is>
      </c>
      <c r="N5047" s="12" t="n">
        <v>1</v>
      </c>
      <c r="O5047" s="12" t="n">
        <v>1</v>
      </c>
      <c r="P5047" s="12" t="n"/>
      <c r="Q5047" s="12" t="n"/>
      <c r="R5047" s="12" t="n"/>
      <c r="S5047" s="12" t="inlineStr">
        <is>
          <t>Duct bank</t>
        </is>
      </c>
      <c r="T5047" s="16" t="n">
        <v>25</v>
      </c>
      <c r="U5047" s="16" t="n">
        <v>32</v>
      </c>
      <c r="V5047" s="16">
        <f>ROUNDUP((T5047+U5047+2*'Read Me'!$B$13)*(1+'Read Me'!$B$12),-1)</f>
        <v/>
      </c>
      <c r="W5047" s="16">
        <f>V5047*N5047*O5047</f>
        <v/>
      </c>
      <c r="X5047" s="12">
        <f>IF(LEFT(I5047,2)="MV",2*N5047*IF(L5047="1/C",O5047,1),0)</f>
        <v/>
      </c>
      <c r="Y5047" s="12">
        <f>IF(OR(LEFT(K5047,4)="LVAX",LEFT(K5047,6)="MV15AX",LEFT(K5047,4)="CTAX",LEFT(K5047,2)="W|"),2*N5047*O5047,0)</f>
        <v/>
      </c>
      <c r="Z5047" s="12" t="inlineStr"/>
      <c r="AA5047" s="12">
        <f>N5047*O5047</f>
        <v/>
      </c>
    </row>
    <row r="5048">
      <c r="A5048" s="12" t="inlineStr">
        <is>
          <t>I-I-0499</t>
        </is>
      </c>
      <c r="B5048" s="12" t="inlineStr">
        <is>
          <t>I</t>
        </is>
      </c>
      <c r="C5048" s="12" t="inlineStr">
        <is>
          <t>Modular / portable power</t>
        </is>
      </c>
      <c r="D5048" s="12" t="inlineStr">
        <is>
          <t>Analog instrument to JB JB-SC-2-AI08: 10 x 1 pr (field cables)</t>
        </is>
      </c>
      <c r="E5048" s="12" t="inlineStr">
        <is>
          <t>SC-2</t>
        </is>
      </c>
      <c r="F5048" s="12" t="inlineStr">
        <is>
          <t>SC-2: aeroderivative simple-cycle unit (LM6000 class)</t>
        </is>
      </c>
      <c r="G5048" s="12" t="inlineStr">
        <is>
          <t>JB-SC-2-AI08</t>
        </is>
      </c>
      <c r="H5048" s="12" t="inlineStr">
        <is>
          <t>SC-2: aeroderivative simple-cycle unit (LM6000 class)</t>
        </is>
      </c>
      <c r="I5048" s="12" t="inlineStr">
        <is>
          <t>Instrumentation</t>
        </is>
      </c>
      <c r="J5048" s="12" t="inlineStr">
        <is>
          <t>Instrumentation PLTC / TC-ER 300 V, #18 twisted shielded pairs, overall shield</t>
        </is>
      </c>
      <c r="K5048" s="12" t="inlineStr">
        <is>
          <t>PLTC|1 pr|16</t>
        </is>
      </c>
      <c r="L5048" s="12" t="inlineStr">
        <is>
          <t>1 pr</t>
        </is>
      </c>
      <c r="M5048" s="12" t="inlineStr">
        <is>
          <t>16</t>
        </is>
      </c>
      <c r="N5048" s="12" t="n">
        <v>10</v>
      </c>
      <c r="O5048" s="12" t="n">
        <v>1</v>
      </c>
      <c r="P5048" s="12" t="n"/>
      <c r="Q5048" s="12" t="n"/>
      <c r="R5048" s="12" t="n"/>
      <c r="S5048" s="12" t="inlineStr">
        <is>
          <t>Tray / conduit</t>
        </is>
      </c>
      <c r="T5048" s="16" t="n">
        <v>99</v>
      </c>
      <c r="U5048" s="16" t="n">
        <v>10</v>
      </c>
      <c r="V5048" s="16">
        <f>ROUNDUP((T5048+U5048+2*'Read Me'!$B$13)*(1+'Read Me'!$B$12),-1)</f>
        <v/>
      </c>
      <c r="W5048" s="16">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I-I-0500</t>
        </is>
      </c>
      <c r="B5049" s="12" t="inlineStr">
        <is>
          <t>I</t>
        </is>
      </c>
      <c r="C5049" s="12" t="inlineStr">
        <is>
          <t>Modular / portable power</t>
        </is>
      </c>
      <c r="D5049" s="12" t="inlineStr">
        <is>
          <t>Home run JB-SC-2-AI08 to the control / marshalling room</t>
        </is>
      </c>
      <c r="E5049" s="12" t="inlineStr"/>
      <c r="F5049" s="12" t="inlineStr">
        <is>
          <t>SC-2 PCM + 15 kV GCB</t>
        </is>
      </c>
      <c r="G5049" s="12" t="inlineStr">
        <is>
          <t>JB-SC-2-AI08</t>
        </is>
      </c>
      <c r="H5049" s="12" t="inlineStr">
        <is>
          <t>SC-2: aeroderivative simple-cycle unit (LM6000 class)</t>
        </is>
      </c>
      <c r="I5049" s="12" t="inlineStr">
        <is>
          <t>Instrumentation</t>
        </is>
      </c>
      <c r="J5049" s="12" t="inlineStr">
        <is>
          <t>Instrumentation PLTC / TC-ER 300 V, #18 twisted shielded pairs, overall shield</t>
        </is>
      </c>
      <c r="K5049" s="12" t="inlineStr">
        <is>
          <t>PLTC|24 pr|18</t>
        </is>
      </c>
      <c r="L5049" s="12" t="inlineStr">
        <is>
          <t>24 pr</t>
        </is>
      </c>
      <c r="M5049" s="12" t="inlineStr">
        <is>
          <t>18</t>
        </is>
      </c>
      <c r="N5049" s="12" t="n">
        <v>1</v>
      </c>
      <c r="O5049" s="12" t="n">
        <v>1</v>
      </c>
      <c r="P5049" s="12" t="n"/>
      <c r="Q5049" s="12" t="n"/>
      <c r="R5049" s="12" t="n"/>
      <c r="S5049" s="12" t="inlineStr">
        <is>
          <t>Duct bank</t>
        </is>
      </c>
      <c r="T5049" s="16" t="n">
        <v>25</v>
      </c>
      <c r="U5049" s="16" t="n">
        <v>32</v>
      </c>
      <c r="V5049" s="16">
        <f>ROUNDUP((T5049+U5049+2*'Read Me'!$B$13)*(1+'Read Me'!$B$12),-1)</f>
        <v/>
      </c>
      <c r="W5049" s="16">
        <f>V5049*N5049*O5049</f>
        <v/>
      </c>
      <c r="X5049" s="12">
        <f>IF(LEFT(I5049,2)="MV",2*N5049*IF(L5049="1/C",O5049,1),0)</f>
        <v/>
      </c>
      <c r="Y5049" s="12">
        <f>IF(OR(LEFT(K5049,4)="LVAX",LEFT(K5049,6)="MV15AX",LEFT(K5049,4)="CTAX",LEFT(K5049,2)="W|"),2*N5049*O5049,0)</f>
        <v/>
      </c>
      <c r="Z5049" s="12" t="inlineStr"/>
      <c r="AA5049" s="12">
        <f>N5049*O5049</f>
        <v/>
      </c>
    </row>
    <row r="5050">
      <c r="A5050" s="12" t="inlineStr">
        <is>
          <t>I-I-0501</t>
        </is>
      </c>
      <c r="B5050" s="12" t="inlineStr">
        <is>
          <t>I</t>
        </is>
      </c>
      <c r="C5050" s="12" t="inlineStr">
        <is>
          <t>Modular / portable power</t>
        </is>
      </c>
      <c r="D5050" s="12" t="inlineStr">
        <is>
          <t>Discrete device to JB JB-SC-2-DI01: 20 x 1 pr (field cables)</t>
        </is>
      </c>
      <c r="E5050" s="12" t="inlineStr">
        <is>
          <t>SC-2</t>
        </is>
      </c>
      <c r="F5050" s="12" t="inlineStr">
        <is>
          <t>SC-2: aeroderivative simple-cycle unit (LM6000 class)</t>
        </is>
      </c>
      <c r="G5050" s="12" t="inlineStr">
        <is>
          <t>JB-SC-2-DI01</t>
        </is>
      </c>
      <c r="H5050" s="12" t="inlineStr">
        <is>
          <t>SC-2: aeroderivative simple-cycle unit (LM6000 class)</t>
        </is>
      </c>
      <c r="I5050" s="12" t="inlineStr">
        <is>
          <t>Instrumentation</t>
        </is>
      </c>
      <c r="J5050" s="12" t="inlineStr">
        <is>
          <t>Instrumentation PLTC / TC-ER 300 V, #18 twisted shielded pairs, overall shield</t>
        </is>
      </c>
      <c r="K5050" s="12" t="inlineStr">
        <is>
          <t>PLTC|1 pr|16</t>
        </is>
      </c>
      <c r="L5050" s="12" t="inlineStr">
        <is>
          <t>1 pr</t>
        </is>
      </c>
      <c r="M5050" s="12" t="inlineStr">
        <is>
          <t>16</t>
        </is>
      </c>
      <c r="N5050" s="12" t="n">
        <v>20</v>
      </c>
      <c r="O5050" s="12" t="n">
        <v>1</v>
      </c>
      <c r="P5050" s="12" t="n"/>
      <c r="Q5050" s="12" t="n"/>
      <c r="R5050" s="12" t="n"/>
      <c r="S5050" s="12" t="inlineStr">
        <is>
          <t>Tray / conduit</t>
        </is>
      </c>
      <c r="T5050" s="16" t="n">
        <v>99</v>
      </c>
      <c r="U5050" s="16" t="n">
        <v>10</v>
      </c>
      <c r="V5050" s="16">
        <f>ROUNDUP((T5050+U5050+2*'Read Me'!$B$13)*(1+'Read Me'!$B$12),-1)</f>
        <v/>
      </c>
      <c r="W5050" s="16">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I-I-0502</t>
        </is>
      </c>
      <c r="B5051" s="12" t="inlineStr">
        <is>
          <t>I</t>
        </is>
      </c>
      <c r="C5051" s="12" t="inlineStr">
        <is>
          <t>Modular / portable power</t>
        </is>
      </c>
      <c r="D5051" s="12" t="inlineStr">
        <is>
          <t>Home run JB-SC-2-DI01 to the control / marshalling room</t>
        </is>
      </c>
      <c r="E5051" s="12" t="inlineStr"/>
      <c r="F5051" s="12" t="inlineStr">
        <is>
          <t>SC-2 PCM + 15 kV GCB</t>
        </is>
      </c>
      <c r="G5051" s="12" t="inlineStr">
        <is>
          <t>JB-SC-2-DI01</t>
        </is>
      </c>
      <c r="H5051" s="12" t="inlineStr">
        <is>
          <t>SC-2: aeroderivative simple-cycle unit (LM6000 class)</t>
        </is>
      </c>
      <c r="I5051" s="12" t="inlineStr">
        <is>
          <t>Instrumentation</t>
        </is>
      </c>
      <c r="J5051" s="12" t="inlineStr">
        <is>
          <t>Instrumentation PLTC / TC-ER 300 V, #18 twisted shielded pairs, overall shield</t>
        </is>
      </c>
      <c r="K5051" s="12" t="inlineStr">
        <is>
          <t>PLTC|24 pr|18</t>
        </is>
      </c>
      <c r="L5051" s="12" t="inlineStr">
        <is>
          <t>24 pr</t>
        </is>
      </c>
      <c r="M5051" s="12" t="inlineStr">
        <is>
          <t>18</t>
        </is>
      </c>
      <c r="N5051" s="12" t="n">
        <v>1</v>
      </c>
      <c r="O5051" s="12" t="n">
        <v>1</v>
      </c>
      <c r="P5051" s="12" t="n"/>
      <c r="Q5051" s="12" t="n"/>
      <c r="R5051" s="12" t="n"/>
      <c r="S5051" s="12" t="inlineStr">
        <is>
          <t>Duct bank</t>
        </is>
      </c>
      <c r="T5051" s="16" t="n">
        <v>25</v>
      </c>
      <c r="U5051" s="16" t="n">
        <v>32</v>
      </c>
      <c r="V5051" s="16">
        <f>ROUNDUP((T5051+U5051+2*'Read Me'!$B$13)*(1+'Read Me'!$B$12),-1)</f>
        <v/>
      </c>
      <c r="W5051" s="16">
        <f>V5051*N5051*O5051</f>
        <v/>
      </c>
      <c r="X5051" s="12">
        <f>IF(LEFT(I5051,2)="MV",2*N5051*IF(L5051="1/C",O5051,1),0)</f>
        <v/>
      </c>
      <c r="Y5051" s="12">
        <f>IF(OR(LEFT(K5051,4)="LVAX",LEFT(K5051,6)="MV15AX",LEFT(K5051,4)="CTAX",LEFT(K5051,2)="W|"),2*N5051*O5051,0)</f>
        <v/>
      </c>
      <c r="Z5051" s="12" t="inlineStr"/>
      <c r="AA5051" s="12">
        <f>N5051*O5051</f>
        <v/>
      </c>
    </row>
    <row r="5052">
      <c r="A5052" s="12" t="inlineStr">
        <is>
          <t>I-I-0503</t>
        </is>
      </c>
      <c r="B5052" s="12" t="inlineStr">
        <is>
          <t>I</t>
        </is>
      </c>
      <c r="C5052" s="12" t="inlineStr">
        <is>
          <t>Modular / portable power</t>
        </is>
      </c>
      <c r="D5052" s="12" t="inlineStr">
        <is>
          <t>Discrete device to JB JB-SC-2-DI02: 20 x 1 pr (field cables)</t>
        </is>
      </c>
      <c r="E5052" s="12" t="inlineStr">
        <is>
          <t>SC-2</t>
        </is>
      </c>
      <c r="F5052" s="12" t="inlineStr">
        <is>
          <t>SC-2: aeroderivative simple-cycle unit (LM6000 class)</t>
        </is>
      </c>
      <c r="G5052" s="12" t="inlineStr">
        <is>
          <t>JB-SC-2-DI02</t>
        </is>
      </c>
      <c r="H5052" s="12" t="inlineStr">
        <is>
          <t>SC-2: aeroderivative simple-cycle unit (LM6000 class)</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20</v>
      </c>
      <c r="O5052" s="12" t="n">
        <v>1</v>
      </c>
      <c r="P5052" s="12" t="n"/>
      <c r="Q5052" s="12" t="n"/>
      <c r="R5052" s="12" t="n"/>
      <c r="S5052" s="12" t="inlineStr">
        <is>
          <t>Tray / conduit</t>
        </is>
      </c>
      <c r="T5052" s="16" t="n">
        <v>99</v>
      </c>
      <c r="U5052" s="16" t="n">
        <v>10</v>
      </c>
      <c r="V5052" s="16">
        <f>ROUNDUP((T5052+U5052+2*'Read Me'!$B$13)*(1+'Read Me'!$B$12),-1)</f>
        <v/>
      </c>
      <c r="W5052" s="16">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I-I-0504</t>
        </is>
      </c>
      <c r="B5053" s="12" t="inlineStr">
        <is>
          <t>I</t>
        </is>
      </c>
      <c r="C5053" s="12" t="inlineStr">
        <is>
          <t>Modular / portable power</t>
        </is>
      </c>
      <c r="D5053" s="12" t="inlineStr">
        <is>
          <t>Home run JB-SC-2-DI02 to the control / marshalling room</t>
        </is>
      </c>
      <c r="E5053" s="12" t="inlineStr"/>
      <c r="F5053" s="12" t="inlineStr">
        <is>
          <t>SC-2 PCM + 15 kV GCB</t>
        </is>
      </c>
      <c r="G5053" s="12" t="inlineStr">
        <is>
          <t>JB-SC-2-DI02</t>
        </is>
      </c>
      <c r="H5053" s="12" t="inlineStr">
        <is>
          <t>SC-2: aeroderivative simple-cycle unit (LM6000 class)</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Duct bank</t>
        </is>
      </c>
      <c r="T5053" s="16" t="n">
        <v>25</v>
      </c>
      <c r="U5053" s="16" t="n">
        <v>32</v>
      </c>
      <c r="V5053" s="16">
        <f>ROUNDUP((T5053+U5053+2*'Read Me'!$B$13)*(1+'Read Me'!$B$12),-1)</f>
        <v/>
      </c>
      <c r="W5053" s="16">
        <f>V5053*N5053*O5053</f>
        <v/>
      </c>
      <c r="X5053" s="12">
        <f>IF(LEFT(I5053,2)="MV",2*N5053*IF(L5053="1/C",O5053,1),0)</f>
        <v/>
      </c>
      <c r="Y5053" s="12">
        <f>IF(OR(LEFT(K5053,4)="LVAX",LEFT(K5053,6)="MV15AX",LEFT(K5053,4)="CTAX",LEFT(K5053,2)="W|"),2*N5053*O5053,0)</f>
        <v/>
      </c>
      <c r="Z5053" s="12" t="inlineStr"/>
      <c r="AA5053" s="12">
        <f>N5053*O5053</f>
        <v/>
      </c>
    </row>
    <row r="5054">
      <c r="A5054" s="12" t="inlineStr">
        <is>
          <t>I-I-0505</t>
        </is>
      </c>
      <c r="B5054" s="12" t="inlineStr">
        <is>
          <t>I</t>
        </is>
      </c>
      <c r="C5054" s="12" t="inlineStr">
        <is>
          <t>Modular / portable power</t>
        </is>
      </c>
      <c r="D5054" s="12" t="inlineStr">
        <is>
          <t>Discrete device to JB JB-SC-2-DI03: 20 x 1 pr (field cables)</t>
        </is>
      </c>
      <c r="E5054" s="12" t="inlineStr">
        <is>
          <t>SC-2</t>
        </is>
      </c>
      <c r="F5054" s="12" t="inlineStr">
        <is>
          <t>SC-2: aeroderivative simple-cycle unit (LM6000 class)</t>
        </is>
      </c>
      <c r="G5054" s="12" t="inlineStr">
        <is>
          <t>JB-SC-2-DI03</t>
        </is>
      </c>
      <c r="H5054" s="12" t="inlineStr">
        <is>
          <t>SC-2: aeroderivative simple-cycle unit (LM6000 class)</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20</v>
      </c>
      <c r="O5054" s="12" t="n">
        <v>1</v>
      </c>
      <c r="P5054" s="12" t="n"/>
      <c r="Q5054" s="12" t="n"/>
      <c r="R5054" s="12" t="n"/>
      <c r="S5054" s="12" t="inlineStr">
        <is>
          <t>Tray / conduit</t>
        </is>
      </c>
      <c r="T5054" s="16" t="n">
        <v>99</v>
      </c>
      <c r="U5054" s="16" t="n">
        <v>10</v>
      </c>
      <c r="V5054" s="16">
        <f>ROUNDUP((T5054+U5054+2*'Read Me'!$B$13)*(1+'Read Me'!$B$12),-1)</f>
        <v/>
      </c>
      <c r="W5054" s="16">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I-I-0506</t>
        </is>
      </c>
      <c r="B5055" s="12" t="inlineStr">
        <is>
          <t>I</t>
        </is>
      </c>
      <c r="C5055" s="12" t="inlineStr">
        <is>
          <t>Modular / portable power</t>
        </is>
      </c>
      <c r="D5055" s="12" t="inlineStr">
        <is>
          <t>Home run JB-SC-2-DI03 to the control / marshalling room</t>
        </is>
      </c>
      <c r="E5055" s="12" t="inlineStr"/>
      <c r="F5055" s="12" t="inlineStr">
        <is>
          <t>SC-2 PCM + 15 kV GCB</t>
        </is>
      </c>
      <c r="G5055" s="12" t="inlineStr">
        <is>
          <t>JB-SC-2-DI03</t>
        </is>
      </c>
      <c r="H5055" s="12" t="inlineStr">
        <is>
          <t>SC-2: aeroderivative simple-cycle unit (LM6000 class)</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Duct bank</t>
        </is>
      </c>
      <c r="T5055" s="16" t="n">
        <v>25</v>
      </c>
      <c r="U5055" s="16" t="n">
        <v>32</v>
      </c>
      <c r="V5055" s="16">
        <f>ROUNDUP((T5055+U5055+2*'Read Me'!$B$13)*(1+'Read Me'!$B$12),-1)</f>
        <v/>
      </c>
      <c r="W5055" s="16">
        <f>V5055*N5055*O5055</f>
        <v/>
      </c>
      <c r="X5055" s="12">
        <f>IF(LEFT(I5055,2)="MV",2*N5055*IF(L5055="1/C",O5055,1),0)</f>
        <v/>
      </c>
      <c r="Y5055" s="12">
        <f>IF(OR(LEFT(K5055,4)="LVAX",LEFT(K5055,6)="MV15AX",LEFT(K5055,4)="CTAX",LEFT(K5055,2)="W|"),2*N5055*O5055,0)</f>
        <v/>
      </c>
      <c r="Z5055" s="12" t="inlineStr"/>
      <c r="AA5055" s="12">
        <f>N5055*O5055</f>
        <v/>
      </c>
    </row>
    <row r="5056">
      <c r="A5056" s="12" t="inlineStr">
        <is>
          <t>I-I-0507</t>
        </is>
      </c>
      <c r="B5056" s="12" t="inlineStr">
        <is>
          <t>I</t>
        </is>
      </c>
      <c r="C5056" s="12" t="inlineStr">
        <is>
          <t>Modular / portable power</t>
        </is>
      </c>
      <c r="D5056" s="12" t="inlineStr">
        <is>
          <t>Discrete device to JB JB-SC-2-DI04: 20 x 1 pr (field cables)</t>
        </is>
      </c>
      <c r="E5056" s="12" t="inlineStr">
        <is>
          <t>SC-2</t>
        </is>
      </c>
      <c r="F5056" s="12" t="inlineStr">
        <is>
          <t>SC-2: aeroderivative simple-cycle unit (LM6000 class)</t>
        </is>
      </c>
      <c r="G5056" s="12" t="inlineStr">
        <is>
          <t>JB-SC-2-DI04</t>
        </is>
      </c>
      <c r="H5056" s="12" t="inlineStr">
        <is>
          <t>SC-2: aeroderivative simple-cycle unit (LM6000 class)</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20</v>
      </c>
      <c r="O5056" s="12" t="n">
        <v>1</v>
      </c>
      <c r="P5056" s="12" t="n"/>
      <c r="Q5056" s="12" t="n"/>
      <c r="R5056" s="12" t="n"/>
      <c r="S5056" s="12" t="inlineStr">
        <is>
          <t>Tray / conduit</t>
        </is>
      </c>
      <c r="T5056" s="16" t="n">
        <v>99</v>
      </c>
      <c r="U5056" s="16" t="n">
        <v>10</v>
      </c>
      <c r="V5056" s="16">
        <f>ROUNDUP((T5056+U5056+2*'Read Me'!$B$13)*(1+'Read Me'!$B$12),-1)</f>
        <v/>
      </c>
      <c r="W5056" s="16">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I-I-0508</t>
        </is>
      </c>
      <c r="B5057" s="12" t="inlineStr">
        <is>
          <t>I</t>
        </is>
      </c>
      <c r="C5057" s="12" t="inlineStr">
        <is>
          <t>Modular / portable power</t>
        </is>
      </c>
      <c r="D5057" s="12" t="inlineStr">
        <is>
          <t>Home run JB-SC-2-DI04 to the control / marshalling room</t>
        </is>
      </c>
      <c r="E5057" s="12" t="inlineStr"/>
      <c r="F5057" s="12" t="inlineStr">
        <is>
          <t>SC-2 PCM + 15 kV GCB</t>
        </is>
      </c>
      <c r="G5057" s="12" t="inlineStr">
        <is>
          <t>JB-SC-2-DI04</t>
        </is>
      </c>
      <c r="H5057" s="12" t="inlineStr">
        <is>
          <t>SC-2: aeroderivative simple-cycle unit (LM6000 class)</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Duct bank</t>
        </is>
      </c>
      <c r="T5057" s="16" t="n">
        <v>25</v>
      </c>
      <c r="U5057" s="16" t="n">
        <v>32</v>
      </c>
      <c r="V5057" s="16">
        <f>ROUNDUP((T5057+U5057+2*'Read Me'!$B$13)*(1+'Read Me'!$B$12),-1)</f>
        <v/>
      </c>
      <c r="W5057" s="16">
        <f>V5057*N5057*O5057</f>
        <v/>
      </c>
      <c r="X5057" s="12">
        <f>IF(LEFT(I5057,2)="MV",2*N5057*IF(L5057="1/C",O5057,1),0)</f>
        <v/>
      </c>
      <c r="Y5057" s="12">
        <f>IF(OR(LEFT(K5057,4)="LVAX",LEFT(K5057,6)="MV15AX",LEFT(K5057,4)="CTAX",LEFT(K5057,2)="W|"),2*N5057*O5057,0)</f>
        <v/>
      </c>
      <c r="Z5057" s="12" t="inlineStr"/>
      <c r="AA5057" s="12">
        <f>N5057*O5057</f>
        <v/>
      </c>
    </row>
    <row r="5058">
      <c r="A5058" s="12" t="inlineStr">
        <is>
          <t>I-I-0509</t>
        </is>
      </c>
      <c r="B5058" s="12" t="inlineStr">
        <is>
          <t>I</t>
        </is>
      </c>
      <c r="C5058" s="12" t="inlineStr">
        <is>
          <t>Modular / portable power</t>
        </is>
      </c>
      <c r="D5058" s="12" t="inlineStr">
        <is>
          <t>Discrete device to JB JB-SC-2-DI05: 20 x 1 pr (field cables)</t>
        </is>
      </c>
      <c r="E5058" s="12" t="inlineStr">
        <is>
          <t>SC-2</t>
        </is>
      </c>
      <c r="F5058" s="12" t="inlineStr">
        <is>
          <t>SC-2: aeroderivative simple-cycle unit (LM6000 class)</t>
        </is>
      </c>
      <c r="G5058" s="12" t="inlineStr">
        <is>
          <t>JB-SC-2-DI05</t>
        </is>
      </c>
      <c r="H5058" s="12" t="inlineStr">
        <is>
          <t>SC-2: aeroderivative simple-cycle unit (LM6000 class)</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20</v>
      </c>
      <c r="O5058" s="12" t="n">
        <v>1</v>
      </c>
      <c r="P5058" s="12" t="n"/>
      <c r="Q5058" s="12" t="n"/>
      <c r="R5058" s="12" t="n"/>
      <c r="S5058" s="12" t="inlineStr">
        <is>
          <t>Tray / conduit</t>
        </is>
      </c>
      <c r="T5058" s="16" t="n">
        <v>99</v>
      </c>
      <c r="U5058" s="16" t="n">
        <v>10</v>
      </c>
      <c r="V5058" s="16">
        <f>ROUNDUP((T5058+U5058+2*'Read Me'!$B$13)*(1+'Read Me'!$B$12),-1)</f>
        <v/>
      </c>
      <c r="W5058" s="16">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I-I-0510</t>
        </is>
      </c>
      <c r="B5059" s="12" t="inlineStr">
        <is>
          <t>I</t>
        </is>
      </c>
      <c r="C5059" s="12" t="inlineStr">
        <is>
          <t>Modular / portable power</t>
        </is>
      </c>
      <c r="D5059" s="12" t="inlineStr">
        <is>
          <t>Home run JB-SC-2-DI05 to the control / marshalling room</t>
        </is>
      </c>
      <c r="E5059" s="12" t="inlineStr"/>
      <c r="F5059" s="12" t="inlineStr">
        <is>
          <t>SC-2 PCM + 15 kV GCB</t>
        </is>
      </c>
      <c r="G5059" s="12" t="inlineStr">
        <is>
          <t>JB-SC-2-DI05</t>
        </is>
      </c>
      <c r="H5059" s="12" t="inlineStr">
        <is>
          <t>SC-2: aeroderivative simple-cycle unit (LM6000 class)</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Duct bank</t>
        </is>
      </c>
      <c r="T5059" s="16" t="n">
        <v>25</v>
      </c>
      <c r="U5059" s="16" t="n">
        <v>32</v>
      </c>
      <c r="V5059" s="16">
        <f>ROUNDUP((T5059+U5059+2*'Read Me'!$B$13)*(1+'Read Me'!$B$12),-1)</f>
        <v/>
      </c>
      <c r="W5059" s="16">
        <f>V5059*N5059*O5059</f>
        <v/>
      </c>
      <c r="X5059" s="12">
        <f>IF(LEFT(I5059,2)="MV",2*N5059*IF(L5059="1/C",O5059,1),0)</f>
        <v/>
      </c>
      <c r="Y5059" s="12">
        <f>IF(OR(LEFT(K5059,4)="LVAX",LEFT(K5059,6)="MV15AX",LEFT(K5059,4)="CTAX",LEFT(K5059,2)="W|"),2*N5059*O5059,0)</f>
        <v/>
      </c>
      <c r="Z5059" s="12" t="inlineStr"/>
      <c r="AA5059" s="12">
        <f>N5059*O5059</f>
        <v/>
      </c>
    </row>
    <row r="5060">
      <c r="A5060" s="12" t="inlineStr">
        <is>
          <t>I-I-0511</t>
        </is>
      </c>
      <c r="B5060" s="12" t="inlineStr">
        <is>
          <t>I</t>
        </is>
      </c>
      <c r="C5060" s="12" t="inlineStr">
        <is>
          <t>Modular / portable power</t>
        </is>
      </c>
      <c r="D5060" s="12" t="inlineStr">
        <is>
          <t>Thermocouple to TC JB JB-SC-2-TC01: 20 x 1 pr (field cables)</t>
        </is>
      </c>
      <c r="E5060" s="12" t="inlineStr">
        <is>
          <t>SC-2</t>
        </is>
      </c>
      <c r="F5060" s="12" t="inlineStr">
        <is>
          <t>SC-2: aeroderivative simple-cycle unit (LM6000 class)</t>
        </is>
      </c>
      <c r="G5060" s="12" t="inlineStr">
        <is>
          <t>JB-SC-2-TC01</t>
        </is>
      </c>
      <c r="H5060" s="12" t="inlineStr">
        <is>
          <t>SC-2: aeroderivative simple-cycle unit (LM6000 class)</t>
        </is>
      </c>
      <c r="I5060" s="12" t="inlineStr">
        <is>
          <t>Instrumentation</t>
        </is>
      </c>
      <c r="J5060" s="12" t="inlineStr">
        <is>
          <t>Thermocouple extension KX, #16 shielded pairs, PLTC</t>
        </is>
      </c>
      <c r="K5060" s="12" t="inlineStr">
        <is>
          <t>TCX|1 pr|16</t>
        </is>
      </c>
      <c r="L5060" s="12" t="inlineStr">
        <is>
          <t>1 pr</t>
        </is>
      </c>
      <c r="M5060" s="12" t="inlineStr">
        <is>
          <t>16</t>
        </is>
      </c>
      <c r="N5060" s="12" t="n">
        <v>20</v>
      </c>
      <c r="O5060" s="12" t="n">
        <v>1</v>
      </c>
      <c r="P5060" s="12" t="n"/>
      <c r="Q5060" s="12" t="n"/>
      <c r="R5060" s="12" t="n"/>
      <c r="S5060" s="12" t="inlineStr">
        <is>
          <t>Tray / conduit</t>
        </is>
      </c>
      <c r="T5060" s="16" t="n">
        <v>99</v>
      </c>
      <c r="U5060" s="16" t="n">
        <v>10</v>
      </c>
      <c r="V5060" s="16">
        <f>ROUNDUP((T5060+U5060+2*'Read Me'!$B$13)*(1+'Read Me'!$B$12),-1)</f>
        <v/>
      </c>
      <c r="W5060" s="16">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I-I-0512</t>
        </is>
      </c>
      <c r="B5061" s="12" t="inlineStr">
        <is>
          <t>I</t>
        </is>
      </c>
      <c r="C5061" s="12" t="inlineStr">
        <is>
          <t>Modular / portable power</t>
        </is>
      </c>
      <c r="D5061" s="12" t="inlineStr">
        <is>
          <t>Home run JB-SC-2-TC01 to the control / marshalling room</t>
        </is>
      </c>
      <c r="E5061" s="12" t="inlineStr"/>
      <c r="F5061" s="12" t="inlineStr">
        <is>
          <t>SC-2 PCM + 15 kV GCB</t>
        </is>
      </c>
      <c r="G5061" s="12" t="inlineStr">
        <is>
          <t>JB-SC-2-TC01</t>
        </is>
      </c>
      <c r="H5061" s="12" t="inlineStr">
        <is>
          <t>SC-2: aeroderivative simple-cycle unit (LM6000 class)</t>
        </is>
      </c>
      <c r="I5061" s="12" t="inlineStr">
        <is>
          <t>Instrumentation</t>
        </is>
      </c>
      <c r="J5061" s="12" t="inlineStr">
        <is>
          <t>Thermocouple extension KX, #16 shielded pairs, PLTC</t>
        </is>
      </c>
      <c r="K5061" s="12" t="inlineStr">
        <is>
          <t>TCX|24 pr|16</t>
        </is>
      </c>
      <c r="L5061" s="12" t="inlineStr">
        <is>
          <t>24 pr</t>
        </is>
      </c>
      <c r="M5061" s="12" t="inlineStr">
        <is>
          <t>16</t>
        </is>
      </c>
      <c r="N5061" s="12" t="n">
        <v>1</v>
      </c>
      <c r="O5061" s="12" t="n">
        <v>1</v>
      </c>
      <c r="P5061" s="12" t="n"/>
      <c r="Q5061" s="12" t="n"/>
      <c r="R5061" s="12" t="n"/>
      <c r="S5061" s="12" t="inlineStr">
        <is>
          <t>Duct bank</t>
        </is>
      </c>
      <c r="T5061" s="16" t="n">
        <v>25</v>
      </c>
      <c r="U5061" s="16" t="n">
        <v>32</v>
      </c>
      <c r="V5061" s="16">
        <f>ROUNDUP((T5061+U5061+2*'Read Me'!$B$13)*(1+'Read Me'!$B$12),-1)</f>
        <v/>
      </c>
      <c r="W5061" s="16">
        <f>V5061*N5061*O5061</f>
        <v/>
      </c>
      <c r="X5061" s="12">
        <f>IF(LEFT(I5061,2)="MV",2*N5061*IF(L5061="1/C",O5061,1),0)</f>
        <v/>
      </c>
      <c r="Y5061" s="12">
        <f>IF(OR(LEFT(K5061,4)="LVAX",LEFT(K5061,6)="MV15AX",LEFT(K5061,4)="CTAX",LEFT(K5061,2)="W|"),2*N5061*O5061,0)</f>
        <v/>
      </c>
      <c r="Z5061" s="12" t="inlineStr"/>
      <c r="AA5061" s="12">
        <f>N5061*O5061</f>
        <v/>
      </c>
    </row>
    <row r="5062">
      <c r="A5062" s="12" t="inlineStr">
        <is>
          <t>I-I-0513</t>
        </is>
      </c>
      <c r="B5062" s="12" t="inlineStr">
        <is>
          <t>I</t>
        </is>
      </c>
      <c r="C5062" s="12" t="inlineStr">
        <is>
          <t>Modular / portable power</t>
        </is>
      </c>
      <c r="D5062" s="12" t="inlineStr">
        <is>
          <t>Thermocouple to TC JB JB-SC-2-TC02: 20 x 1 pr (field cables)</t>
        </is>
      </c>
      <c r="E5062" s="12" t="inlineStr">
        <is>
          <t>SC-2</t>
        </is>
      </c>
      <c r="F5062" s="12" t="inlineStr">
        <is>
          <t>SC-2: aeroderivative simple-cycle unit (LM6000 class)</t>
        </is>
      </c>
      <c r="G5062" s="12" t="inlineStr">
        <is>
          <t>JB-SC-2-TC02</t>
        </is>
      </c>
      <c r="H5062" s="12" t="inlineStr">
        <is>
          <t>SC-2: aeroderivative simple-cycle unit (LM6000 class)</t>
        </is>
      </c>
      <c r="I5062" s="12" t="inlineStr">
        <is>
          <t>Instrumentation</t>
        </is>
      </c>
      <c r="J5062" s="12" t="inlineStr">
        <is>
          <t>Thermocouple extension KX, #16 shielded pairs, PLTC</t>
        </is>
      </c>
      <c r="K5062" s="12" t="inlineStr">
        <is>
          <t>TCX|1 pr|16</t>
        </is>
      </c>
      <c r="L5062" s="12" t="inlineStr">
        <is>
          <t>1 pr</t>
        </is>
      </c>
      <c r="M5062" s="12" t="inlineStr">
        <is>
          <t>16</t>
        </is>
      </c>
      <c r="N5062" s="12" t="n">
        <v>20</v>
      </c>
      <c r="O5062" s="12" t="n">
        <v>1</v>
      </c>
      <c r="P5062" s="12" t="n"/>
      <c r="Q5062" s="12" t="n"/>
      <c r="R5062" s="12" t="n"/>
      <c r="S5062" s="12" t="inlineStr">
        <is>
          <t>Tray / conduit</t>
        </is>
      </c>
      <c r="T5062" s="16" t="n">
        <v>99</v>
      </c>
      <c r="U5062" s="16" t="n">
        <v>10</v>
      </c>
      <c r="V5062" s="16">
        <f>ROUNDUP((T5062+U5062+2*'Read Me'!$B$13)*(1+'Read Me'!$B$12),-1)</f>
        <v/>
      </c>
      <c r="W5062" s="16">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I-I-0514</t>
        </is>
      </c>
      <c r="B5063" s="12" t="inlineStr">
        <is>
          <t>I</t>
        </is>
      </c>
      <c r="C5063" s="12" t="inlineStr">
        <is>
          <t>Modular / portable power</t>
        </is>
      </c>
      <c r="D5063" s="12" t="inlineStr">
        <is>
          <t>Home run JB-SC-2-TC02 to the control / marshalling room</t>
        </is>
      </c>
      <c r="E5063" s="12" t="inlineStr"/>
      <c r="F5063" s="12" t="inlineStr">
        <is>
          <t>SC-2 PCM + 15 kV GCB</t>
        </is>
      </c>
      <c r="G5063" s="12" t="inlineStr">
        <is>
          <t>JB-SC-2-TC02</t>
        </is>
      </c>
      <c r="H5063" s="12" t="inlineStr">
        <is>
          <t>SC-2: aeroderivative simple-cycle unit (LM6000 class)</t>
        </is>
      </c>
      <c r="I5063" s="12" t="inlineStr">
        <is>
          <t>Instrumentation</t>
        </is>
      </c>
      <c r="J5063" s="12" t="inlineStr">
        <is>
          <t>Thermocouple extension KX, #16 shielded pairs, PLTC</t>
        </is>
      </c>
      <c r="K5063" s="12" t="inlineStr">
        <is>
          <t>TCX|24 pr|16</t>
        </is>
      </c>
      <c r="L5063" s="12" t="inlineStr">
        <is>
          <t>24 pr</t>
        </is>
      </c>
      <c r="M5063" s="12" t="inlineStr">
        <is>
          <t>16</t>
        </is>
      </c>
      <c r="N5063" s="12" t="n">
        <v>1</v>
      </c>
      <c r="O5063" s="12" t="n">
        <v>1</v>
      </c>
      <c r="P5063" s="12" t="n"/>
      <c r="Q5063" s="12" t="n"/>
      <c r="R5063" s="12" t="n"/>
      <c r="S5063" s="12" t="inlineStr">
        <is>
          <t>Duct bank</t>
        </is>
      </c>
      <c r="T5063" s="16" t="n">
        <v>25</v>
      </c>
      <c r="U5063" s="16" t="n">
        <v>32</v>
      </c>
      <c r="V5063" s="16">
        <f>ROUNDUP((T5063+U5063+2*'Read Me'!$B$13)*(1+'Read Me'!$B$12),-1)</f>
        <v/>
      </c>
      <c r="W5063" s="16">
        <f>V5063*N5063*O5063</f>
        <v/>
      </c>
      <c r="X5063" s="12">
        <f>IF(LEFT(I5063,2)="MV",2*N5063*IF(L5063="1/C",O5063,1),0)</f>
        <v/>
      </c>
      <c r="Y5063" s="12">
        <f>IF(OR(LEFT(K5063,4)="LVAX",LEFT(K5063,6)="MV15AX",LEFT(K5063,4)="CTAX",LEFT(K5063,2)="W|"),2*N5063*O5063,0)</f>
        <v/>
      </c>
      <c r="Z5063" s="12" t="inlineStr"/>
      <c r="AA5063" s="12">
        <f>N5063*O5063</f>
        <v/>
      </c>
    </row>
    <row r="5064">
      <c r="A5064" s="12" t="inlineStr">
        <is>
          <t>I-I-0515</t>
        </is>
      </c>
      <c r="B5064" s="12" t="inlineStr">
        <is>
          <t>I</t>
        </is>
      </c>
      <c r="C5064" s="12" t="inlineStr">
        <is>
          <t>Modular / portable power</t>
        </is>
      </c>
      <c r="D5064" s="12" t="inlineStr">
        <is>
          <t>Analog instrument to JB JB-T-MOD 230 kV take--AI01: 8 x 1 pr (field cables)</t>
        </is>
      </c>
      <c r="E5064" s="12" t="inlineStr"/>
      <c r="F5064" s="12" t="inlineStr">
        <is>
          <t>T-MOD 230 kV take-off gantry with arresters</t>
        </is>
      </c>
      <c r="G5064" s="12" t="inlineStr">
        <is>
          <t>JB-T-MOD 230 kV take--AI01</t>
        </is>
      </c>
      <c r="H5064" s="12" t="inlineStr">
        <is>
          <t>T-MOD 230 kV take-off gantry with arresters</t>
        </is>
      </c>
      <c r="I5064" s="12" t="inlineStr">
        <is>
          <t>Instrumentation</t>
        </is>
      </c>
      <c r="J5064" s="12" t="inlineStr">
        <is>
          <t>Instrumentation PLTC / TC-ER 300 V, #18 twisted shielded pairs, overall shield</t>
        </is>
      </c>
      <c r="K5064" s="12" t="inlineStr">
        <is>
          <t>PLTC|1 pr|16</t>
        </is>
      </c>
      <c r="L5064" s="12" t="inlineStr">
        <is>
          <t>1 pr</t>
        </is>
      </c>
      <c r="M5064" s="12" t="inlineStr">
        <is>
          <t>16</t>
        </is>
      </c>
      <c r="N5064" s="12" t="n">
        <v>8</v>
      </c>
      <c r="O5064" s="12" t="n">
        <v>1</v>
      </c>
      <c r="P5064" s="12" t="n"/>
      <c r="Q5064" s="12" t="n"/>
      <c r="R5064" s="12" t="n"/>
      <c r="S5064" s="12" t="inlineStr">
        <is>
          <t>Tray / conduit</t>
        </is>
      </c>
      <c r="T5064" s="16" t="n">
        <v>88</v>
      </c>
      <c r="U5064" s="16" t="n">
        <v>10</v>
      </c>
      <c r="V5064" s="16">
        <f>ROUNDUP((T5064+U5064+2*'Read Me'!$B$13)*(1+'Read Me'!$B$12),-1)</f>
        <v/>
      </c>
      <c r="W5064" s="16">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I-I-0516</t>
        </is>
      </c>
      <c r="B5065" s="12" t="inlineStr">
        <is>
          <t>I</t>
        </is>
      </c>
      <c r="C5065" s="12" t="inlineStr">
        <is>
          <t>Modular / portable power</t>
        </is>
      </c>
      <c r="D5065" s="12" t="inlineStr">
        <is>
          <t>Home run JB-T-MOD 230 kV take--AI01 to the control / marshalling room</t>
        </is>
      </c>
      <c r="E5065" s="12" t="inlineStr">
        <is>
          <t>PAD-EH</t>
        </is>
      </c>
      <c r="F5065" s="12" t="inlineStr">
        <is>
          <t>PAD-EH 13.8 kV switchgear e-house</t>
        </is>
      </c>
      <c r="G5065" s="12" t="inlineStr">
        <is>
          <t>JB-T-MOD 230 kV take--AI01</t>
        </is>
      </c>
      <c r="H5065" s="12" t="inlineStr">
        <is>
          <t>T-MOD 230 kV take-off gantry with arresters</t>
        </is>
      </c>
      <c r="I5065" s="12" t="inlineStr">
        <is>
          <t>Instrumentation</t>
        </is>
      </c>
      <c r="J5065" s="12" t="inlineStr">
        <is>
          <t>Instrumentation PLTC / TC-ER 300 V, #18 twisted shielded pairs, overall shield</t>
        </is>
      </c>
      <c r="K5065" s="12" t="inlineStr">
        <is>
          <t>PLTC|24 pr|18</t>
        </is>
      </c>
      <c r="L5065" s="12" t="inlineStr">
        <is>
          <t>24 pr</t>
        </is>
      </c>
      <c r="M5065" s="12" t="inlineStr">
        <is>
          <t>18</t>
        </is>
      </c>
      <c r="N5065" s="12" t="n">
        <v>1</v>
      </c>
      <c r="O5065" s="12" t="n">
        <v>1</v>
      </c>
      <c r="P5065" s="12" t="n"/>
      <c r="Q5065" s="12" t="n"/>
      <c r="R5065" s="12" t="n"/>
      <c r="S5065" s="12" t="inlineStr">
        <is>
          <t>Duct bank</t>
        </is>
      </c>
      <c r="T5065" s="16" t="n">
        <v>715</v>
      </c>
      <c r="U5065" s="16" t="n">
        <v>128</v>
      </c>
      <c r="V5065" s="16">
        <f>ROUNDUP((T5065+U5065+2*'Read Me'!$B$13)*(1+'Read Me'!$B$12),-1)</f>
        <v/>
      </c>
      <c r="W5065" s="16">
        <f>V5065*N5065*O5065</f>
        <v/>
      </c>
      <c r="X5065" s="12">
        <f>IF(LEFT(I5065,2)="MV",2*N5065*IF(L5065="1/C",O5065,1),0)</f>
        <v/>
      </c>
      <c r="Y5065" s="12">
        <f>IF(OR(LEFT(K5065,4)="LVAX",LEFT(K5065,6)="MV15AX",LEFT(K5065,4)="CTAX",LEFT(K5065,2)="W|"),2*N5065*O5065,0)</f>
        <v/>
      </c>
      <c r="Z5065" s="12" t="inlineStr"/>
      <c r="AA5065" s="12">
        <f>N5065*O5065</f>
        <v/>
      </c>
    </row>
    <row r="5066">
      <c r="A5066" s="12" t="inlineStr">
        <is>
          <t>I-I-0517</t>
        </is>
      </c>
      <c r="B5066" s="12" t="inlineStr">
        <is>
          <t>I</t>
        </is>
      </c>
      <c r="C5066" s="12" t="inlineStr">
        <is>
          <t>Modular / portable power</t>
        </is>
      </c>
      <c r="D5066" s="12" t="inlineStr">
        <is>
          <t>Discrete device to JB JB-T-MOD 230 kV take--DI01: 16 x 1 pr (field cables)</t>
        </is>
      </c>
      <c r="E5066" s="12" t="inlineStr"/>
      <c r="F5066" s="12" t="inlineStr">
        <is>
          <t>T-MOD 230 kV take-off gantry with arresters</t>
        </is>
      </c>
      <c r="G5066" s="12" t="inlineStr">
        <is>
          <t>JB-T-MOD 230 kV take--DI01</t>
        </is>
      </c>
      <c r="H5066" s="12" t="inlineStr">
        <is>
          <t>T-MOD 230 kV take-off gantry with arresters</t>
        </is>
      </c>
      <c r="I5066" s="12" t="inlineStr">
        <is>
          <t>Instrumentation</t>
        </is>
      </c>
      <c r="J5066" s="12" t="inlineStr">
        <is>
          <t>Instrumentation PLTC / TC-ER 300 V, #18 twisted shielded pairs, overall shield</t>
        </is>
      </c>
      <c r="K5066" s="12" t="inlineStr">
        <is>
          <t>PLTC|1 pr|16</t>
        </is>
      </c>
      <c r="L5066" s="12" t="inlineStr">
        <is>
          <t>1 pr</t>
        </is>
      </c>
      <c r="M5066" s="12" t="inlineStr">
        <is>
          <t>16</t>
        </is>
      </c>
      <c r="N5066" s="12" t="n">
        <v>16</v>
      </c>
      <c r="O5066" s="12" t="n">
        <v>1</v>
      </c>
      <c r="P5066" s="12" t="n"/>
      <c r="Q5066" s="12" t="n"/>
      <c r="R5066" s="12" t="n"/>
      <c r="S5066" s="12" t="inlineStr">
        <is>
          <t>Tray / conduit</t>
        </is>
      </c>
      <c r="T5066" s="16" t="n">
        <v>88</v>
      </c>
      <c r="U5066" s="16" t="n">
        <v>10</v>
      </c>
      <c r="V5066" s="16">
        <f>ROUNDUP((T5066+U5066+2*'Read Me'!$B$13)*(1+'Read Me'!$B$12),-1)</f>
        <v/>
      </c>
      <c r="W5066" s="16">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I-I-0518</t>
        </is>
      </c>
      <c r="B5067" s="12" t="inlineStr">
        <is>
          <t>I</t>
        </is>
      </c>
      <c r="C5067" s="12" t="inlineStr">
        <is>
          <t>Modular / portable power</t>
        </is>
      </c>
      <c r="D5067" s="12" t="inlineStr">
        <is>
          <t>Home run JB-T-MOD 230 kV take--DI01 to the control / marshalling room</t>
        </is>
      </c>
      <c r="E5067" s="12" t="inlineStr">
        <is>
          <t>PAD-EH</t>
        </is>
      </c>
      <c r="F5067" s="12" t="inlineStr">
        <is>
          <t>PAD-EH 13.8 kV switchgear e-house</t>
        </is>
      </c>
      <c r="G5067" s="12" t="inlineStr">
        <is>
          <t>JB-T-MOD 230 kV take--DI01</t>
        </is>
      </c>
      <c r="H5067" s="12" t="inlineStr">
        <is>
          <t>T-MOD 230 kV take-off gantry with arresters</t>
        </is>
      </c>
      <c r="I5067" s="12" t="inlineStr">
        <is>
          <t>Instrumentation</t>
        </is>
      </c>
      <c r="J5067" s="12" t="inlineStr">
        <is>
          <t>Instrumentation PLTC / TC-ER 300 V, #18 twisted shielded pairs, overall shield</t>
        </is>
      </c>
      <c r="K5067" s="12" t="inlineStr">
        <is>
          <t>PLTC|24 pr|18</t>
        </is>
      </c>
      <c r="L5067" s="12" t="inlineStr">
        <is>
          <t>24 pr</t>
        </is>
      </c>
      <c r="M5067" s="12" t="inlineStr">
        <is>
          <t>18</t>
        </is>
      </c>
      <c r="N5067" s="12" t="n">
        <v>1</v>
      </c>
      <c r="O5067" s="12" t="n">
        <v>1</v>
      </c>
      <c r="P5067" s="12" t="n"/>
      <c r="Q5067" s="12" t="n"/>
      <c r="R5067" s="12" t="n"/>
      <c r="S5067" s="12" t="inlineStr">
        <is>
          <t>Duct bank</t>
        </is>
      </c>
      <c r="T5067" s="16" t="n">
        <v>715</v>
      </c>
      <c r="U5067" s="16" t="n">
        <v>128</v>
      </c>
      <c r="V5067" s="16">
        <f>ROUNDUP((T5067+U5067+2*'Read Me'!$B$13)*(1+'Read Me'!$B$12),-1)</f>
        <v/>
      </c>
      <c r="W5067" s="16">
        <f>V5067*N5067*O5067</f>
        <v/>
      </c>
      <c r="X5067" s="12">
        <f>IF(LEFT(I5067,2)="MV",2*N5067*IF(L5067="1/C",O5067,1),0)</f>
        <v/>
      </c>
      <c r="Y5067" s="12">
        <f>IF(OR(LEFT(K5067,4)="LVAX",LEFT(K5067,6)="MV15AX",LEFT(K5067,4)="CTAX",LEFT(K5067,2)="W|"),2*N5067*O5067,0)</f>
        <v/>
      </c>
      <c r="Z5067" s="12" t="inlineStr"/>
      <c r="AA5067" s="12">
        <f>N5067*O5067</f>
        <v/>
      </c>
    </row>
    <row r="5068">
      <c r="A5068" s="12" t="inlineStr">
        <is>
          <t>I-I-0519</t>
        </is>
      </c>
      <c r="B5068" s="12" t="inlineStr">
        <is>
          <t>I</t>
        </is>
      </c>
      <c r="C5068" s="12" t="inlineStr">
        <is>
          <t>Modular / portable power</t>
        </is>
      </c>
      <c r="D5068" s="12" t="inlineStr">
        <is>
          <t>Analog instrument to JB JB-T-MOD-1 / T-MOD-2 -AI01: 8 x 1 pr (field cables)</t>
        </is>
      </c>
      <c r="E5068" s="12" t="inlineStr"/>
      <c r="F5068" s="12" t="inlineStr">
        <is>
          <t>T-MOD-1 / T-MOD-2 firewall</t>
        </is>
      </c>
      <c r="G5068" s="12" t="inlineStr">
        <is>
          <t>JB-T-MOD-1 / T-MOD-2 -AI01</t>
        </is>
      </c>
      <c r="H5068" s="12" t="inlineStr">
        <is>
          <t>T-MOD-1 / T-MOD-2 firewall</t>
        </is>
      </c>
      <c r="I5068" s="12" t="inlineStr">
        <is>
          <t>Instrumentation</t>
        </is>
      </c>
      <c r="J5068" s="12" t="inlineStr">
        <is>
          <t>Instrumentation PLTC / TC-ER 300 V, #18 twisted shielded pairs, overall shield</t>
        </is>
      </c>
      <c r="K5068" s="12" t="inlineStr">
        <is>
          <t>PLTC|1 pr|16</t>
        </is>
      </c>
      <c r="L5068" s="12" t="inlineStr">
        <is>
          <t>1 pr</t>
        </is>
      </c>
      <c r="M5068" s="12" t="inlineStr">
        <is>
          <t>16</t>
        </is>
      </c>
      <c r="N5068" s="12" t="n">
        <v>8</v>
      </c>
      <c r="O5068" s="12" t="n">
        <v>1</v>
      </c>
      <c r="P5068" s="12" t="n"/>
      <c r="Q5068" s="12" t="n"/>
      <c r="R5068" s="12" t="n"/>
      <c r="S5068" s="12" t="inlineStr">
        <is>
          <t>Tray / conduit</t>
        </is>
      </c>
      <c r="T5068" s="16" t="n">
        <v>64</v>
      </c>
      <c r="U5068" s="16" t="n">
        <v>10</v>
      </c>
      <c r="V5068" s="16">
        <f>ROUNDUP((T5068+U5068+2*'Read Me'!$B$13)*(1+'Read Me'!$B$12),-1)</f>
        <v/>
      </c>
      <c r="W5068" s="16">
        <f>V5068*N5068*O5068</f>
        <v/>
      </c>
      <c r="X5068" s="12">
        <f>IF(LEFT(I5068,2)="MV",2*N5068*IF(L5068="1/C",O5068,1),0)</f>
        <v/>
      </c>
      <c r="Y5068" s="12">
        <f>IF(OR(LEFT(K5068,4)="LVAX",LEFT(K5068,6)="MV15AX",LEFT(K5068,4)="CTAX",LEFT(K5068,2)="W|"),2*N5068*O5068,0)</f>
        <v/>
      </c>
      <c r="Z5068" s="12" t="inlineStr">
        <is>
          <t>device-to-JB field wiring, one cable per device</t>
        </is>
      </c>
      <c r="AA5068" s="12">
        <f>N5068*O5068</f>
        <v/>
      </c>
    </row>
    <row r="5069">
      <c r="A5069" s="12" t="inlineStr">
        <is>
          <t>I-I-0520</t>
        </is>
      </c>
      <c r="B5069" s="12" t="inlineStr">
        <is>
          <t>I</t>
        </is>
      </c>
      <c r="C5069" s="12" t="inlineStr">
        <is>
          <t>Modular / portable power</t>
        </is>
      </c>
      <c r="D5069" s="12" t="inlineStr">
        <is>
          <t>Home run JB-T-MOD-1 / T-MOD-2 -AI01 to the control / marshalling room</t>
        </is>
      </c>
      <c r="E5069" s="12" t="inlineStr"/>
      <c r="F5069" s="12" t="inlineStr">
        <is>
          <t>PCM: power control module</t>
        </is>
      </c>
      <c r="G5069" s="12" t="inlineStr">
        <is>
          <t>JB-T-MOD-1 / T-MOD-2 -AI01</t>
        </is>
      </c>
      <c r="H5069" s="12" t="inlineStr">
        <is>
          <t>T-MOD-1 / T-MOD-2 firewall</t>
        </is>
      </c>
      <c r="I5069" s="12" t="inlineStr">
        <is>
          <t>Instrumentation</t>
        </is>
      </c>
      <c r="J5069" s="12" t="inlineStr">
        <is>
          <t>Instrumentation PLTC / TC-ER 300 V, #18 twisted shielded pairs, overall shield</t>
        </is>
      </c>
      <c r="K5069" s="12" t="inlineStr">
        <is>
          <t>PLTC|24 pr|18</t>
        </is>
      </c>
      <c r="L5069" s="12" t="inlineStr">
        <is>
          <t>24 pr</t>
        </is>
      </c>
      <c r="M5069" s="12" t="inlineStr">
        <is>
          <t>18</t>
        </is>
      </c>
      <c r="N5069" s="12" t="n">
        <v>1</v>
      </c>
      <c r="O5069" s="12" t="n">
        <v>1</v>
      </c>
      <c r="P5069" s="12" t="n"/>
      <c r="Q5069" s="12" t="n"/>
      <c r="R5069" s="12" t="n"/>
      <c r="S5069" s="12" t="inlineStr">
        <is>
          <t>Duct bank</t>
        </is>
      </c>
      <c r="T5069" s="16" t="n">
        <v>415</v>
      </c>
      <c r="U5069" s="16" t="n">
        <v>130</v>
      </c>
      <c r="V5069" s="16">
        <f>ROUNDUP((T5069+U5069+2*'Read Me'!$B$13)*(1+'Read Me'!$B$12),-1)</f>
        <v/>
      </c>
      <c r="W5069" s="16">
        <f>V5069*N5069*O5069</f>
        <v/>
      </c>
      <c r="X5069" s="12">
        <f>IF(LEFT(I5069,2)="MV",2*N5069*IF(L5069="1/C",O5069,1),0)</f>
        <v/>
      </c>
      <c r="Y5069" s="12">
        <f>IF(OR(LEFT(K5069,4)="LVAX",LEFT(K5069,6)="MV15AX",LEFT(K5069,4)="CTAX",LEFT(K5069,2)="W|"),2*N5069*O5069,0)</f>
        <v/>
      </c>
      <c r="Z5069" s="12" t="inlineStr"/>
      <c r="AA5069" s="12">
        <f>N5069*O5069</f>
        <v/>
      </c>
    </row>
    <row r="5070">
      <c r="A5070" s="12" t="inlineStr">
        <is>
          <t>I-I-0521</t>
        </is>
      </c>
      <c r="B5070" s="12" t="inlineStr">
        <is>
          <t>I</t>
        </is>
      </c>
      <c r="C5070" s="12" t="inlineStr">
        <is>
          <t>Modular / portable power</t>
        </is>
      </c>
      <c r="D5070" s="12" t="inlineStr">
        <is>
          <t>Discrete device to JB JB-T-MOD-1 / T-MOD-2 -DI01: 16 x 1 pr (field cables)</t>
        </is>
      </c>
      <c r="E5070" s="12" t="inlineStr"/>
      <c r="F5070" s="12" t="inlineStr">
        <is>
          <t>T-MOD-1 / T-MOD-2 firewall</t>
        </is>
      </c>
      <c r="G5070" s="12" t="inlineStr">
        <is>
          <t>JB-T-MOD-1 / T-MOD-2 -DI01</t>
        </is>
      </c>
      <c r="H5070" s="12" t="inlineStr">
        <is>
          <t>T-MOD-1 / T-MOD-2 firewall</t>
        </is>
      </c>
      <c r="I5070" s="12" t="inlineStr">
        <is>
          <t>Instrumentation</t>
        </is>
      </c>
      <c r="J5070" s="12" t="inlineStr">
        <is>
          <t>Instrumentation PLTC / TC-ER 300 V, #18 twisted shielded pairs, overall shield</t>
        </is>
      </c>
      <c r="K5070" s="12" t="inlineStr">
        <is>
          <t>PLTC|1 pr|16</t>
        </is>
      </c>
      <c r="L5070" s="12" t="inlineStr">
        <is>
          <t>1 pr</t>
        </is>
      </c>
      <c r="M5070" s="12" t="inlineStr">
        <is>
          <t>16</t>
        </is>
      </c>
      <c r="N5070" s="12" t="n">
        <v>16</v>
      </c>
      <c r="O5070" s="12" t="n">
        <v>1</v>
      </c>
      <c r="P5070" s="12" t="n"/>
      <c r="Q5070" s="12" t="n"/>
      <c r="R5070" s="12" t="n"/>
      <c r="S5070" s="12" t="inlineStr">
        <is>
          <t>Tray / conduit</t>
        </is>
      </c>
      <c r="T5070" s="16" t="n">
        <v>64</v>
      </c>
      <c r="U5070" s="16" t="n">
        <v>10</v>
      </c>
      <c r="V5070" s="16">
        <f>ROUNDUP((T5070+U5070+2*'Read Me'!$B$13)*(1+'Read Me'!$B$12),-1)</f>
        <v/>
      </c>
      <c r="W5070" s="16">
        <f>V5070*N5070*O5070</f>
        <v/>
      </c>
      <c r="X5070" s="12">
        <f>IF(LEFT(I5070,2)="MV",2*N5070*IF(L5070="1/C",O5070,1),0)</f>
        <v/>
      </c>
      <c r="Y5070" s="12">
        <f>IF(OR(LEFT(K5070,4)="LVAX",LEFT(K5070,6)="MV15AX",LEFT(K5070,4)="CTAX",LEFT(K5070,2)="W|"),2*N5070*O5070,0)</f>
        <v/>
      </c>
      <c r="Z5070" s="12" t="inlineStr">
        <is>
          <t>device-to-JB field wiring, one cable per device</t>
        </is>
      </c>
      <c r="AA5070" s="12">
        <f>N5070*O5070</f>
        <v/>
      </c>
    </row>
    <row r="5071">
      <c r="A5071" s="12" t="inlineStr">
        <is>
          <t>I-I-0522</t>
        </is>
      </c>
      <c r="B5071" s="12" t="inlineStr">
        <is>
          <t>I</t>
        </is>
      </c>
      <c r="C5071" s="12" t="inlineStr">
        <is>
          <t>Modular / portable power</t>
        </is>
      </c>
      <c r="D5071" s="12" t="inlineStr">
        <is>
          <t>Home run JB-T-MOD-1 / T-MOD-2 -DI01 to the control / marshalling room</t>
        </is>
      </c>
      <c r="E5071" s="12" t="inlineStr"/>
      <c r="F5071" s="12" t="inlineStr">
        <is>
          <t>PCM: power control module</t>
        </is>
      </c>
      <c r="G5071" s="12" t="inlineStr">
        <is>
          <t>JB-T-MOD-1 / T-MOD-2 -DI01</t>
        </is>
      </c>
      <c r="H5071" s="12" t="inlineStr">
        <is>
          <t>T-MOD-1 / T-MOD-2 firewall</t>
        </is>
      </c>
      <c r="I5071" s="12" t="inlineStr">
        <is>
          <t>Instrumentation</t>
        </is>
      </c>
      <c r="J5071" s="12" t="inlineStr">
        <is>
          <t>Instrumentation PLTC / TC-ER 300 V, #18 twisted shielded pairs, overall shield</t>
        </is>
      </c>
      <c r="K5071" s="12" t="inlineStr">
        <is>
          <t>PLTC|24 pr|18</t>
        </is>
      </c>
      <c r="L5071" s="12" t="inlineStr">
        <is>
          <t>24 pr</t>
        </is>
      </c>
      <c r="M5071" s="12" t="inlineStr">
        <is>
          <t>18</t>
        </is>
      </c>
      <c r="N5071" s="12" t="n">
        <v>1</v>
      </c>
      <c r="O5071" s="12" t="n">
        <v>1</v>
      </c>
      <c r="P5071" s="12" t="n"/>
      <c r="Q5071" s="12" t="n"/>
      <c r="R5071" s="12" t="n"/>
      <c r="S5071" s="12" t="inlineStr">
        <is>
          <t>Duct bank</t>
        </is>
      </c>
      <c r="T5071" s="16" t="n">
        <v>415</v>
      </c>
      <c r="U5071" s="16" t="n">
        <v>130</v>
      </c>
      <c r="V5071" s="16">
        <f>ROUNDUP((T5071+U5071+2*'Read Me'!$B$13)*(1+'Read Me'!$B$12),-1)</f>
        <v/>
      </c>
      <c r="W5071" s="16">
        <f>V5071*N5071*O5071</f>
        <v/>
      </c>
      <c r="X5071" s="12">
        <f>IF(LEFT(I5071,2)="MV",2*N5071*IF(L5071="1/C",O5071,1),0)</f>
        <v/>
      </c>
      <c r="Y5071" s="12">
        <f>IF(OR(LEFT(K5071,4)="LVAX",LEFT(K5071,6)="MV15AX",LEFT(K5071,4)="CTAX",LEFT(K5071,2)="W|"),2*N5071*O5071,0)</f>
        <v/>
      </c>
      <c r="Z5071" s="12" t="inlineStr"/>
      <c r="AA5071" s="12">
        <f>N5071*O5071</f>
        <v/>
      </c>
    </row>
    <row r="5072">
      <c r="A5072" s="12" t="inlineStr">
        <is>
          <t>I-I-0523</t>
        </is>
      </c>
      <c r="B5072" s="12" t="inlineStr">
        <is>
          <t>I</t>
        </is>
      </c>
      <c r="C5072" s="12" t="inlineStr">
        <is>
          <t>Modular / portable power</t>
        </is>
      </c>
      <c r="D5072" s="12" t="inlineStr">
        <is>
          <t>Analog instrument to JB JB-T-MOD-1-AI01: 8 x 1 pr (field cables)</t>
        </is>
      </c>
      <c r="E5072" s="12" t="inlineStr">
        <is>
          <t>T-MOD-1</t>
        </is>
      </c>
      <c r="F5072" s="12" t="inlineStr">
        <is>
          <t>T-MOD-1: 13.8/230 kV</t>
        </is>
      </c>
      <c r="G5072" s="12" t="inlineStr">
        <is>
          <t>JB-T-MOD-1-AI01</t>
        </is>
      </c>
      <c r="H5072" s="12" t="inlineStr">
        <is>
          <t>T-MOD-1: 13.8/230 kV</t>
        </is>
      </c>
      <c r="I5072" s="12" t="inlineStr">
        <is>
          <t>Instrumentation</t>
        </is>
      </c>
      <c r="J5072" s="12" t="inlineStr">
        <is>
          <t>Instrumentation PLTC / TC-ER 300 V, #18 twisted shielded pairs, overall shield</t>
        </is>
      </c>
      <c r="K5072" s="12" t="inlineStr">
        <is>
          <t>PLTC|1 pr|16</t>
        </is>
      </c>
      <c r="L5072" s="12" t="inlineStr">
        <is>
          <t>1 pr</t>
        </is>
      </c>
      <c r="M5072" s="12" t="inlineStr">
        <is>
          <t>16</t>
        </is>
      </c>
      <c r="N5072" s="12" t="n">
        <v>8</v>
      </c>
      <c r="O5072" s="12" t="n">
        <v>1</v>
      </c>
      <c r="P5072" s="12" t="n"/>
      <c r="Q5072" s="12" t="n"/>
      <c r="R5072" s="12" t="n"/>
      <c r="S5072" s="12" t="inlineStr">
        <is>
          <t>Tray / conduit</t>
        </is>
      </c>
      <c r="T5072" s="16" t="n">
        <v>77</v>
      </c>
      <c r="U5072" s="16" t="n">
        <v>10</v>
      </c>
      <c r="V5072" s="16">
        <f>ROUNDUP((T5072+U5072+2*'Read Me'!$B$13)*(1+'Read Me'!$B$12),-1)</f>
        <v/>
      </c>
      <c r="W5072" s="16">
        <f>V5072*N5072*O5072</f>
        <v/>
      </c>
      <c r="X5072" s="12">
        <f>IF(LEFT(I5072,2)="MV",2*N5072*IF(L5072="1/C",O5072,1),0)</f>
        <v/>
      </c>
      <c r="Y5072" s="12">
        <f>IF(OR(LEFT(K5072,4)="LVAX",LEFT(K5072,6)="MV15AX",LEFT(K5072,4)="CTAX",LEFT(K5072,2)="W|"),2*N5072*O5072,0)</f>
        <v/>
      </c>
      <c r="Z5072" s="12" t="inlineStr">
        <is>
          <t>device-to-JB field wiring, one cable per device</t>
        </is>
      </c>
      <c r="AA5072" s="12">
        <f>N5072*O5072</f>
        <v/>
      </c>
    </row>
    <row r="5073">
      <c r="A5073" s="12" t="inlineStr">
        <is>
          <t>I-I-0524</t>
        </is>
      </c>
      <c r="B5073" s="12" t="inlineStr">
        <is>
          <t>I</t>
        </is>
      </c>
      <c r="C5073" s="12" t="inlineStr">
        <is>
          <t>Modular / portable power</t>
        </is>
      </c>
      <c r="D5073" s="12" t="inlineStr">
        <is>
          <t>Home run JB-T-MOD-1-AI01 to the control / marshalling room</t>
        </is>
      </c>
      <c r="E5073" s="12" t="inlineStr"/>
      <c r="F5073" s="12" t="inlineStr">
        <is>
          <t>PCM: power control module</t>
        </is>
      </c>
      <c r="G5073" s="12" t="inlineStr">
        <is>
          <t>JB-T-MOD-1-AI01</t>
        </is>
      </c>
      <c r="H5073" s="12" t="inlineStr">
        <is>
          <t>T-MOD-1: 13.8/230 kV</t>
        </is>
      </c>
      <c r="I5073" s="12" t="inlineStr">
        <is>
          <t>Instrumentation</t>
        </is>
      </c>
      <c r="J5073" s="12" t="inlineStr">
        <is>
          <t>Instrumentation PLTC / TC-ER 300 V, #18 twisted shielded pairs, overall shield</t>
        </is>
      </c>
      <c r="K5073" s="12" t="inlineStr">
        <is>
          <t>PLTC|24 pr|18</t>
        </is>
      </c>
      <c r="L5073" s="12" t="inlineStr">
        <is>
          <t>24 pr</t>
        </is>
      </c>
      <c r="M5073" s="12" t="inlineStr">
        <is>
          <t>18</t>
        </is>
      </c>
      <c r="N5073" s="12" t="n">
        <v>1</v>
      </c>
      <c r="O5073" s="12" t="n">
        <v>1</v>
      </c>
      <c r="P5073" s="12" t="n"/>
      <c r="Q5073" s="12" t="n"/>
      <c r="R5073" s="12" t="n"/>
      <c r="S5073" s="12" t="inlineStr">
        <is>
          <t>Duct bank</t>
        </is>
      </c>
      <c r="T5073" s="16" t="n">
        <v>415</v>
      </c>
      <c r="U5073" s="16" t="n">
        <v>82</v>
      </c>
      <c r="V5073" s="16">
        <f>ROUNDUP((T5073+U5073+2*'Read Me'!$B$13)*(1+'Read Me'!$B$12),-1)</f>
        <v/>
      </c>
      <c r="W5073" s="16">
        <f>V5073*N5073*O5073</f>
        <v/>
      </c>
      <c r="X5073" s="12">
        <f>IF(LEFT(I5073,2)="MV",2*N5073*IF(L5073="1/C",O5073,1),0)</f>
        <v/>
      </c>
      <c r="Y5073" s="12">
        <f>IF(OR(LEFT(K5073,4)="LVAX",LEFT(K5073,6)="MV15AX",LEFT(K5073,4)="CTAX",LEFT(K5073,2)="W|"),2*N5073*O5073,0)</f>
        <v/>
      </c>
      <c r="Z5073" s="12" t="inlineStr"/>
      <c r="AA5073" s="12">
        <f>N5073*O5073</f>
        <v/>
      </c>
    </row>
    <row r="5074">
      <c r="A5074" s="12" t="inlineStr">
        <is>
          <t>I-I-0525</t>
        </is>
      </c>
      <c r="B5074" s="12" t="inlineStr">
        <is>
          <t>I</t>
        </is>
      </c>
      <c r="C5074" s="12" t="inlineStr">
        <is>
          <t>Modular / portable power</t>
        </is>
      </c>
      <c r="D5074" s="12" t="inlineStr">
        <is>
          <t>Discrete device to JB JB-T-MOD-1-DI01: 16 x 1 pr (field cables)</t>
        </is>
      </c>
      <c r="E5074" s="12" t="inlineStr">
        <is>
          <t>T-MOD-1</t>
        </is>
      </c>
      <c r="F5074" s="12" t="inlineStr">
        <is>
          <t>T-MOD-1: 13.8/230 kV</t>
        </is>
      </c>
      <c r="G5074" s="12" t="inlineStr">
        <is>
          <t>JB-T-MOD-1-DI01</t>
        </is>
      </c>
      <c r="H5074" s="12" t="inlineStr">
        <is>
          <t>T-MOD-1: 13.8/230 kV</t>
        </is>
      </c>
      <c r="I5074" s="12" t="inlineStr">
        <is>
          <t>Instrumentation</t>
        </is>
      </c>
      <c r="J5074" s="12" t="inlineStr">
        <is>
          <t>Instrumentation PLTC / TC-ER 300 V, #18 twisted shielded pairs, overall shield</t>
        </is>
      </c>
      <c r="K5074" s="12" t="inlineStr">
        <is>
          <t>PLTC|1 pr|16</t>
        </is>
      </c>
      <c r="L5074" s="12" t="inlineStr">
        <is>
          <t>1 pr</t>
        </is>
      </c>
      <c r="M5074" s="12" t="inlineStr">
        <is>
          <t>16</t>
        </is>
      </c>
      <c r="N5074" s="12" t="n">
        <v>16</v>
      </c>
      <c r="O5074" s="12" t="n">
        <v>1</v>
      </c>
      <c r="P5074" s="12" t="n"/>
      <c r="Q5074" s="12" t="n"/>
      <c r="R5074" s="12" t="n"/>
      <c r="S5074" s="12" t="inlineStr">
        <is>
          <t>Tray / conduit</t>
        </is>
      </c>
      <c r="T5074" s="16" t="n">
        <v>77</v>
      </c>
      <c r="U5074" s="16" t="n">
        <v>10</v>
      </c>
      <c r="V5074" s="16">
        <f>ROUNDUP((T5074+U5074+2*'Read Me'!$B$13)*(1+'Read Me'!$B$12),-1)</f>
        <v/>
      </c>
      <c r="W5074" s="16">
        <f>V5074*N5074*O5074</f>
        <v/>
      </c>
      <c r="X5074" s="12">
        <f>IF(LEFT(I5074,2)="MV",2*N5074*IF(L5074="1/C",O5074,1),0)</f>
        <v/>
      </c>
      <c r="Y5074" s="12">
        <f>IF(OR(LEFT(K5074,4)="LVAX",LEFT(K5074,6)="MV15AX",LEFT(K5074,4)="CTAX",LEFT(K5074,2)="W|"),2*N5074*O5074,0)</f>
        <v/>
      </c>
      <c r="Z5074" s="12" t="inlineStr">
        <is>
          <t>device-to-JB field wiring, one cable per device</t>
        </is>
      </c>
      <c r="AA5074" s="12">
        <f>N5074*O5074</f>
        <v/>
      </c>
    </row>
    <row r="5075">
      <c r="A5075" s="12" t="inlineStr">
        <is>
          <t>I-I-0526</t>
        </is>
      </c>
      <c r="B5075" s="12" t="inlineStr">
        <is>
          <t>I</t>
        </is>
      </c>
      <c r="C5075" s="12" t="inlineStr">
        <is>
          <t>Modular / portable power</t>
        </is>
      </c>
      <c r="D5075" s="12" t="inlineStr">
        <is>
          <t>Home run JB-T-MOD-1-DI01 to the control / marshalling room</t>
        </is>
      </c>
      <c r="E5075" s="12" t="inlineStr"/>
      <c r="F5075" s="12" t="inlineStr">
        <is>
          <t>PCM: power control module</t>
        </is>
      </c>
      <c r="G5075" s="12" t="inlineStr">
        <is>
          <t>JB-T-MOD-1-DI01</t>
        </is>
      </c>
      <c r="H5075" s="12" t="inlineStr">
        <is>
          <t>T-MOD-1: 13.8/230 kV</t>
        </is>
      </c>
      <c r="I5075" s="12" t="inlineStr">
        <is>
          <t>Instrumentation</t>
        </is>
      </c>
      <c r="J5075" s="12" t="inlineStr">
        <is>
          <t>Instrumentation PLTC / TC-ER 300 V, #18 twisted shielded pairs, overall shield</t>
        </is>
      </c>
      <c r="K5075" s="12" t="inlineStr">
        <is>
          <t>PLTC|24 pr|18</t>
        </is>
      </c>
      <c r="L5075" s="12" t="inlineStr">
        <is>
          <t>24 pr</t>
        </is>
      </c>
      <c r="M5075" s="12" t="inlineStr">
        <is>
          <t>18</t>
        </is>
      </c>
      <c r="N5075" s="12" t="n">
        <v>1</v>
      </c>
      <c r="O5075" s="12" t="n">
        <v>1</v>
      </c>
      <c r="P5075" s="12" t="n"/>
      <c r="Q5075" s="12" t="n"/>
      <c r="R5075" s="12" t="n"/>
      <c r="S5075" s="12" t="inlineStr">
        <is>
          <t>Duct bank</t>
        </is>
      </c>
      <c r="T5075" s="16" t="n">
        <v>415</v>
      </c>
      <c r="U5075" s="16" t="n">
        <v>82</v>
      </c>
      <c r="V5075" s="16">
        <f>ROUNDUP((T5075+U5075+2*'Read Me'!$B$13)*(1+'Read Me'!$B$12),-1)</f>
        <v/>
      </c>
      <c r="W5075" s="16">
        <f>V5075*N5075*O5075</f>
        <v/>
      </c>
      <c r="X5075" s="12">
        <f>IF(LEFT(I5075,2)="MV",2*N5075*IF(L5075="1/C",O5075,1),0)</f>
        <v/>
      </c>
      <c r="Y5075" s="12">
        <f>IF(OR(LEFT(K5075,4)="LVAX",LEFT(K5075,6)="MV15AX",LEFT(K5075,4)="CTAX",LEFT(K5075,2)="W|"),2*N5075*O5075,0)</f>
        <v/>
      </c>
      <c r="Z5075" s="12" t="inlineStr"/>
      <c r="AA5075" s="12">
        <f>N5075*O5075</f>
        <v/>
      </c>
    </row>
    <row r="5076">
      <c r="A5076" s="12" t="inlineStr">
        <is>
          <t>I-I-0527</t>
        </is>
      </c>
      <c r="B5076" s="12" t="inlineStr">
        <is>
          <t>I</t>
        </is>
      </c>
      <c r="C5076" s="12" t="inlineStr">
        <is>
          <t>Modular / portable power</t>
        </is>
      </c>
      <c r="D5076" s="12" t="inlineStr">
        <is>
          <t>Analog instrument to JB JB-T-MOD-2-AI01: 8 x 1 pr (field cables)</t>
        </is>
      </c>
      <c r="E5076" s="12" t="inlineStr">
        <is>
          <t>T-MOD-2</t>
        </is>
      </c>
      <c r="F5076" s="12" t="inlineStr">
        <is>
          <t>T-MOD-2: 13.8/230 kV</t>
        </is>
      </c>
      <c r="G5076" s="12" t="inlineStr">
        <is>
          <t>JB-T-MOD-2-AI01</t>
        </is>
      </c>
      <c r="H5076" s="12" t="inlineStr">
        <is>
          <t>T-MOD-2: 13.8/230 kV</t>
        </is>
      </c>
      <c r="I5076" s="12" t="inlineStr">
        <is>
          <t>Instrumentation</t>
        </is>
      </c>
      <c r="J5076" s="12" t="inlineStr">
        <is>
          <t>Instrumentation PLTC / TC-ER 300 V, #18 twisted shielded pairs, overall shield</t>
        </is>
      </c>
      <c r="K5076" s="12" t="inlineStr">
        <is>
          <t>PLTC|1 pr|16</t>
        </is>
      </c>
      <c r="L5076" s="12" t="inlineStr">
        <is>
          <t>1 pr</t>
        </is>
      </c>
      <c r="M5076" s="12" t="inlineStr">
        <is>
          <t>16</t>
        </is>
      </c>
      <c r="N5076" s="12" t="n">
        <v>8</v>
      </c>
      <c r="O5076" s="12" t="n">
        <v>1</v>
      </c>
      <c r="P5076" s="12" t="n"/>
      <c r="Q5076" s="12" t="n"/>
      <c r="R5076" s="12" t="n"/>
      <c r="S5076" s="12" t="inlineStr">
        <is>
          <t>Tray / conduit</t>
        </is>
      </c>
      <c r="T5076" s="16" t="n">
        <v>77</v>
      </c>
      <c r="U5076" s="16" t="n">
        <v>10</v>
      </c>
      <c r="V5076" s="16">
        <f>ROUNDUP((T5076+U5076+2*'Read Me'!$B$13)*(1+'Read Me'!$B$12),-1)</f>
        <v/>
      </c>
      <c r="W5076" s="16">
        <f>V5076*N5076*O5076</f>
        <v/>
      </c>
      <c r="X5076" s="12">
        <f>IF(LEFT(I5076,2)="MV",2*N5076*IF(L5076="1/C",O5076,1),0)</f>
        <v/>
      </c>
      <c r="Y5076" s="12">
        <f>IF(OR(LEFT(K5076,4)="LVAX",LEFT(K5076,6)="MV15AX",LEFT(K5076,4)="CTAX",LEFT(K5076,2)="W|"),2*N5076*O5076,0)</f>
        <v/>
      </c>
      <c r="Z5076" s="12" t="inlineStr">
        <is>
          <t>device-to-JB field wiring, one cable per device</t>
        </is>
      </c>
      <c r="AA5076" s="12">
        <f>N5076*O5076</f>
        <v/>
      </c>
    </row>
    <row r="5077">
      <c r="A5077" s="12" t="inlineStr">
        <is>
          <t>I-I-0528</t>
        </is>
      </c>
      <c r="B5077" s="12" t="inlineStr">
        <is>
          <t>I</t>
        </is>
      </c>
      <c r="C5077" s="12" t="inlineStr">
        <is>
          <t>Modular / portable power</t>
        </is>
      </c>
      <c r="D5077" s="12" t="inlineStr">
        <is>
          <t>Home run JB-T-MOD-2-AI01 to the control / marshalling room</t>
        </is>
      </c>
      <c r="E5077" s="12" t="inlineStr"/>
      <c r="F5077" s="12" t="inlineStr">
        <is>
          <t>PCM: power control module</t>
        </is>
      </c>
      <c r="G5077" s="12" t="inlineStr">
        <is>
          <t>JB-T-MOD-2-AI01</t>
        </is>
      </c>
      <c r="H5077" s="12" t="inlineStr">
        <is>
          <t>T-MOD-2: 13.8/230 kV</t>
        </is>
      </c>
      <c r="I5077" s="12" t="inlineStr">
        <is>
          <t>Instrumentation</t>
        </is>
      </c>
      <c r="J5077" s="12" t="inlineStr">
        <is>
          <t>Instrumentation PLTC / TC-ER 300 V, #18 twisted shielded pairs, overall shield</t>
        </is>
      </c>
      <c r="K5077" s="12" t="inlineStr">
        <is>
          <t>PLTC|24 pr|18</t>
        </is>
      </c>
      <c r="L5077" s="12" t="inlineStr">
        <is>
          <t>24 pr</t>
        </is>
      </c>
      <c r="M5077" s="12" t="inlineStr">
        <is>
          <t>18</t>
        </is>
      </c>
      <c r="N5077" s="12" t="n">
        <v>1</v>
      </c>
      <c r="O5077" s="12" t="n">
        <v>1</v>
      </c>
      <c r="P5077" s="12" t="n"/>
      <c r="Q5077" s="12" t="n"/>
      <c r="R5077" s="12" t="n"/>
      <c r="S5077" s="12" t="inlineStr">
        <is>
          <t>Duct bank</t>
        </is>
      </c>
      <c r="T5077" s="16" t="n">
        <v>673</v>
      </c>
      <c r="U5077" s="16" t="n">
        <v>132</v>
      </c>
      <c r="V5077" s="16">
        <f>ROUNDUP((T5077+U5077+2*'Read Me'!$B$13)*(1+'Read Me'!$B$12),-1)</f>
        <v/>
      </c>
      <c r="W5077" s="16">
        <f>V5077*N5077*O5077</f>
        <v/>
      </c>
      <c r="X5077" s="12">
        <f>IF(LEFT(I5077,2)="MV",2*N5077*IF(L5077="1/C",O5077,1),0)</f>
        <v/>
      </c>
      <c r="Y5077" s="12">
        <f>IF(OR(LEFT(K5077,4)="LVAX",LEFT(K5077,6)="MV15AX",LEFT(K5077,4)="CTAX",LEFT(K5077,2)="W|"),2*N5077*O5077,0)</f>
        <v/>
      </c>
      <c r="Z5077" s="12" t="inlineStr"/>
      <c r="AA5077" s="12">
        <f>N5077*O5077</f>
        <v/>
      </c>
    </row>
    <row r="5078">
      <c r="A5078" s="12" t="inlineStr">
        <is>
          <t>I-I-0529</t>
        </is>
      </c>
      <c r="B5078" s="12" t="inlineStr">
        <is>
          <t>I</t>
        </is>
      </c>
      <c r="C5078" s="12" t="inlineStr">
        <is>
          <t>Modular / portable power</t>
        </is>
      </c>
      <c r="D5078" s="12" t="inlineStr">
        <is>
          <t>Discrete device to JB JB-T-MOD-2-DI01: 16 x 1 pr (field cables)</t>
        </is>
      </c>
      <c r="E5078" s="12" t="inlineStr">
        <is>
          <t>T-MOD-2</t>
        </is>
      </c>
      <c r="F5078" s="12" t="inlineStr">
        <is>
          <t>T-MOD-2: 13.8/230 kV</t>
        </is>
      </c>
      <c r="G5078" s="12" t="inlineStr">
        <is>
          <t>JB-T-MOD-2-DI01</t>
        </is>
      </c>
      <c r="H5078" s="12" t="inlineStr">
        <is>
          <t>T-MOD-2: 13.8/230 kV</t>
        </is>
      </c>
      <c r="I5078" s="12" t="inlineStr">
        <is>
          <t>Instrumentation</t>
        </is>
      </c>
      <c r="J5078" s="12" t="inlineStr">
        <is>
          <t>Instrumentation PLTC / TC-ER 300 V, #18 twisted shielded pairs, overall shield</t>
        </is>
      </c>
      <c r="K5078" s="12" t="inlineStr">
        <is>
          <t>PLTC|1 pr|16</t>
        </is>
      </c>
      <c r="L5078" s="12" t="inlineStr">
        <is>
          <t>1 pr</t>
        </is>
      </c>
      <c r="M5078" s="12" t="inlineStr">
        <is>
          <t>16</t>
        </is>
      </c>
      <c r="N5078" s="12" t="n">
        <v>16</v>
      </c>
      <c r="O5078" s="12" t="n">
        <v>1</v>
      </c>
      <c r="P5078" s="12" t="n"/>
      <c r="Q5078" s="12" t="n"/>
      <c r="R5078" s="12" t="n"/>
      <c r="S5078" s="12" t="inlineStr">
        <is>
          <t>Tray / conduit</t>
        </is>
      </c>
      <c r="T5078" s="16" t="n">
        <v>77</v>
      </c>
      <c r="U5078" s="16" t="n">
        <v>10</v>
      </c>
      <c r="V5078" s="16">
        <f>ROUNDUP((T5078+U5078+2*'Read Me'!$B$13)*(1+'Read Me'!$B$12),-1)</f>
        <v/>
      </c>
      <c r="W5078" s="16">
        <f>V5078*N5078*O5078</f>
        <v/>
      </c>
      <c r="X5078" s="12">
        <f>IF(LEFT(I5078,2)="MV",2*N5078*IF(L5078="1/C",O5078,1),0)</f>
        <v/>
      </c>
      <c r="Y5078" s="12">
        <f>IF(OR(LEFT(K5078,4)="LVAX",LEFT(K5078,6)="MV15AX",LEFT(K5078,4)="CTAX",LEFT(K5078,2)="W|"),2*N5078*O5078,0)</f>
        <v/>
      </c>
      <c r="Z5078" s="12" t="inlineStr">
        <is>
          <t>device-to-JB field wiring, one cable per device</t>
        </is>
      </c>
      <c r="AA5078" s="12">
        <f>N5078*O5078</f>
        <v/>
      </c>
    </row>
    <row r="5079">
      <c r="A5079" s="12" t="inlineStr">
        <is>
          <t>I-I-0530</t>
        </is>
      </c>
      <c r="B5079" s="12" t="inlineStr">
        <is>
          <t>I</t>
        </is>
      </c>
      <c r="C5079" s="12" t="inlineStr">
        <is>
          <t>Modular / portable power</t>
        </is>
      </c>
      <c r="D5079" s="12" t="inlineStr">
        <is>
          <t>Home run JB-T-MOD-2-DI01 to the control / marshalling room</t>
        </is>
      </c>
      <c r="E5079" s="12" t="inlineStr"/>
      <c r="F5079" s="12" t="inlineStr">
        <is>
          <t>PCM: power control module</t>
        </is>
      </c>
      <c r="G5079" s="12" t="inlineStr">
        <is>
          <t>JB-T-MOD-2-DI01</t>
        </is>
      </c>
      <c r="H5079" s="12" t="inlineStr">
        <is>
          <t>T-MOD-2: 13.8/230 kV</t>
        </is>
      </c>
      <c r="I5079" s="12" t="inlineStr">
        <is>
          <t>Instrumentation</t>
        </is>
      </c>
      <c r="J5079" s="12" t="inlineStr">
        <is>
          <t>Instrumentation PLTC / TC-ER 300 V, #18 twisted shielded pairs, overall shield</t>
        </is>
      </c>
      <c r="K5079" s="12" t="inlineStr">
        <is>
          <t>PLTC|24 pr|18</t>
        </is>
      </c>
      <c r="L5079" s="12" t="inlineStr">
        <is>
          <t>24 pr</t>
        </is>
      </c>
      <c r="M5079" s="12" t="inlineStr">
        <is>
          <t>18</t>
        </is>
      </c>
      <c r="N5079" s="12" t="n">
        <v>1</v>
      </c>
      <c r="O5079" s="12" t="n">
        <v>1</v>
      </c>
      <c r="P5079" s="12" t="n"/>
      <c r="Q5079" s="12" t="n"/>
      <c r="R5079" s="12" t="n"/>
      <c r="S5079" s="12" t="inlineStr">
        <is>
          <t>Duct bank</t>
        </is>
      </c>
      <c r="T5079" s="16" t="n">
        <v>673</v>
      </c>
      <c r="U5079" s="16" t="n">
        <v>132</v>
      </c>
      <c r="V5079" s="16">
        <f>ROUNDUP((T5079+U5079+2*'Read Me'!$B$13)*(1+'Read Me'!$B$12),-1)</f>
        <v/>
      </c>
      <c r="W5079" s="16">
        <f>V5079*N5079*O5079</f>
        <v/>
      </c>
      <c r="X5079" s="12">
        <f>IF(LEFT(I5079,2)="MV",2*N5079*IF(L5079="1/C",O5079,1),0)</f>
        <v/>
      </c>
      <c r="Y5079" s="12">
        <f>IF(OR(LEFT(K5079,4)="LVAX",LEFT(K5079,6)="MV15AX",LEFT(K5079,4)="CTAX",LEFT(K5079,2)="W|"),2*N5079*O5079,0)</f>
        <v/>
      </c>
      <c r="Z5079" s="12" t="inlineStr"/>
      <c r="AA5079" s="12">
        <f>N5079*O5079</f>
        <v/>
      </c>
    </row>
    <row r="5080">
      <c r="A5080" s="12" t="inlineStr">
        <is>
          <t>I-I-0531</t>
        </is>
      </c>
      <c r="B5080" s="12" t="inlineStr">
        <is>
          <t>I</t>
        </is>
      </c>
      <c r="C5080" s="12" t="inlineStr">
        <is>
          <t>Modular / portable power</t>
        </is>
      </c>
      <c r="D5080" s="12" t="inlineStr">
        <is>
          <t>Analog instrument to JB JB-TM-1-AI01: 20 x 1 pr (field cables)</t>
        </is>
      </c>
      <c r="E5080" s="12" t="inlineStr">
        <is>
          <t>TM-1</t>
        </is>
      </c>
      <c r="F5080" s="12" t="inlineStr">
        <is>
          <t>TM-1: trailer-mounted aeroderivative GT (TM2500 class, ~35 MW)</t>
        </is>
      </c>
      <c r="G5080" s="12" t="inlineStr">
        <is>
          <t>JB-TM-1-AI01</t>
        </is>
      </c>
      <c r="H5080" s="12" t="inlineStr">
        <is>
          <t>TM-1: trailer-mounted aeroderivative GT (TM2500 class, ~35 MW)</t>
        </is>
      </c>
      <c r="I5080" s="12" t="inlineStr">
        <is>
          <t>Instrumentation</t>
        </is>
      </c>
      <c r="J5080" s="12" t="inlineStr">
        <is>
          <t>Instrumentation PLTC / TC-ER 300 V, #18 twisted shielded pairs, overall shield</t>
        </is>
      </c>
      <c r="K5080" s="12" t="inlineStr">
        <is>
          <t>PLTC|1 pr|16</t>
        </is>
      </c>
      <c r="L5080" s="12" t="inlineStr">
        <is>
          <t>1 pr</t>
        </is>
      </c>
      <c r="M5080" s="12" t="inlineStr">
        <is>
          <t>16</t>
        </is>
      </c>
      <c r="N5080" s="12" t="n">
        <v>20</v>
      </c>
      <c r="O5080" s="12" t="n">
        <v>1</v>
      </c>
      <c r="P5080" s="12" t="n"/>
      <c r="Q5080" s="12" t="n"/>
      <c r="R5080" s="12" t="n"/>
      <c r="S5080" s="12" t="inlineStr">
        <is>
          <t>Tray / conduit</t>
        </is>
      </c>
      <c r="T5080" s="16" t="n">
        <v>108</v>
      </c>
      <c r="U5080" s="16" t="n">
        <v>10</v>
      </c>
      <c r="V5080" s="16">
        <f>ROUNDUP((T5080+U5080+2*'Read Me'!$B$13)*(1+'Read Me'!$B$12),-1)</f>
        <v/>
      </c>
      <c r="W5080" s="16">
        <f>V5080*N5080*O5080</f>
        <v/>
      </c>
      <c r="X5080" s="12">
        <f>IF(LEFT(I5080,2)="MV",2*N5080*IF(L5080="1/C",O5080,1),0)</f>
        <v/>
      </c>
      <c r="Y5080" s="12">
        <f>IF(OR(LEFT(K5080,4)="LVAX",LEFT(K5080,6)="MV15AX",LEFT(K5080,4)="CTAX",LEFT(K5080,2)="W|"),2*N5080*O5080,0)</f>
        <v/>
      </c>
      <c r="Z5080" s="12" t="inlineStr">
        <is>
          <t>device-to-JB field wiring, one cable per device</t>
        </is>
      </c>
      <c r="AA5080" s="12">
        <f>N5080*O5080</f>
        <v/>
      </c>
    </row>
    <row r="5081">
      <c r="A5081" s="12" t="inlineStr">
        <is>
          <t>I-I-0532</t>
        </is>
      </c>
      <c r="B5081" s="12" t="inlineStr">
        <is>
          <t>I</t>
        </is>
      </c>
      <c r="C5081" s="12" t="inlineStr">
        <is>
          <t>Modular / portable power</t>
        </is>
      </c>
      <c r="D5081" s="12" t="inlineStr">
        <is>
          <t>Home run JB-TM-1-AI01 to the control / marshalling room</t>
        </is>
      </c>
      <c r="E5081" s="12" t="inlineStr">
        <is>
          <t>PAD-EH</t>
        </is>
      </c>
      <c r="F5081" s="12" t="inlineStr">
        <is>
          <t>PAD-EH 13.8 kV switchgear e-house</t>
        </is>
      </c>
      <c r="G5081" s="12" t="inlineStr">
        <is>
          <t>JB-TM-1-AI01</t>
        </is>
      </c>
      <c r="H5081" s="12" t="inlineStr">
        <is>
          <t>TM-1: trailer-mounted aeroderivative GT (TM2500 class, ~35 MW)</t>
        </is>
      </c>
      <c r="I5081" s="12" t="inlineStr">
        <is>
          <t>Instrumentation</t>
        </is>
      </c>
      <c r="J5081" s="12" t="inlineStr">
        <is>
          <t>Instrumentation PLTC / TC-ER 300 V, #18 twisted shielded pairs, overall shield</t>
        </is>
      </c>
      <c r="K5081" s="12" t="inlineStr">
        <is>
          <t>PLTC|24 pr|18</t>
        </is>
      </c>
      <c r="L5081" s="12" t="inlineStr">
        <is>
          <t>24 pr</t>
        </is>
      </c>
      <c r="M5081" s="12" t="inlineStr">
        <is>
          <t>18</t>
        </is>
      </c>
      <c r="N5081" s="12" t="n">
        <v>1</v>
      </c>
      <c r="O5081" s="12" t="n">
        <v>1</v>
      </c>
      <c r="P5081" s="12" t="n"/>
      <c r="Q5081" s="12" t="n"/>
      <c r="R5081" s="12" t="n"/>
      <c r="S5081" s="12" t="inlineStr">
        <is>
          <t>Surface</t>
        </is>
      </c>
      <c r="T5081" s="16" t="n">
        <v>382</v>
      </c>
      <c r="U5081" s="16" t="n">
        <v>50</v>
      </c>
      <c r="V5081" s="16">
        <f>ROUNDUP((T5081+U5081+2*'Read Me'!$B$13)*(1+'Read Me'!$B$12),-1)</f>
        <v/>
      </c>
      <c r="W5081" s="16">
        <f>V5081*N5081*O5081</f>
        <v/>
      </c>
      <c r="X5081" s="12">
        <f>IF(LEFT(I5081,2)="MV",2*N5081*IF(L5081="1/C",O5081,1),0)</f>
        <v/>
      </c>
      <c r="Y5081" s="12">
        <f>IF(OR(LEFT(K5081,4)="LVAX",LEFT(K5081,6)="MV15AX",LEFT(K5081,4)="CTAX",LEFT(K5081,2)="W|"),2*N5081*O5081,0)</f>
        <v/>
      </c>
      <c r="Z5081" s="12" t="inlineStr"/>
      <c r="AA5081" s="12">
        <f>N5081*O5081</f>
        <v/>
      </c>
    </row>
    <row r="5082">
      <c r="A5082" s="12" t="inlineStr">
        <is>
          <t>I-I-0533</t>
        </is>
      </c>
      <c r="B5082" s="12" t="inlineStr">
        <is>
          <t>I</t>
        </is>
      </c>
      <c r="C5082" s="12" t="inlineStr">
        <is>
          <t>Modular / portable power</t>
        </is>
      </c>
      <c r="D5082" s="12" t="inlineStr">
        <is>
          <t>Analog instrument to JB JB-TM-1-AI02: 20 x 1 pr (field cables)</t>
        </is>
      </c>
      <c r="E5082" s="12" t="inlineStr">
        <is>
          <t>TM-1</t>
        </is>
      </c>
      <c r="F5082" s="12" t="inlineStr">
        <is>
          <t>TM-1: trailer-mounted aeroderivative GT (TM2500 class, ~35 MW)</t>
        </is>
      </c>
      <c r="G5082" s="12" t="inlineStr">
        <is>
          <t>JB-TM-1-AI02</t>
        </is>
      </c>
      <c r="H5082" s="12" t="inlineStr">
        <is>
          <t>TM-1: trailer-mounted aeroderivative GT (TM2500 class, ~35 MW)</t>
        </is>
      </c>
      <c r="I5082" s="12" t="inlineStr">
        <is>
          <t>Instrumentation</t>
        </is>
      </c>
      <c r="J5082" s="12" t="inlineStr">
        <is>
          <t>Instrumentation PLTC / TC-ER 300 V, #18 twisted shielded pairs, overall shield</t>
        </is>
      </c>
      <c r="K5082" s="12" t="inlineStr">
        <is>
          <t>PLTC|1 pr|16</t>
        </is>
      </c>
      <c r="L5082" s="12" t="inlineStr">
        <is>
          <t>1 pr</t>
        </is>
      </c>
      <c r="M5082" s="12" t="inlineStr">
        <is>
          <t>16</t>
        </is>
      </c>
      <c r="N5082" s="12" t="n">
        <v>20</v>
      </c>
      <c r="O5082" s="12" t="n">
        <v>1</v>
      </c>
      <c r="P5082" s="12" t="n"/>
      <c r="Q5082" s="12" t="n"/>
      <c r="R5082" s="12" t="n"/>
      <c r="S5082" s="12" t="inlineStr">
        <is>
          <t>Tray / conduit</t>
        </is>
      </c>
      <c r="T5082" s="16" t="n">
        <v>108</v>
      </c>
      <c r="U5082" s="16" t="n">
        <v>10</v>
      </c>
      <c r="V5082" s="16">
        <f>ROUNDUP((T5082+U5082+2*'Read Me'!$B$13)*(1+'Read Me'!$B$12),-1)</f>
        <v/>
      </c>
      <c r="W5082" s="16">
        <f>V5082*N5082*O5082</f>
        <v/>
      </c>
      <c r="X5082" s="12">
        <f>IF(LEFT(I5082,2)="MV",2*N5082*IF(L5082="1/C",O5082,1),0)</f>
        <v/>
      </c>
      <c r="Y5082" s="12">
        <f>IF(OR(LEFT(K5082,4)="LVAX",LEFT(K5082,6)="MV15AX",LEFT(K5082,4)="CTAX",LEFT(K5082,2)="W|"),2*N5082*O5082,0)</f>
        <v/>
      </c>
      <c r="Z5082" s="12" t="inlineStr">
        <is>
          <t>device-to-JB field wiring, one cable per device</t>
        </is>
      </c>
      <c r="AA5082" s="12">
        <f>N5082*O5082</f>
        <v/>
      </c>
    </row>
    <row r="5083">
      <c r="A5083" s="12" t="inlineStr">
        <is>
          <t>I-I-0534</t>
        </is>
      </c>
      <c r="B5083" s="12" t="inlineStr">
        <is>
          <t>I</t>
        </is>
      </c>
      <c r="C5083" s="12" t="inlineStr">
        <is>
          <t>Modular / portable power</t>
        </is>
      </c>
      <c r="D5083" s="12" t="inlineStr">
        <is>
          <t>Home run JB-TM-1-AI02 to the control / marshalling room</t>
        </is>
      </c>
      <c r="E5083" s="12" t="inlineStr">
        <is>
          <t>PAD-EH</t>
        </is>
      </c>
      <c r="F5083" s="12" t="inlineStr">
        <is>
          <t>PAD-EH 13.8 kV switchgear e-house</t>
        </is>
      </c>
      <c r="G5083" s="12" t="inlineStr">
        <is>
          <t>JB-TM-1-AI02</t>
        </is>
      </c>
      <c r="H5083" s="12" t="inlineStr">
        <is>
          <t>TM-1: trailer-mounted aeroderivative GT (TM2500 class, ~35 MW)</t>
        </is>
      </c>
      <c r="I5083" s="12" t="inlineStr">
        <is>
          <t>Instrumentation</t>
        </is>
      </c>
      <c r="J5083" s="12" t="inlineStr">
        <is>
          <t>Instrumentation PLTC / TC-ER 300 V, #18 twisted shielded pairs, overall shield</t>
        </is>
      </c>
      <c r="K5083" s="12" t="inlineStr">
        <is>
          <t>PLTC|24 pr|18</t>
        </is>
      </c>
      <c r="L5083" s="12" t="inlineStr">
        <is>
          <t>24 pr</t>
        </is>
      </c>
      <c r="M5083" s="12" t="inlineStr">
        <is>
          <t>18</t>
        </is>
      </c>
      <c r="N5083" s="12" t="n">
        <v>1</v>
      </c>
      <c r="O5083" s="12" t="n">
        <v>1</v>
      </c>
      <c r="P5083" s="12" t="n"/>
      <c r="Q5083" s="12" t="n"/>
      <c r="R5083" s="12" t="n"/>
      <c r="S5083" s="12" t="inlineStr">
        <is>
          <t>Surface</t>
        </is>
      </c>
      <c r="T5083" s="16" t="n">
        <v>382</v>
      </c>
      <c r="U5083" s="16" t="n">
        <v>50</v>
      </c>
      <c r="V5083" s="16">
        <f>ROUNDUP((T5083+U5083+2*'Read Me'!$B$13)*(1+'Read Me'!$B$12),-1)</f>
        <v/>
      </c>
      <c r="W5083" s="16">
        <f>V5083*N5083*O5083</f>
        <v/>
      </c>
      <c r="X5083" s="12">
        <f>IF(LEFT(I5083,2)="MV",2*N5083*IF(L5083="1/C",O5083,1),0)</f>
        <v/>
      </c>
      <c r="Y5083" s="12">
        <f>IF(OR(LEFT(K5083,4)="LVAX",LEFT(K5083,6)="MV15AX",LEFT(K5083,4)="CTAX",LEFT(K5083,2)="W|"),2*N5083*O5083,0)</f>
        <v/>
      </c>
      <c r="Z5083" s="12" t="inlineStr"/>
      <c r="AA5083" s="12">
        <f>N5083*O5083</f>
        <v/>
      </c>
    </row>
    <row r="5084">
      <c r="A5084" s="12" t="inlineStr">
        <is>
          <t>I-I-0535</t>
        </is>
      </c>
      <c r="B5084" s="12" t="inlineStr">
        <is>
          <t>I</t>
        </is>
      </c>
      <c r="C5084" s="12" t="inlineStr">
        <is>
          <t>Modular / portable power</t>
        </is>
      </c>
      <c r="D5084" s="12" t="inlineStr">
        <is>
          <t>Analog instrument to JB JB-TM-1-AI03: 20 x 1 pr (field cables)</t>
        </is>
      </c>
      <c r="E5084" s="12" t="inlineStr">
        <is>
          <t>TM-1</t>
        </is>
      </c>
      <c r="F5084" s="12" t="inlineStr">
        <is>
          <t>TM-1: trailer-mounted aeroderivative GT (TM2500 class, ~35 MW)</t>
        </is>
      </c>
      <c r="G5084" s="12" t="inlineStr">
        <is>
          <t>JB-TM-1-AI03</t>
        </is>
      </c>
      <c r="H5084" s="12" t="inlineStr">
        <is>
          <t>TM-1: trailer-mounted aeroderivative GT (TM2500 class, ~35 MW)</t>
        </is>
      </c>
      <c r="I5084" s="12" t="inlineStr">
        <is>
          <t>Instrumentation</t>
        </is>
      </c>
      <c r="J5084" s="12" t="inlineStr">
        <is>
          <t>Instrumentation PLTC / TC-ER 300 V, #18 twisted shielded pairs, overall shield</t>
        </is>
      </c>
      <c r="K5084" s="12" t="inlineStr">
        <is>
          <t>PLTC|1 pr|16</t>
        </is>
      </c>
      <c r="L5084" s="12" t="inlineStr">
        <is>
          <t>1 pr</t>
        </is>
      </c>
      <c r="M5084" s="12" t="inlineStr">
        <is>
          <t>16</t>
        </is>
      </c>
      <c r="N5084" s="12" t="n">
        <v>20</v>
      </c>
      <c r="O5084" s="12" t="n">
        <v>1</v>
      </c>
      <c r="P5084" s="12" t="n"/>
      <c r="Q5084" s="12" t="n"/>
      <c r="R5084" s="12" t="n"/>
      <c r="S5084" s="12" t="inlineStr">
        <is>
          <t>Tray / conduit</t>
        </is>
      </c>
      <c r="T5084" s="16" t="n">
        <v>108</v>
      </c>
      <c r="U5084" s="16" t="n">
        <v>10</v>
      </c>
      <c r="V5084" s="16">
        <f>ROUNDUP((T5084+U5084+2*'Read Me'!$B$13)*(1+'Read Me'!$B$12),-1)</f>
        <v/>
      </c>
      <c r="W5084" s="16">
        <f>V5084*N5084*O5084</f>
        <v/>
      </c>
      <c r="X5084" s="12">
        <f>IF(LEFT(I5084,2)="MV",2*N5084*IF(L5084="1/C",O5084,1),0)</f>
        <v/>
      </c>
      <c r="Y5084" s="12">
        <f>IF(OR(LEFT(K5084,4)="LVAX",LEFT(K5084,6)="MV15AX",LEFT(K5084,4)="CTAX",LEFT(K5084,2)="W|"),2*N5084*O5084,0)</f>
        <v/>
      </c>
      <c r="Z5084" s="12" t="inlineStr">
        <is>
          <t>device-to-JB field wiring, one cable per device</t>
        </is>
      </c>
      <c r="AA5084" s="12">
        <f>N5084*O5084</f>
        <v/>
      </c>
    </row>
    <row r="5085">
      <c r="A5085" s="12" t="inlineStr">
        <is>
          <t>I-I-0536</t>
        </is>
      </c>
      <c r="B5085" s="12" t="inlineStr">
        <is>
          <t>I</t>
        </is>
      </c>
      <c r="C5085" s="12" t="inlineStr">
        <is>
          <t>Modular / portable power</t>
        </is>
      </c>
      <c r="D5085" s="12" t="inlineStr">
        <is>
          <t>Home run JB-TM-1-AI03 to the control / marshalling room</t>
        </is>
      </c>
      <c r="E5085" s="12" t="inlineStr">
        <is>
          <t>PAD-EH</t>
        </is>
      </c>
      <c r="F5085" s="12" t="inlineStr">
        <is>
          <t>PAD-EH 13.8 kV switchgear e-house</t>
        </is>
      </c>
      <c r="G5085" s="12" t="inlineStr">
        <is>
          <t>JB-TM-1-AI03</t>
        </is>
      </c>
      <c r="H5085" s="12" t="inlineStr">
        <is>
          <t>TM-1: trailer-mounted aeroderivative GT (TM2500 class, ~35 MW)</t>
        </is>
      </c>
      <c r="I5085" s="12" t="inlineStr">
        <is>
          <t>Instrumentation</t>
        </is>
      </c>
      <c r="J5085" s="12" t="inlineStr">
        <is>
          <t>Instrumentation PLTC / TC-ER 300 V, #18 twisted shielded pairs, overall shield</t>
        </is>
      </c>
      <c r="K5085" s="12" t="inlineStr">
        <is>
          <t>PLTC|24 pr|18</t>
        </is>
      </c>
      <c r="L5085" s="12" t="inlineStr">
        <is>
          <t>24 pr</t>
        </is>
      </c>
      <c r="M5085" s="12" t="inlineStr">
        <is>
          <t>18</t>
        </is>
      </c>
      <c r="N5085" s="12" t="n">
        <v>1</v>
      </c>
      <c r="O5085" s="12" t="n">
        <v>1</v>
      </c>
      <c r="P5085" s="12" t="n"/>
      <c r="Q5085" s="12" t="n"/>
      <c r="R5085" s="12" t="n"/>
      <c r="S5085" s="12" t="inlineStr">
        <is>
          <t>Surface</t>
        </is>
      </c>
      <c r="T5085" s="16" t="n">
        <v>382</v>
      </c>
      <c r="U5085" s="16" t="n">
        <v>50</v>
      </c>
      <c r="V5085" s="16">
        <f>ROUNDUP((T5085+U5085+2*'Read Me'!$B$13)*(1+'Read Me'!$B$12),-1)</f>
        <v/>
      </c>
      <c r="W5085" s="16">
        <f>V5085*N5085*O5085</f>
        <v/>
      </c>
      <c r="X5085" s="12">
        <f>IF(LEFT(I5085,2)="MV",2*N5085*IF(L5085="1/C",O5085,1),0)</f>
        <v/>
      </c>
      <c r="Y5085" s="12">
        <f>IF(OR(LEFT(K5085,4)="LVAX",LEFT(K5085,6)="MV15AX",LEFT(K5085,4)="CTAX",LEFT(K5085,2)="W|"),2*N5085*O5085,0)</f>
        <v/>
      </c>
      <c r="Z5085" s="12" t="inlineStr"/>
      <c r="AA5085" s="12">
        <f>N5085*O5085</f>
        <v/>
      </c>
    </row>
    <row r="5086">
      <c r="A5086" s="12" t="inlineStr">
        <is>
          <t>I-I-0537</t>
        </is>
      </c>
      <c r="B5086" s="12" t="inlineStr">
        <is>
          <t>I</t>
        </is>
      </c>
      <c r="C5086" s="12" t="inlineStr">
        <is>
          <t>Modular / portable power</t>
        </is>
      </c>
      <c r="D5086" s="12" t="inlineStr">
        <is>
          <t>Analog instrument to JB JB-TM-1-AI04: 20 x 1 pr (field cables)</t>
        </is>
      </c>
      <c r="E5086" s="12" t="inlineStr">
        <is>
          <t>TM-1</t>
        </is>
      </c>
      <c r="F5086" s="12" t="inlineStr">
        <is>
          <t>TM-1: trailer-mounted aeroderivative GT (TM2500 class, ~35 MW)</t>
        </is>
      </c>
      <c r="G5086" s="12" t="inlineStr">
        <is>
          <t>JB-TM-1-AI04</t>
        </is>
      </c>
      <c r="H5086" s="12" t="inlineStr">
        <is>
          <t>TM-1: trailer-mounted aeroderivative GT (TM2500 class, ~35 MW)</t>
        </is>
      </c>
      <c r="I5086" s="12" t="inlineStr">
        <is>
          <t>Instrumentation</t>
        </is>
      </c>
      <c r="J5086" s="12" t="inlineStr">
        <is>
          <t>Instrumentation PLTC / TC-ER 300 V, #18 twisted shielded pairs, overall shield</t>
        </is>
      </c>
      <c r="K5086" s="12" t="inlineStr">
        <is>
          <t>PLTC|1 pr|16</t>
        </is>
      </c>
      <c r="L5086" s="12" t="inlineStr">
        <is>
          <t>1 pr</t>
        </is>
      </c>
      <c r="M5086" s="12" t="inlineStr">
        <is>
          <t>16</t>
        </is>
      </c>
      <c r="N5086" s="12" t="n">
        <v>20</v>
      </c>
      <c r="O5086" s="12" t="n">
        <v>1</v>
      </c>
      <c r="P5086" s="12" t="n"/>
      <c r="Q5086" s="12" t="n"/>
      <c r="R5086" s="12" t="n"/>
      <c r="S5086" s="12" t="inlineStr">
        <is>
          <t>Tray / conduit</t>
        </is>
      </c>
      <c r="T5086" s="16" t="n">
        <v>108</v>
      </c>
      <c r="U5086" s="16" t="n">
        <v>10</v>
      </c>
      <c r="V5086" s="16">
        <f>ROUNDUP((T5086+U5086+2*'Read Me'!$B$13)*(1+'Read Me'!$B$12),-1)</f>
        <v/>
      </c>
      <c r="W5086" s="16">
        <f>V5086*N5086*O5086</f>
        <v/>
      </c>
      <c r="X5086" s="12">
        <f>IF(LEFT(I5086,2)="MV",2*N5086*IF(L5086="1/C",O5086,1),0)</f>
        <v/>
      </c>
      <c r="Y5086" s="12">
        <f>IF(OR(LEFT(K5086,4)="LVAX",LEFT(K5086,6)="MV15AX",LEFT(K5086,4)="CTAX",LEFT(K5086,2)="W|"),2*N5086*O5086,0)</f>
        <v/>
      </c>
      <c r="Z5086" s="12" t="inlineStr">
        <is>
          <t>device-to-JB field wiring, one cable per device</t>
        </is>
      </c>
      <c r="AA5086" s="12">
        <f>N5086*O5086</f>
        <v/>
      </c>
    </row>
    <row r="5087">
      <c r="A5087" s="12" t="inlineStr">
        <is>
          <t>I-I-0538</t>
        </is>
      </c>
      <c r="B5087" s="12" t="inlineStr">
        <is>
          <t>I</t>
        </is>
      </c>
      <c r="C5087" s="12" t="inlineStr">
        <is>
          <t>Modular / portable power</t>
        </is>
      </c>
      <c r="D5087" s="12" t="inlineStr">
        <is>
          <t>Home run JB-TM-1-AI04 to the control / marshalling room</t>
        </is>
      </c>
      <c r="E5087" s="12" t="inlineStr">
        <is>
          <t>PAD-EH</t>
        </is>
      </c>
      <c r="F5087" s="12" t="inlineStr">
        <is>
          <t>PAD-EH 13.8 kV switchgear e-house</t>
        </is>
      </c>
      <c r="G5087" s="12" t="inlineStr">
        <is>
          <t>JB-TM-1-AI04</t>
        </is>
      </c>
      <c r="H5087" s="12" t="inlineStr">
        <is>
          <t>TM-1: trailer-mounted aeroderivative GT (TM2500 class, ~35 MW)</t>
        </is>
      </c>
      <c r="I5087" s="12" t="inlineStr">
        <is>
          <t>Instrumentation</t>
        </is>
      </c>
      <c r="J5087" s="12" t="inlineStr">
        <is>
          <t>Instrumentation PLTC / TC-ER 300 V, #18 twisted shielded pairs, overall shield</t>
        </is>
      </c>
      <c r="K5087" s="12" t="inlineStr">
        <is>
          <t>PLTC|24 pr|18</t>
        </is>
      </c>
      <c r="L5087" s="12" t="inlineStr">
        <is>
          <t>24 pr</t>
        </is>
      </c>
      <c r="M5087" s="12" t="inlineStr">
        <is>
          <t>18</t>
        </is>
      </c>
      <c r="N5087" s="12" t="n">
        <v>1</v>
      </c>
      <c r="O5087" s="12" t="n">
        <v>1</v>
      </c>
      <c r="P5087" s="12" t="n"/>
      <c r="Q5087" s="12" t="n"/>
      <c r="R5087" s="12" t="n"/>
      <c r="S5087" s="12" t="inlineStr">
        <is>
          <t>Surface</t>
        </is>
      </c>
      <c r="T5087" s="16" t="n">
        <v>382</v>
      </c>
      <c r="U5087" s="16" t="n">
        <v>50</v>
      </c>
      <c r="V5087" s="16">
        <f>ROUNDUP((T5087+U5087+2*'Read Me'!$B$13)*(1+'Read Me'!$B$12),-1)</f>
        <v/>
      </c>
      <c r="W5087" s="16">
        <f>V5087*N5087*O5087</f>
        <v/>
      </c>
      <c r="X5087" s="12">
        <f>IF(LEFT(I5087,2)="MV",2*N5087*IF(L5087="1/C",O5087,1),0)</f>
        <v/>
      </c>
      <c r="Y5087" s="12">
        <f>IF(OR(LEFT(K5087,4)="LVAX",LEFT(K5087,6)="MV15AX",LEFT(K5087,4)="CTAX",LEFT(K5087,2)="W|"),2*N5087*O5087,0)</f>
        <v/>
      </c>
      <c r="Z5087" s="12" t="inlineStr"/>
      <c r="AA5087" s="12">
        <f>N5087*O5087</f>
        <v/>
      </c>
    </row>
    <row r="5088">
      <c r="A5088" s="12" t="inlineStr">
        <is>
          <t>I-I-0539</t>
        </is>
      </c>
      <c r="B5088" s="12" t="inlineStr">
        <is>
          <t>I</t>
        </is>
      </c>
      <c r="C5088" s="12" t="inlineStr">
        <is>
          <t>Modular / portable power</t>
        </is>
      </c>
      <c r="D5088" s="12" t="inlineStr">
        <is>
          <t>Analog instrument to JB JB-TM-1-AI05: 20 x 1 pr (field cables)</t>
        </is>
      </c>
      <c r="E5088" s="12" t="inlineStr">
        <is>
          <t>TM-1</t>
        </is>
      </c>
      <c r="F5088" s="12" t="inlineStr">
        <is>
          <t>TM-1: trailer-mounted aeroderivative GT (TM2500 class, ~35 MW)</t>
        </is>
      </c>
      <c r="G5088" s="12" t="inlineStr">
        <is>
          <t>JB-TM-1-AI05</t>
        </is>
      </c>
      <c r="H5088" s="12" t="inlineStr">
        <is>
          <t>TM-1: trailer-mounted aeroderivative GT (TM2500 class, ~35 MW)</t>
        </is>
      </c>
      <c r="I5088" s="12" t="inlineStr">
        <is>
          <t>Instrumentation</t>
        </is>
      </c>
      <c r="J5088" s="12" t="inlineStr">
        <is>
          <t>Instrumentation PLTC / TC-ER 300 V, #18 twisted shielded pairs, overall shield</t>
        </is>
      </c>
      <c r="K5088" s="12" t="inlineStr">
        <is>
          <t>PLTC|1 pr|16</t>
        </is>
      </c>
      <c r="L5088" s="12" t="inlineStr">
        <is>
          <t>1 pr</t>
        </is>
      </c>
      <c r="M5088" s="12" t="inlineStr">
        <is>
          <t>16</t>
        </is>
      </c>
      <c r="N5088" s="12" t="n">
        <v>20</v>
      </c>
      <c r="O5088" s="12" t="n">
        <v>1</v>
      </c>
      <c r="P5088" s="12" t="n"/>
      <c r="Q5088" s="12" t="n"/>
      <c r="R5088" s="12" t="n"/>
      <c r="S5088" s="12" t="inlineStr">
        <is>
          <t>Tray / conduit</t>
        </is>
      </c>
      <c r="T5088" s="16" t="n">
        <v>108</v>
      </c>
      <c r="U5088" s="16" t="n">
        <v>10</v>
      </c>
      <c r="V5088" s="16">
        <f>ROUNDUP((T5088+U5088+2*'Read Me'!$B$13)*(1+'Read Me'!$B$12),-1)</f>
        <v/>
      </c>
      <c r="W5088" s="16">
        <f>V5088*N5088*O5088</f>
        <v/>
      </c>
      <c r="X5088" s="12">
        <f>IF(LEFT(I5088,2)="MV",2*N5088*IF(L5088="1/C",O5088,1),0)</f>
        <v/>
      </c>
      <c r="Y5088" s="12">
        <f>IF(OR(LEFT(K5088,4)="LVAX",LEFT(K5088,6)="MV15AX",LEFT(K5088,4)="CTAX",LEFT(K5088,2)="W|"),2*N5088*O5088,0)</f>
        <v/>
      </c>
      <c r="Z5088" s="12" t="inlineStr">
        <is>
          <t>device-to-JB field wiring, one cable per device</t>
        </is>
      </c>
      <c r="AA5088" s="12">
        <f>N5088*O5088</f>
        <v/>
      </c>
    </row>
    <row r="5089">
      <c r="A5089" s="12" t="inlineStr">
        <is>
          <t>I-I-0540</t>
        </is>
      </c>
      <c r="B5089" s="12" t="inlineStr">
        <is>
          <t>I</t>
        </is>
      </c>
      <c r="C5089" s="12" t="inlineStr">
        <is>
          <t>Modular / portable power</t>
        </is>
      </c>
      <c r="D5089" s="12" t="inlineStr">
        <is>
          <t>Home run JB-TM-1-AI05 to the control / marshalling room</t>
        </is>
      </c>
      <c r="E5089" s="12" t="inlineStr">
        <is>
          <t>PAD-EH</t>
        </is>
      </c>
      <c r="F5089" s="12" t="inlineStr">
        <is>
          <t>PAD-EH 13.8 kV switchgear e-house</t>
        </is>
      </c>
      <c r="G5089" s="12" t="inlineStr">
        <is>
          <t>JB-TM-1-AI05</t>
        </is>
      </c>
      <c r="H5089" s="12" t="inlineStr">
        <is>
          <t>TM-1: trailer-mounted aeroderivative GT (TM2500 class, ~35 MW)</t>
        </is>
      </c>
      <c r="I5089" s="12" t="inlineStr">
        <is>
          <t>Instrumentation</t>
        </is>
      </c>
      <c r="J5089" s="12" t="inlineStr">
        <is>
          <t>Instrumentation PLTC / TC-ER 300 V, #18 twisted shielded pairs, overall shield</t>
        </is>
      </c>
      <c r="K5089" s="12" t="inlineStr">
        <is>
          <t>PLTC|24 pr|18</t>
        </is>
      </c>
      <c r="L5089" s="12" t="inlineStr">
        <is>
          <t>24 pr</t>
        </is>
      </c>
      <c r="M5089" s="12" t="inlineStr">
        <is>
          <t>18</t>
        </is>
      </c>
      <c r="N5089" s="12" t="n">
        <v>1</v>
      </c>
      <c r="O5089" s="12" t="n">
        <v>1</v>
      </c>
      <c r="P5089" s="12" t="n"/>
      <c r="Q5089" s="12" t="n"/>
      <c r="R5089" s="12" t="n"/>
      <c r="S5089" s="12" t="inlineStr">
        <is>
          <t>Surface</t>
        </is>
      </c>
      <c r="T5089" s="16" t="n">
        <v>382</v>
      </c>
      <c r="U5089" s="16" t="n">
        <v>50</v>
      </c>
      <c r="V5089" s="16">
        <f>ROUNDUP((T5089+U5089+2*'Read Me'!$B$13)*(1+'Read Me'!$B$12),-1)</f>
        <v/>
      </c>
      <c r="W5089" s="16">
        <f>V5089*N5089*O5089</f>
        <v/>
      </c>
      <c r="X5089" s="12">
        <f>IF(LEFT(I5089,2)="MV",2*N5089*IF(L5089="1/C",O5089,1),0)</f>
        <v/>
      </c>
      <c r="Y5089" s="12">
        <f>IF(OR(LEFT(K5089,4)="LVAX",LEFT(K5089,6)="MV15AX",LEFT(K5089,4)="CTAX",LEFT(K5089,2)="W|"),2*N5089*O5089,0)</f>
        <v/>
      </c>
      <c r="Z5089" s="12" t="inlineStr"/>
      <c r="AA5089" s="12">
        <f>N5089*O5089</f>
        <v/>
      </c>
    </row>
    <row r="5090">
      <c r="A5090" s="12" t="inlineStr">
        <is>
          <t>I-I-0541</t>
        </is>
      </c>
      <c r="B5090" s="12" t="inlineStr">
        <is>
          <t>I</t>
        </is>
      </c>
      <c r="C5090" s="12" t="inlineStr">
        <is>
          <t>Modular / portable power</t>
        </is>
      </c>
      <c r="D5090" s="12" t="inlineStr">
        <is>
          <t>Discrete device to JB JB-TM-1-DI01: 20 x 1 pr (field cables)</t>
        </is>
      </c>
      <c r="E5090" s="12" t="inlineStr">
        <is>
          <t>TM-1</t>
        </is>
      </c>
      <c r="F5090" s="12" t="inlineStr">
        <is>
          <t>TM-1: trailer-mounted aeroderivative GT (TM2500 class, ~35 MW)</t>
        </is>
      </c>
      <c r="G5090" s="12" t="inlineStr">
        <is>
          <t>JB-TM-1-DI01</t>
        </is>
      </c>
      <c r="H5090" s="12" t="inlineStr">
        <is>
          <t>TM-1: trailer-mounted aeroderivative GT (TM2500 class, ~35 MW)</t>
        </is>
      </c>
      <c r="I5090" s="12" t="inlineStr">
        <is>
          <t>Instrumentation</t>
        </is>
      </c>
      <c r="J5090" s="12" t="inlineStr">
        <is>
          <t>Instrumentation PLTC / TC-ER 300 V, #18 twisted shielded pairs, overall shield</t>
        </is>
      </c>
      <c r="K5090" s="12" t="inlineStr">
        <is>
          <t>PLTC|1 pr|16</t>
        </is>
      </c>
      <c r="L5090" s="12" t="inlineStr">
        <is>
          <t>1 pr</t>
        </is>
      </c>
      <c r="M5090" s="12" t="inlineStr">
        <is>
          <t>16</t>
        </is>
      </c>
      <c r="N5090" s="12" t="n">
        <v>20</v>
      </c>
      <c r="O5090" s="12" t="n">
        <v>1</v>
      </c>
      <c r="P5090" s="12" t="n"/>
      <c r="Q5090" s="12" t="n"/>
      <c r="R5090" s="12" t="n"/>
      <c r="S5090" s="12" t="inlineStr">
        <is>
          <t>Tray / conduit</t>
        </is>
      </c>
      <c r="T5090" s="16" t="n">
        <v>108</v>
      </c>
      <c r="U5090" s="16" t="n">
        <v>10</v>
      </c>
      <c r="V5090" s="16">
        <f>ROUNDUP((T5090+U5090+2*'Read Me'!$B$13)*(1+'Read Me'!$B$12),-1)</f>
        <v/>
      </c>
      <c r="W5090" s="16">
        <f>V5090*N5090*O5090</f>
        <v/>
      </c>
      <c r="X5090" s="12">
        <f>IF(LEFT(I5090,2)="MV",2*N5090*IF(L5090="1/C",O5090,1),0)</f>
        <v/>
      </c>
      <c r="Y5090" s="12">
        <f>IF(OR(LEFT(K5090,4)="LVAX",LEFT(K5090,6)="MV15AX",LEFT(K5090,4)="CTAX",LEFT(K5090,2)="W|"),2*N5090*O5090,0)</f>
        <v/>
      </c>
      <c r="Z5090" s="12" t="inlineStr">
        <is>
          <t>device-to-JB field wiring, one cable per device</t>
        </is>
      </c>
      <c r="AA5090" s="12">
        <f>N5090*O5090</f>
        <v/>
      </c>
    </row>
    <row r="5091">
      <c r="A5091" s="12" t="inlineStr">
        <is>
          <t>I-I-0542</t>
        </is>
      </c>
      <c r="B5091" s="12" t="inlineStr">
        <is>
          <t>I</t>
        </is>
      </c>
      <c r="C5091" s="12" t="inlineStr">
        <is>
          <t>Modular / portable power</t>
        </is>
      </c>
      <c r="D5091" s="12" t="inlineStr">
        <is>
          <t>Home run JB-TM-1-DI01 to the control / marshalling room</t>
        </is>
      </c>
      <c r="E5091" s="12" t="inlineStr">
        <is>
          <t>PAD-EH</t>
        </is>
      </c>
      <c r="F5091" s="12" t="inlineStr">
        <is>
          <t>PAD-EH 13.8 kV switchgear e-house</t>
        </is>
      </c>
      <c r="G5091" s="12" t="inlineStr">
        <is>
          <t>JB-TM-1-DI01</t>
        </is>
      </c>
      <c r="H5091" s="12" t="inlineStr">
        <is>
          <t>TM-1: trailer-mounted aeroderivative GT (TM2500 class, ~35 MW)</t>
        </is>
      </c>
      <c r="I5091" s="12" t="inlineStr">
        <is>
          <t>Instrumentation</t>
        </is>
      </c>
      <c r="J5091" s="12" t="inlineStr">
        <is>
          <t>Instrumentation PLTC / TC-ER 300 V, #18 twisted shielded pairs, overall shield</t>
        </is>
      </c>
      <c r="K5091" s="12" t="inlineStr">
        <is>
          <t>PLTC|24 pr|18</t>
        </is>
      </c>
      <c r="L5091" s="12" t="inlineStr">
        <is>
          <t>24 pr</t>
        </is>
      </c>
      <c r="M5091" s="12" t="inlineStr">
        <is>
          <t>18</t>
        </is>
      </c>
      <c r="N5091" s="12" t="n">
        <v>1</v>
      </c>
      <c r="O5091" s="12" t="n">
        <v>1</v>
      </c>
      <c r="P5091" s="12" t="n"/>
      <c r="Q5091" s="12" t="n"/>
      <c r="R5091" s="12" t="n"/>
      <c r="S5091" s="12" t="inlineStr">
        <is>
          <t>Surface</t>
        </is>
      </c>
      <c r="T5091" s="16" t="n">
        <v>382</v>
      </c>
      <c r="U5091" s="16" t="n">
        <v>50</v>
      </c>
      <c r="V5091" s="16">
        <f>ROUNDUP((T5091+U5091+2*'Read Me'!$B$13)*(1+'Read Me'!$B$12),-1)</f>
        <v/>
      </c>
      <c r="W5091" s="16">
        <f>V5091*N5091*O5091</f>
        <v/>
      </c>
      <c r="X5091" s="12">
        <f>IF(LEFT(I5091,2)="MV",2*N5091*IF(L5091="1/C",O5091,1),0)</f>
        <v/>
      </c>
      <c r="Y5091" s="12">
        <f>IF(OR(LEFT(K5091,4)="LVAX",LEFT(K5091,6)="MV15AX",LEFT(K5091,4)="CTAX",LEFT(K5091,2)="W|"),2*N5091*O5091,0)</f>
        <v/>
      </c>
      <c r="Z5091" s="12" t="inlineStr"/>
      <c r="AA5091" s="12">
        <f>N5091*O5091</f>
        <v/>
      </c>
    </row>
    <row r="5092">
      <c r="A5092" s="12" t="inlineStr">
        <is>
          <t>I-I-0543</t>
        </is>
      </c>
      <c r="B5092" s="12" t="inlineStr">
        <is>
          <t>I</t>
        </is>
      </c>
      <c r="C5092" s="12" t="inlineStr">
        <is>
          <t>Modular / portable power</t>
        </is>
      </c>
      <c r="D5092" s="12" t="inlineStr">
        <is>
          <t>Discrete device to JB JB-TM-1-DI02: 20 x 1 pr (field cables)</t>
        </is>
      </c>
      <c r="E5092" s="12" t="inlineStr">
        <is>
          <t>TM-1</t>
        </is>
      </c>
      <c r="F5092" s="12" t="inlineStr">
        <is>
          <t>TM-1: trailer-mounted aeroderivative GT (TM2500 class, ~35 MW)</t>
        </is>
      </c>
      <c r="G5092" s="12" t="inlineStr">
        <is>
          <t>JB-TM-1-DI02</t>
        </is>
      </c>
      <c r="H5092" s="12" t="inlineStr">
        <is>
          <t>TM-1: trailer-mounted aeroderivative GT (TM2500 class, ~35 MW)</t>
        </is>
      </c>
      <c r="I5092" s="12" t="inlineStr">
        <is>
          <t>Instrumentation</t>
        </is>
      </c>
      <c r="J5092" s="12" t="inlineStr">
        <is>
          <t>Instrumentation PLTC / TC-ER 300 V, #18 twisted shielded pairs, overall shield</t>
        </is>
      </c>
      <c r="K5092" s="12" t="inlineStr">
        <is>
          <t>PLTC|1 pr|16</t>
        </is>
      </c>
      <c r="L5092" s="12" t="inlineStr">
        <is>
          <t>1 pr</t>
        </is>
      </c>
      <c r="M5092" s="12" t="inlineStr">
        <is>
          <t>16</t>
        </is>
      </c>
      <c r="N5092" s="12" t="n">
        <v>20</v>
      </c>
      <c r="O5092" s="12" t="n">
        <v>1</v>
      </c>
      <c r="P5092" s="12" t="n"/>
      <c r="Q5092" s="12" t="n"/>
      <c r="R5092" s="12" t="n"/>
      <c r="S5092" s="12" t="inlineStr">
        <is>
          <t>Tray / conduit</t>
        </is>
      </c>
      <c r="T5092" s="16" t="n">
        <v>108</v>
      </c>
      <c r="U5092" s="16" t="n">
        <v>10</v>
      </c>
      <c r="V5092" s="16">
        <f>ROUNDUP((T5092+U5092+2*'Read Me'!$B$13)*(1+'Read Me'!$B$12),-1)</f>
        <v/>
      </c>
      <c r="W5092" s="16">
        <f>V5092*N5092*O5092</f>
        <v/>
      </c>
      <c r="X5092" s="12">
        <f>IF(LEFT(I5092,2)="MV",2*N5092*IF(L5092="1/C",O5092,1),0)</f>
        <v/>
      </c>
      <c r="Y5092" s="12">
        <f>IF(OR(LEFT(K5092,4)="LVAX",LEFT(K5092,6)="MV15AX",LEFT(K5092,4)="CTAX",LEFT(K5092,2)="W|"),2*N5092*O5092,0)</f>
        <v/>
      </c>
      <c r="Z5092" s="12" t="inlineStr">
        <is>
          <t>device-to-JB field wiring, one cable per device</t>
        </is>
      </c>
      <c r="AA5092" s="12">
        <f>N5092*O5092</f>
        <v/>
      </c>
    </row>
    <row r="5093">
      <c r="A5093" s="12" t="inlineStr">
        <is>
          <t>I-I-0544</t>
        </is>
      </c>
      <c r="B5093" s="12" t="inlineStr">
        <is>
          <t>I</t>
        </is>
      </c>
      <c r="C5093" s="12" t="inlineStr">
        <is>
          <t>Modular / portable power</t>
        </is>
      </c>
      <c r="D5093" s="12" t="inlineStr">
        <is>
          <t>Home run JB-TM-1-DI02 to the control / marshalling room</t>
        </is>
      </c>
      <c r="E5093" s="12" t="inlineStr">
        <is>
          <t>PAD-EH</t>
        </is>
      </c>
      <c r="F5093" s="12" t="inlineStr">
        <is>
          <t>PAD-EH 13.8 kV switchgear e-house</t>
        </is>
      </c>
      <c r="G5093" s="12" t="inlineStr">
        <is>
          <t>JB-TM-1-DI02</t>
        </is>
      </c>
      <c r="H5093" s="12" t="inlineStr">
        <is>
          <t>TM-1: trailer-mounted aeroderivative GT (TM2500 class, ~35 MW)</t>
        </is>
      </c>
      <c r="I5093" s="12" t="inlineStr">
        <is>
          <t>Instrumentation</t>
        </is>
      </c>
      <c r="J5093" s="12" t="inlineStr">
        <is>
          <t>Instrumentation PLTC / TC-ER 300 V, #18 twisted shielded pairs, overall shield</t>
        </is>
      </c>
      <c r="K5093" s="12" t="inlineStr">
        <is>
          <t>PLTC|24 pr|18</t>
        </is>
      </c>
      <c r="L5093" s="12" t="inlineStr">
        <is>
          <t>24 pr</t>
        </is>
      </c>
      <c r="M5093" s="12" t="inlineStr">
        <is>
          <t>18</t>
        </is>
      </c>
      <c r="N5093" s="12" t="n">
        <v>1</v>
      </c>
      <c r="O5093" s="12" t="n">
        <v>1</v>
      </c>
      <c r="P5093" s="12" t="n"/>
      <c r="Q5093" s="12" t="n"/>
      <c r="R5093" s="12" t="n"/>
      <c r="S5093" s="12" t="inlineStr">
        <is>
          <t>Surface</t>
        </is>
      </c>
      <c r="T5093" s="16" t="n">
        <v>382</v>
      </c>
      <c r="U5093" s="16" t="n">
        <v>50</v>
      </c>
      <c r="V5093" s="16">
        <f>ROUNDUP((T5093+U5093+2*'Read Me'!$B$13)*(1+'Read Me'!$B$12),-1)</f>
        <v/>
      </c>
      <c r="W5093" s="16">
        <f>V5093*N5093*O5093</f>
        <v/>
      </c>
      <c r="X5093" s="12">
        <f>IF(LEFT(I5093,2)="MV",2*N5093*IF(L5093="1/C",O5093,1),0)</f>
        <v/>
      </c>
      <c r="Y5093" s="12">
        <f>IF(OR(LEFT(K5093,4)="LVAX",LEFT(K5093,6)="MV15AX",LEFT(K5093,4)="CTAX",LEFT(K5093,2)="W|"),2*N5093*O5093,0)</f>
        <v/>
      </c>
      <c r="Z5093" s="12" t="inlineStr"/>
      <c r="AA5093" s="12">
        <f>N5093*O5093</f>
        <v/>
      </c>
    </row>
    <row r="5094">
      <c r="A5094" s="12" t="inlineStr">
        <is>
          <t>I-I-0545</t>
        </is>
      </c>
      <c r="B5094" s="12" t="inlineStr">
        <is>
          <t>I</t>
        </is>
      </c>
      <c r="C5094" s="12" t="inlineStr">
        <is>
          <t>Modular / portable power</t>
        </is>
      </c>
      <c r="D5094" s="12" t="inlineStr">
        <is>
          <t>Discrete device to JB JB-TM-1-DI03: 20 x 1 pr (field cables)</t>
        </is>
      </c>
      <c r="E5094" s="12" t="inlineStr">
        <is>
          <t>TM-1</t>
        </is>
      </c>
      <c r="F5094" s="12" t="inlineStr">
        <is>
          <t>TM-1: trailer-mounted aeroderivative GT (TM2500 class, ~35 MW)</t>
        </is>
      </c>
      <c r="G5094" s="12" t="inlineStr">
        <is>
          <t>JB-TM-1-DI03</t>
        </is>
      </c>
      <c r="H5094" s="12" t="inlineStr">
        <is>
          <t>TM-1: trailer-mounted aeroderivative GT (TM2500 class, ~35 MW)</t>
        </is>
      </c>
      <c r="I5094" s="12" t="inlineStr">
        <is>
          <t>Instrumentation</t>
        </is>
      </c>
      <c r="J5094" s="12" t="inlineStr">
        <is>
          <t>Instrumentation PLTC / TC-ER 300 V, #18 twisted shielded pairs, overall shield</t>
        </is>
      </c>
      <c r="K5094" s="12" t="inlineStr">
        <is>
          <t>PLTC|1 pr|16</t>
        </is>
      </c>
      <c r="L5094" s="12" t="inlineStr">
        <is>
          <t>1 pr</t>
        </is>
      </c>
      <c r="M5094" s="12" t="inlineStr">
        <is>
          <t>16</t>
        </is>
      </c>
      <c r="N5094" s="12" t="n">
        <v>20</v>
      </c>
      <c r="O5094" s="12" t="n">
        <v>1</v>
      </c>
      <c r="P5094" s="12" t="n"/>
      <c r="Q5094" s="12" t="n"/>
      <c r="R5094" s="12" t="n"/>
      <c r="S5094" s="12" t="inlineStr">
        <is>
          <t>Tray / conduit</t>
        </is>
      </c>
      <c r="T5094" s="16" t="n">
        <v>108</v>
      </c>
      <c r="U5094" s="16" t="n">
        <v>10</v>
      </c>
      <c r="V5094" s="16">
        <f>ROUNDUP((T5094+U5094+2*'Read Me'!$B$13)*(1+'Read Me'!$B$12),-1)</f>
        <v/>
      </c>
      <c r="W5094" s="16">
        <f>V5094*N5094*O5094</f>
        <v/>
      </c>
      <c r="X5094" s="12">
        <f>IF(LEFT(I5094,2)="MV",2*N5094*IF(L5094="1/C",O5094,1),0)</f>
        <v/>
      </c>
      <c r="Y5094" s="12">
        <f>IF(OR(LEFT(K5094,4)="LVAX",LEFT(K5094,6)="MV15AX",LEFT(K5094,4)="CTAX",LEFT(K5094,2)="W|"),2*N5094*O5094,0)</f>
        <v/>
      </c>
      <c r="Z5094" s="12" t="inlineStr">
        <is>
          <t>device-to-JB field wiring, one cable per device</t>
        </is>
      </c>
      <c r="AA5094" s="12">
        <f>N5094*O5094</f>
        <v/>
      </c>
    </row>
    <row r="5095">
      <c r="A5095" s="12" t="inlineStr">
        <is>
          <t>I-I-0546</t>
        </is>
      </c>
      <c r="B5095" s="12" t="inlineStr">
        <is>
          <t>I</t>
        </is>
      </c>
      <c r="C5095" s="12" t="inlineStr">
        <is>
          <t>Modular / portable power</t>
        </is>
      </c>
      <c r="D5095" s="12" t="inlineStr">
        <is>
          <t>Home run JB-TM-1-DI03 to the control / marshalling room</t>
        </is>
      </c>
      <c r="E5095" s="12" t="inlineStr">
        <is>
          <t>PAD-EH</t>
        </is>
      </c>
      <c r="F5095" s="12" t="inlineStr">
        <is>
          <t>PAD-EH 13.8 kV switchgear e-house</t>
        </is>
      </c>
      <c r="G5095" s="12" t="inlineStr">
        <is>
          <t>JB-TM-1-DI03</t>
        </is>
      </c>
      <c r="H5095" s="12" t="inlineStr">
        <is>
          <t>TM-1: trailer-mounted aeroderivative GT (TM2500 class, ~35 MW)</t>
        </is>
      </c>
      <c r="I5095" s="12" t="inlineStr">
        <is>
          <t>Instrumentation</t>
        </is>
      </c>
      <c r="J5095" s="12" t="inlineStr">
        <is>
          <t>Instrumentation PLTC / TC-ER 300 V, #18 twisted shielded pairs, overall shield</t>
        </is>
      </c>
      <c r="K5095" s="12" t="inlineStr">
        <is>
          <t>PLTC|24 pr|18</t>
        </is>
      </c>
      <c r="L5095" s="12" t="inlineStr">
        <is>
          <t>24 pr</t>
        </is>
      </c>
      <c r="M5095" s="12" t="inlineStr">
        <is>
          <t>18</t>
        </is>
      </c>
      <c r="N5095" s="12" t="n">
        <v>1</v>
      </c>
      <c r="O5095" s="12" t="n">
        <v>1</v>
      </c>
      <c r="P5095" s="12" t="n"/>
      <c r="Q5095" s="12" t="n"/>
      <c r="R5095" s="12" t="n"/>
      <c r="S5095" s="12" t="inlineStr">
        <is>
          <t>Surface</t>
        </is>
      </c>
      <c r="T5095" s="16" t="n">
        <v>382</v>
      </c>
      <c r="U5095" s="16" t="n">
        <v>50</v>
      </c>
      <c r="V5095" s="16">
        <f>ROUNDUP((T5095+U5095+2*'Read Me'!$B$13)*(1+'Read Me'!$B$12),-1)</f>
        <v/>
      </c>
      <c r="W5095" s="16">
        <f>V5095*N5095*O5095</f>
        <v/>
      </c>
      <c r="X5095" s="12">
        <f>IF(LEFT(I5095,2)="MV",2*N5095*IF(L5095="1/C",O5095,1),0)</f>
        <v/>
      </c>
      <c r="Y5095" s="12">
        <f>IF(OR(LEFT(K5095,4)="LVAX",LEFT(K5095,6)="MV15AX",LEFT(K5095,4)="CTAX",LEFT(K5095,2)="W|"),2*N5095*O5095,0)</f>
        <v/>
      </c>
      <c r="Z5095" s="12" t="inlineStr"/>
      <c r="AA5095" s="12">
        <f>N5095*O5095</f>
        <v/>
      </c>
    </row>
    <row r="5096">
      <c r="A5096" s="12" t="inlineStr">
        <is>
          <t>I-I-0547</t>
        </is>
      </c>
      <c r="B5096" s="12" t="inlineStr">
        <is>
          <t>I</t>
        </is>
      </c>
      <c r="C5096" s="12" t="inlineStr">
        <is>
          <t>Modular / portable power</t>
        </is>
      </c>
      <c r="D5096" s="12" t="inlineStr">
        <is>
          <t>Thermocouple to TC JB JB-TM-1-TC01: 20 x 1 pr (field cables)</t>
        </is>
      </c>
      <c r="E5096" s="12" t="inlineStr">
        <is>
          <t>TM-1</t>
        </is>
      </c>
      <c r="F5096" s="12" t="inlineStr">
        <is>
          <t>TM-1: trailer-mounted aeroderivative GT (TM2500 class, ~35 MW)</t>
        </is>
      </c>
      <c r="G5096" s="12" t="inlineStr">
        <is>
          <t>JB-TM-1-TC01</t>
        </is>
      </c>
      <c r="H5096" s="12" t="inlineStr">
        <is>
          <t>TM-1: trailer-mounted aeroderivative GT (TM2500 class, ~35 MW)</t>
        </is>
      </c>
      <c r="I5096" s="12" t="inlineStr">
        <is>
          <t>Instrumentation</t>
        </is>
      </c>
      <c r="J5096" s="12" t="inlineStr">
        <is>
          <t>Thermocouple extension KX, #16 shielded pairs, PLTC</t>
        </is>
      </c>
      <c r="K5096" s="12" t="inlineStr">
        <is>
          <t>TCX|1 pr|16</t>
        </is>
      </c>
      <c r="L5096" s="12" t="inlineStr">
        <is>
          <t>1 pr</t>
        </is>
      </c>
      <c r="M5096" s="12" t="inlineStr">
        <is>
          <t>16</t>
        </is>
      </c>
      <c r="N5096" s="12" t="n">
        <v>20</v>
      </c>
      <c r="O5096" s="12" t="n">
        <v>1</v>
      </c>
      <c r="P5096" s="12" t="n"/>
      <c r="Q5096" s="12" t="n"/>
      <c r="R5096" s="12" t="n"/>
      <c r="S5096" s="12" t="inlineStr">
        <is>
          <t>Tray / conduit</t>
        </is>
      </c>
      <c r="T5096" s="16" t="n">
        <v>108</v>
      </c>
      <c r="U5096" s="16" t="n">
        <v>10</v>
      </c>
      <c r="V5096" s="16">
        <f>ROUNDUP((T5096+U5096+2*'Read Me'!$B$13)*(1+'Read Me'!$B$12),-1)</f>
        <v/>
      </c>
      <c r="W5096" s="16">
        <f>V5096*N5096*O5096</f>
        <v/>
      </c>
      <c r="X5096" s="12">
        <f>IF(LEFT(I5096,2)="MV",2*N5096*IF(L5096="1/C",O5096,1),0)</f>
        <v/>
      </c>
      <c r="Y5096" s="12">
        <f>IF(OR(LEFT(K5096,4)="LVAX",LEFT(K5096,6)="MV15AX",LEFT(K5096,4)="CTAX",LEFT(K5096,2)="W|"),2*N5096*O5096,0)</f>
        <v/>
      </c>
      <c r="Z5096" s="12" t="inlineStr">
        <is>
          <t>device-to-JB field wiring, one cable per device</t>
        </is>
      </c>
      <c r="AA5096" s="12">
        <f>N5096*O5096</f>
        <v/>
      </c>
    </row>
    <row r="5097">
      <c r="A5097" s="12" t="inlineStr">
        <is>
          <t>I-I-0548</t>
        </is>
      </c>
      <c r="B5097" s="12" t="inlineStr">
        <is>
          <t>I</t>
        </is>
      </c>
      <c r="C5097" s="12" t="inlineStr">
        <is>
          <t>Modular / portable power</t>
        </is>
      </c>
      <c r="D5097" s="12" t="inlineStr">
        <is>
          <t>Home run JB-TM-1-TC01 to the control / marshalling room</t>
        </is>
      </c>
      <c r="E5097" s="12" t="inlineStr">
        <is>
          <t>PAD-EH</t>
        </is>
      </c>
      <c r="F5097" s="12" t="inlineStr">
        <is>
          <t>PAD-EH 13.8 kV switchgear e-house</t>
        </is>
      </c>
      <c r="G5097" s="12" t="inlineStr">
        <is>
          <t>JB-TM-1-TC01</t>
        </is>
      </c>
      <c r="H5097" s="12" t="inlineStr">
        <is>
          <t>TM-1: trailer-mounted aeroderivative GT (TM2500 class, ~35 MW)</t>
        </is>
      </c>
      <c r="I5097" s="12" t="inlineStr">
        <is>
          <t>Instrumentation</t>
        </is>
      </c>
      <c r="J5097" s="12" t="inlineStr">
        <is>
          <t>Thermocouple extension KX, #16 shielded pairs, PLTC</t>
        </is>
      </c>
      <c r="K5097" s="12" t="inlineStr">
        <is>
          <t>TCX|24 pr|16</t>
        </is>
      </c>
      <c r="L5097" s="12" t="inlineStr">
        <is>
          <t>24 pr</t>
        </is>
      </c>
      <c r="M5097" s="12" t="inlineStr">
        <is>
          <t>16</t>
        </is>
      </c>
      <c r="N5097" s="12" t="n">
        <v>1</v>
      </c>
      <c r="O5097" s="12" t="n">
        <v>1</v>
      </c>
      <c r="P5097" s="12" t="n"/>
      <c r="Q5097" s="12" t="n"/>
      <c r="R5097" s="12" t="n"/>
      <c r="S5097" s="12" t="inlineStr">
        <is>
          <t>Surface</t>
        </is>
      </c>
      <c r="T5097" s="16" t="n">
        <v>382</v>
      </c>
      <c r="U5097" s="16" t="n">
        <v>50</v>
      </c>
      <c r="V5097" s="16">
        <f>ROUNDUP((T5097+U5097+2*'Read Me'!$B$13)*(1+'Read Me'!$B$12),-1)</f>
        <v/>
      </c>
      <c r="W5097" s="16">
        <f>V5097*N5097*O5097</f>
        <v/>
      </c>
      <c r="X5097" s="12">
        <f>IF(LEFT(I5097,2)="MV",2*N5097*IF(L5097="1/C",O5097,1),0)</f>
        <v/>
      </c>
      <c r="Y5097" s="12">
        <f>IF(OR(LEFT(K5097,4)="LVAX",LEFT(K5097,6)="MV15AX",LEFT(K5097,4)="CTAX",LEFT(K5097,2)="W|"),2*N5097*O5097,0)</f>
        <v/>
      </c>
      <c r="Z5097" s="12" t="inlineStr"/>
      <c r="AA5097" s="12">
        <f>N5097*O5097</f>
        <v/>
      </c>
    </row>
    <row r="5098">
      <c r="A5098" s="12" t="inlineStr">
        <is>
          <t>I-I-0549</t>
        </is>
      </c>
      <c r="B5098" s="12" t="inlineStr">
        <is>
          <t>I</t>
        </is>
      </c>
      <c r="C5098" s="12" t="inlineStr">
        <is>
          <t>Modular / portable power</t>
        </is>
      </c>
      <c r="D5098" s="12" t="inlineStr">
        <is>
          <t>Analog instrument to JB JB-TM-2-AI01: 20 x 1 pr (field cables)</t>
        </is>
      </c>
      <c r="E5098" s="12" t="inlineStr">
        <is>
          <t>TM-2</t>
        </is>
      </c>
      <c r="F5098" s="12" t="inlineStr">
        <is>
          <t>TM-2: trailer-mounted aeroderivative GT (TM2500 class, ~35 MW)</t>
        </is>
      </c>
      <c r="G5098" s="12" t="inlineStr">
        <is>
          <t>JB-TM-2-AI01</t>
        </is>
      </c>
      <c r="H5098" s="12" t="inlineStr">
        <is>
          <t>TM-2: trailer-mounted aeroderivative GT (TM2500 class, ~35 MW)</t>
        </is>
      </c>
      <c r="I5098" s="12" t="inlineStr">
        <is>
          <t>Instrumentation</t>
        </is>
      </c>
      <c r="J5098" s="12" t="inlineStr">
        <is>
          <t>Instrumentation PLTC / TC-ER 300 V, #18 twisted shielded pairs, overall shield</t>
        </is>
      </c>
      <c r="K5098" s="12" t="inlineStr">
        <is>
          <t>PLTC|1 pr|16</t>
        </is>
      </c>
      <c r="L5098" s="12" t="inlineStr">
        <is>
          <t>1 pr</t>
        </is>
      </c>
      <c r="M5098" s="12" t="inlineStr">
        <is>
          <t>16</t>
        </is>
      </c>
      <c r="N5098" s="12" t="n">
        <v>20</v>
      </c>
      <c r="O5098" s="12" t="n">
        <v>1</v>
      </c>
      <c r="P5098" s="12" t="n"/>
      <c r="Q5098" s="12" t="n"/>
      <c r="R5098" s="12" t="n"/>
      <c r="S5098" s="12" t="inlineStr">
        <is>
          <t>Tray / conduit</t>
        </is>
      </c>
      <c r="T5098" s="16" t="n">
        <v>108</v>
      </c>
      <c r="U5098" s="16" t="n">
        <v>10</v>
      </c>
      <c r="V5098" s="16">
        <f>ROUNDUP((T5098+U5098+2*'Read Me'!$B$13)*(1+'Read Me'!$B$12),-1)</f>
        <v/>
      </c>
      <c r="W5098" s="16">
        <f>V5098*N5098*O5098</f>
        <v/>
      </c>
      <c r="X5098" s="12">
        <f>IF(LEFT(I5098,2)="MV",2*N5098*IF(L5098="1/C",O5098,1),0)</f>
        <v/>
      </c>
      <c r="Y5098" s="12">
        <f>IF(OR(LEFT(K5098,4)="LVAX",LEFT(K5098,6)="MV15AX",LEFT(K5098,4)="CTAX",LEFT(K5098,2)="W|"),2*N5098*O5098,0)</f>
        <v/>
      </c>
      <c r="Z5098" s="12" t="inlineStr">
        <is>
          <t>device-to-JB field wiring, one cable per device</t>
        </is>
      </c>
      <c r="AA5098" s="12">
        <f>N5098*O5098</f>
        <v/>
      </c>
    </row>
    <row r="5099">
      <c r="A5099" s="12" t="inlineStr">
        <is>
          <t>I-I-0550</t>
        </is>
      </c>
      <c r="B5099" s="12" t="inlineStr">
        <is>
          <t>I</t>
        </is>
      </c>
      <c r="C5099" s="12" t="inlineStr">
        <is>
          <t>Modular / portable power</t>
        </is>
      </c>
      <c r="D5099" s="12" t="inlineStr">
        <is>
          <t>Home run JB-TM-2-AI01 to the control / marshalling room</t>
        </is>
      </c>
      <c r="E5099" s="12" t="inlineStr">
        <is>
          <t>PAD-EH</t>
        </is>
      </c>
      <c r="F5099" s="12" t="inlineStr">
        <is>
          <t>PAD-EH 13.8 kV switchgear e-house</t>
        </is>
      </c>
      <c r="G5099" s="12" t="inlineStr">
        <is>
          <t>JB-TM-2-AI01</t>
        </is>
      </c>
      <c r="H5099" s="12" t="inlineStr">
        <is>
          <t>TM-2: trailer-mounted aeroderivative GT (TM2500 class, ~35 MW)</t>
        </is>
      </c>
      <c r="I5099" s="12" t="inlineStr">
        <is>
          <t>Instrumentation</t>
        </is>
      </c>
      <c r="J5099" s="12" t="inlineStr">
        <is>
          <t>Instrumentation PLTC / TC-ER 300 V, #18 twisted shielded pairs, overall shield</t>
        </is>
      </c>
      <c r="K5099" s="12" t="inlineStr">
        <is>
          <t>PLTC|24 pr|18</t>
        </is>
      </c>
      <c r="L5099" s="12" t="inlineStr">
        <is>
          <t>24 pr</t>
        </is>
      </c>
      <c r="M5099" s="12" t="inlineStr">
        <is>
          <t>18</t>
        </is>
      </c>
      <c r="N5099" s="12" t="n">
        <v>1</v>
      </c>
      <c r="O5099" s="12" t="n">
        <v>1</v>
      </c>
      <c r="P5099" s="12" t="n"/>
      <c r="Q5099" s="12" t="n"/>
      <c r="R5099" s="12" t="n"/>
      <c r="S5099" s="12" t="inlineStr">
        <is>
          <t>Surface</t>
        </is>
      </c>
      <c r="T5099" s="16" t="n">
        <v>386</v>
      </c>
      <c r="U5099" s="16" t="n">
        <v>52</v>
      </c>
      <c r="V5099" s="16">
        <f>ROUNDUP((T5099+U5099+2*'Read Me'!$B$13)*(1+'Read Me'!$B$12),-1)</f>
        <v/>
      </c>
      <c r="W5099" s="16">
        <f>V5099*N5099*O5099</f>
        <v/>
      </c>
      <c r="X5099" s="12">
        <f>IF(LEFT(I5099,2)="MV",2*N5099*IF(L5099="1/C",O5099,1),0)</f>
        <v/>
      </c>
      <c r="Y5099" s="12">
        <f>IF(OR(LEFT(K5099,4)="LVAX",LEFT(K5099,6)="MV15AX",LEFT(K5099,4)="CTAX",LEFT(K5099,2)="W|"),2*N5099*O5099,0)</f>
        <v/>
      </c>
      <c r="Z5099" s="12" t="inlineStr"/>
      <c r="AA5099" s="12">
        <f>N5099*O5099</f>
        <v/>
      </c>
    </row>
    <row r="5100">
      <c r="A5100" s="12" t="inlineStr">
        <is>
          <t>I-I-0551</t>
        </is>
      </c>
      <c r="B5100" s="12" t="inlineStr">
        <is>
          <t>I</t>
        </is>
      </c>
      <c r="C5100" s="12" t="inlineStr">
        <is>
          <t>Modular / portable power</t>
        </is>
      </c>
      <c r="D5100" s="12" t="inlineStr">
        <is>
          <t>Analog instrument to JB JB-TM-2-AI02: 20 x 1 pr (field cables)</t>
        </is>
      </c>
      <c r="E5100" s="12" t="inlineStr">
        <is>
          <t>TM-2</t>
        </is>
      </c>
      <c r="F5100" s="12" t="inlineStr">
        <is>
          <t>TM-2: trailer-mounted aeroderivative GT (TM2500 class, ~35 MW)</t>
        </is>
      </c>
      <c r="G5100" s="12" t="inlineStr">
        <is>
          <t>JB-TM-2-AI02</t>
        </is>
      </c>
      <c r="H5100" s="12" t="inlineStr">
        <is>
          <t>TM-2: trailer-mounted aeroderivative GT (TM2500 class, ~35 MW)</t>
        </is>
      </c>
      <c r="I5100" s="12" t="inlineStr">
        <is>
          <t>Instrumentation</t>
        </is>
      </c>
      <c r="J5100" s="12" t="inlineStr">
        <is>
          <t>Instrumentation PLTC / TC-ER 300 V, #18 twisted shielded pairs, overall shield</t>
        </is>
      </c>
      <c r="K5100" s="12" t="inlineStr">
        <is>
          <t>PLTC|1 pr|16</t>
        </is>
      </c>
      <c r="L5100" s="12" t="inlineStr">
        <is>
          <t>1 pr</t>
        </is>
      </c>
      <c r="M5100" s="12" t="inlineStr">
        <is>
          <t>16</t>
        </is>
      </c>
      <c r="N5100" s="12" t="n">
        <v>20</v>
      </c>
      <c r="O5100" s="12" t="n">
        <v>1</v>
      </c>
      <c r="P5100" s="12" t="n"/>
      <c r="Q5100" s="12" t="n"/>
      <c r="R5100" s="12" t="n"/>
      <c r="S5100" s="12" t="inlineStr">
        <is>
          <t>Tray / conduit</t>
        </is>
      </c>
      <c r="T5100" s="16" t="n">
        <v>108</v>
      </c>
      <c r="U5100" s="16" t="n">
        <v>10</v>
      </c>
      <c r="V5100" s="16">
        <f>ROUNDUP((T5100+U5100+2*'Read Me'!$B$13)*(1+'Read Me'!$B$12),-1)</f>
        <v/>
      </c>
      <c r="W5100" s="16">
        <f>V5100*N5100*O5100</f>
        <v/>
      </c>
      <c r="X5100" s="12">
        <f>IF(LEFT(I5100,2)="MV",2*N5100*IF(L5100="1/C",O5100,1),0)</f>
        <v/>
      </c>
      <c r="Y5100" s="12">
        <f>IF(OR(LEFT(K5100,4)="LVAX",LEFT(K5100,6)="MV15AX",LEFT(K5100,4)="CTAX",LEFT(K5100,2)="W|"),2*N5100*O5100,0)</f>
        <v/>
      </c>
      <c r="Z5100" s="12" t="inlineStr">
        <is>
          <t>device-to-JB field wiring, one cable per device</t>
        </is>
      </c>
      <c r="AA5100" s="12">
        <f>N5100*O5100</f>
        <v/>
      </c>
    </row>
    <row r="5101">
      <c r="A5101" s="12" t="inlineStr">
        <is>
          <t>I-I-0552</t>
        </is>
      </c>
      <c r="B5101" s="12" t="inlineStr">
        <is>
          <t>I</t>
        </is>
      </c>
      <c r="C5101" s="12" t="inlineStr">
        <is>
          <t>Modular / portable power</t>
        </is>
      </c>
      <c r="D5101" s="12" t="inlineStr">
        <is>
          <t>Home run JB-TM-2-AI02 to the control / marshalling room</t>
        </is>
      </c>
      <c r="E5101" s="12" t="inlineStr">
        <is>
          <t>PAD-EH</t>
        </is>
      </c>
      <c r="F5101" s="12" t="inlineStr">
        <is>
          <t>PAD-EH 13.8 kV switchgear e-house</t>
        </is>
      </c>
      <c r="G5101" s="12" t="inlineStr">
        <is>
          <t>JB-TM-2-AI02</t>
        </is>
      </c>
      <c r="H5101" s="12" t="inlineStr">
        <is>
          <t>TM-2: trailer-mounted aeroderivative GT (TM2500 class, ~35 MW)</t>
        </is>
      </c>
      <c r="I5101" s="12" t="inlineStr">
        <is>
          <t>Instrumentation</t>
        </is>
      </c>
      <c r="J5101" s="12" t="inlineStr">
        <is>
          <t>Instrumentation PLTC / TC-ER 300 V, #18 twisted shielded pairs, overall shield</t>
        </is>
      </c>
      <c r="K5101" s="12" t="inlineStr">
        <is>
          <t>PLTC|24 pr|18</t>
        </is>
      </c>
      <c r="L5101" s="12" t="inlineStr">
        <is>
          <t>24 pr</t>
        </is>
      </c>
      <c r="M5101" s="12" t="inlineStr">
        <is>
          <t>18</t>
        </is>
      </c>
      <c r="N5101" s="12" t="n">
        <v>1</v>
      </c>
      <c r="O5101" s="12" t="n">
        <v>1</v>
      </c>
      <c r="P5101" s="12" t="n"/>
      <c r="Q5101" s="12" t="n"/>
      <c r="R5101" s="12" t="n"/>
      <c r="S5101" s="12" t="inlineStr">
        <is>
          <t>Surface</t>
        </is>
      </c>
      <c r="T5101" s="16" t="n">
        <v>386</v>
      </c>
      <c r="U5101" s="16" t="n">
        <v>52</v>
      </c>
      <c r="V5101" s="16">
        <f>ROUNDUP((T5101+U5101+2*'Read Me'!$B$13)*(1+'Read Me'!$B$12),-1)</f>
        <v/>
      </c>
      <c r="W5101" s="16">
        <f>V5101*N5101*O5101</f>
        <v/>
      </c>
      <c r="X5101" s="12">
        <f>IF(LEFT(I5101,2)="MV",2*N5101*IF(L5101="1/C",O5101,1),0)</f>
        <v/>
      </c>
      <c r="Y5101" s="12">
        <f>IF(OR(LEFT(K5101,4)="LVAX",LEFT(K5101,6)="MV15AX",LEFT(K5101,4)="CTAX",LEFT(K5101,2)="W|"),2*N5101*O5101,0)</f>
        <v/>
      </c>
      <c r="Z5101" s="12" t="inlineStr"/>
      <c r="AA5101" s="12">
        <f>N5101*O5101</f>
        <v/>
      </c>
    </row>
    <row r="5102">
      <c r="A5102" s="12" t="inlineStr">
        <is>
          <t>I-I-0553</t>
        </is>
      </c>
      <c r="B5102" s="12" t="inlineStr">
        <is>
          <t>I</t>
        </is>
      </c>
      <c r="C5102" s="12" t="inlineStr">
        <is>
          <t>Modular / portable power</t>
        </is>
      </c>
      <c r="D5102" s="12" t="inlineStr">
        <is>
          <t>Analog instrument to JB JB-TM-2-AI03: 20 x 1 pr (field cables)</t>
        </is>
      </c>
      <c r="E5102" s="12" t="inlineStr">
        <is>
          <t>TM-2</t>
        </is>
      </c>
      <c r="F5102" s="12" t="inlineStr">
        <is>
          <t>TM-2: trailer-mounted aeroderivative GT (TM2500 class, ~35 MW)</t>
        </is>
      </c>
      <c r="G5102" s="12" t="inlineStr">
        <is>
          <t>JB-TM-2-AI03</t>
        </is>
      </c>
      <c r="H5102" s="12" t="inlineStr">
        <is>
          <t>TM-2: trailer-mounted aeroderivative GT (TM2500 class, ~35 MW)</t>
        </is>
      </c>
      <c r="I5102" s="12" t="inlineStr">
        <is>
          <t>Instrumentation</t>
        </is>
      </c>
      <c r="J5102" s="12" t="inlineStr">
        <is>
          <t>Instrumentation PLTC / TC-ER 300 V, #18 twisted shielded pairs, overall shield</t>
        </is>
      </c>
      <c r="K5102" s="12" t="inlineStr">
        <is>
          <t>PLTC|1 pr|16</t>
        </is>
      </c>
      <c r="L5102" s="12" t="inlineStr">
        <is>
          <t>1 pr</t>
        </is>
      </c>
      <c r="M5102" s="12" t="inlineStr">
        <is>
          <t>16</t>
        </is>
      </c>
      <c r="N5102" s="12" t="n">
        <v>20</v>
      </c>
      <c r="O5102" s="12" t="n">
        <v>1</v>
      </c>
      <c r="P5102" s="12" t="n"/>
      <c r="Q5102" s="12" t="n"/>
      <c r="R5102" s="12" t="n"/>
      <c r="S5102" s="12" t="inlineStr">
        <is>
          <t>Tray / conduit</t>
        </is>
      </c>
      <c r="T5102" s="16" t="n">
        <v>108</v>
      </c>
      <c r="U5102" s="16" t="n">
        <v>10</v>
      </c>
      <c r="V5102" s="16">
        <f>ROUNDUP((T5102+U5102+2*'Read Me'!$B$13)*(1+'Read Me'!$B$12),-1)</f>
        <v/>
      </c>
      <c r="W5102" s="16">
        <f>V5102*N5102*O5102</f>
        <v/>
      </c>
      <c r="X5102" s="12">
        <f>IF(LEFT(I5102,2)="MV",2*N5102*IF(L5102="1/C",O5102,1),0)</f>
        <v/>
      </c>
      <c r="Y5102" s="12">
        <f>IF(OR(LEFT(K5102,4)="LVAX",LEFT(K5102,6)="MV15AX",LEFT(K5102,4)="CTAX",LEFT(K5102,2)="W|"),2*N5102*O5102,0)</f>
        <v/>
      </c>
      <c r="Z5102" s="12" t="inlineStr">
        <is>
          <t>device-to-JB field wiring, one cable per device</t>
        </is>
      </c>
      <c r="AA5102" s="12">
        <f>N5102*O5102</f>
        <v/>
      </c>
    </row>
    <row r="5103">
      <c r="A5103" s="12" t="inlineStr">
        <is>
          <t>I-I-0554</t>
        </is>
      </c>
      <c r="B5103" s="12" t="inlineStr">
        <is>
          <t>I</t>
        </is>
      </c>
      <c r="C5103" s="12" t="inlineStr">
        <is>
          <t>Modular / portable power</t>
        </is>
      </c>
      <c r="D5103" s="12" t="inlineStr">
        <is>
          <t>Home run JB-TM-2-AI03 to the control / marshalling room</t>
        </is>
      </c>
      <c r="E5103" s="12" t="inlineStr">
        <is>
          <t>PAD-EH</t>
        </is>
      </c>
      <c r="F5103" s="12" t="inlineStr">
        <is>
          <t>PAD-EH 13.8 kV switchgear e-house</t>
        </is>
      </c>
      <c r="G5103" s="12" t="inlineStr">
        <is>
          <t>JB-TM-2-AI03</t>
        </is>
      </c>
      <c r="H5103" s="12" t="inlineStr">
        <is>
          <t>TM-2: trailer-mounted aeroderivative GT (TM2500 class, ~35 MW)</t>
        </is>
      </c>
      <c r="I5103" s="12" t="inlineStr">
        <is>
          <t>Instrumentation</t>
        </is>
      </c>
      <c r="J5103" s="12" t="inlineStr">
        <is>
          <t>Instrumentation PLTC / TC-ER 300 V, #18 twisted shielded pairs, overall shield</t>
        </is>
      </c>
      <c r="K5103" s="12" t="inlineStr">
        <is>
          <t>PLTC|24 pr|18</t>
        </is>
      </c>
      <c r="L5103" s="12" t="inlineStr">
        <is>
          <t>24 pr</t>
        </is>
      </c>
      <c r="M5103" s="12" t="inlineStr">
        <is>
          <t>18</t>
        </is>
      </c>
      <c r="N5103" s="12" t="n">
        <v>1</v>
      </c>
      <c r="O5103" s="12" t="n">
        <v>1</v>
      </c>
      <c r="P5103" s="12" t="n"/>
      <c r="Q5103" s="12" t="n"/>
      <c r="R5103" s="12" t="n"/>
      <c r="S5103" s="12" t="inlineStr">
        <is>
          <t>Surface</t>
        </is>
      </c>
      <c r="T5103" s="16" t="n">
        <v>386</v>
      </c>
      <c r="U5103" s="16" t="n">
        <v>52</v>
      </c>
      <c r="V5103" s="16">
        <f>ROUNDUP((T5103+U5103+2*'Read Me'!$B$13)*(1+'Read Me'!$B$12),-1)</f>
        <v/>
      </c>
      <c r="W5103" s="16">
        <f>V5103*N5103*O5103</f>
        <v/>
      </c>
      <c r="X5103" s="12">
        <f>IF(LEFT(I5103,2)="MV",2*N5103*IF(L5103="1/C",O5103,1),0)</f>
        <v/>
      </c>
      <c r="Y5103" s="12">
        <f>IF(OR(LEFT(K5103,4)="LVAX",LEFT(K5103,6)="MV15AX",LEFT(K5103,4)="CTAX",LEFT(K5103,2)="W|"),2*N5103*O5103,0)</f>
        <v/>
      </c>
      <c r="Z5103" s="12" t="inlineStr"/>
      <c r="AA5103" s="12">
        <f>N5103*O5103</f>
        <v/>
      </c>
    </row>
    <row r="5104">
      <c r="A5104" s="12" t="inlineStr">
        <is>
          <t>I-I-0555</t>
        </is>
      </c>
      <c r="B5104" s="12" t="inlineStr">
        <is>
          <t>I</t>
        </is>
      </c>
      <c r="C5104" s="12" t="inlineStr">
        <is>
          <t>Modular / portable power</t>
        </is>
      </c>
      <c r="D5104" s="12" t="inlineStr">
        <is>
          <t>Analog instrument to JB JB-TM-2-AI04: 20 x 1 pr (field cables)</t>
        </is>
      </c>
      <c r="E5104" s="12" t="inlineStr">
        <is>
          <t>TM-2</t>
        </is>
      </c>
      <c r="F5104" s="12" t="inlineStr">
        <is>
          <t>TM-2: trailer-mounted aeroderivative GT (TM2500 class, ~35 MW)</t>
        </is>
      </c>
      <c r="G5104" s="12" t="inlineStr">
        <is>
          <t>JB-TM-2-AI04</t>
        </is>
      </c>
      <c r="H5104" s="12" t="inlineStr">
        <is>
          <t>TM-2: trailer-mounted aeroderivative GT (TM2500 class, ~35 MW)</t>
        </is>
      </c>
      <c r="I5104" s="12" t="inlineStr">
        <is>
          <t>Instrumentation</t>
        </is>
      </c>
      <c r="J5104" s="12" t="inlineStr">
        <is>
          <t>Instrumentation PLTC / TC-ER 300 V, #18 twisted shielded pairs, overall shield</t>
        </is>
      </c>
      <c r="K5104" s="12" t="inlineStr">
        <is>
          <t>PLTC|1 pr|16</t>
        </is>
      </c>
      <c r="L5104" s="12" t="inlineStr">
        <is>
          <t>1 pr</t>
        </is>
      </c>
      <c r="M5104" s="12" t="inlineStr">
        <is>
          <t>16</t>
        </is>
      </c>
      <c r="N5104" s="12" t="n">
        <v>20</v>
      </c>
      <c r="O5104" s="12" t="n">
        <v>1</v>
      </c>
      <c r="P5104" s="12" t="n"/>
      <c r="Q5104" s="12" t="n"/>
      <c r="R5104" s="12" t="n"/>
      <c r="S5104" s="12" t="inlineStr">
        <is>
          <t>Tray / conduit</t>
        </is>
      </c>
      <c r="T5104" s="16" t="n">
        <v>108</v>
      </c>
      <c r="U5104" s="16" t="n">
        <v>10</v>
      </c>
      <c r="V5104" s="16">
        <f>ROUNDUP((T5104+U5104+2*'Read Me'!$B$13)*(1+'Read Me'!$B$12),-1)</f>
        <v/>
      </c>
      <c r="W5104" s="16">
        <f>V5104*N5104*O5104</f>
        <v/>
      </c>
      <c r="X5104" s="12">
        <f>IF(LEFT(I5104,2)="MV",2*N5104*IF(L5104="1/C",O5104,1),0)</f>
        <v/>
      </c>
      <c r="Y5104" s="12">
        <f>IF(OR(LEFT(K5104,4)="LVAX",LEFT(K5104,6)="MV15AX",LEFT(K5104,4)="CTAX",LEFT(K5104,2)="W|"),2*N5104*O5104,0)</f>
        <v/>
      </c>
      <c r="Z5104" s="12" t="inlineStr">
        <is>
          <t>device-to-JB field wiring, one cable per device</t>
        </is>
      </c>
      <c r="AA5104" s="12">
        <f>N5104*O5104</f>
        <v/>
      </c>
    </row>
    <row r="5105">
      <c r="A5105" s="12" t="inlineStr">
        <is>
          <t>I-I-0556</t>
        </is>
      </c>
      <c r="B5105" s="12" t="inlineStr">
        <is>
          <t>I</t>
        </is>
      </c>
      <c r="C5105" s="12" t="inlineStr">
        <is>
          <t>Modular / portable power</t>
        </is>
      </c>
      <c r="D5105" s="12" t="inlineStr">
        <is>
          <t>Home run JB-TM-2-AI04 to the control / marshalling room</t>
        </is>
      </c>
      <c r="E5105" s="12" t="inlineStr">
        <is>
          <t>PAD-EH</t>
        </is>
      </c>
      <c r="F5105" s="12" t="inlineStr">
        <is>
          <t>PAD-EH 13.8 kV switchgear e-house</t>
        </is>
      </c>
      <c r="G5105" s="12" t="inlineStr">
        <is>
          <t>JB-TM-2-AI04</t>
        </is>
      </c>
      <c r="H5105" s="12" t="inlineStr">
        <is>
          <t>TM-2: trailer-mounted aeroderivative GT (TM2500 class, ~35 MW)</t>
        </is>
      </c>
      <c r="I5105" s="12" t="inlineStr">
        <is>
          <t>Instrumentation</t>
        </is>
      </c>
      <c r="J5105" s="12" t="inlineStr">
        <is>
          <t>Instrumentation PLTC / TC-ER 300 V, #18 twisted shielded pairs, overall shield</t>
        </is>
      </c>
      <c r="K5105" s="12" t="inlineStr">
        <is>
          <t>PLTC|24 pr|18</t>
        </is>
      </c>
      <c r="L5105" s="12" t="inlineStr">
        <is>
          <t>24 pr</t>
        </is>
      </c>
      <c r="M5105" s="12" t="inlineStr">
        <is>
          <t>18</t>
        </is>
      </c>
      <c r="N5105" s="12" t="n">
        <v>1</v>
      </c>
      <c r="O5105" s="12" t="n">
        <v>1</v>
      </c>
      <c r="P5105" s="12" t="n"/>
      <c r="Q5105" s="12" t="n"/>
      <c r="R5105" s="12" t="n"/>
      <c r="S5105" s="12" t="inlineStr">
        <is>
          <t>Surface</t>
        </is>
      </c>
      <c r="T5105" s="16" t="n">
        <v>386</v>
      </c>
      <c r="U5105" s="16" t="n">
        <v>52</v>
      </c>
      <c r="V5105" s="16">
        <f>ROUNDUP((T5105+U5105+2*'Read Me'!$B$13)*(1+'Read Me'!$B$12),-1)</f>
        <v/>
      </c>
      <c r="W5105" s="16">
        <f>V5105*N5105*O5105</f>
        <v/>
      </c>
      <c r="X5105" s="12">
        <f>IF(LEFT(I5105,2)="MV",2*N5105*IF(L5105="1/C",O5105,1),0)</f>
        <v/>
      </c>
      <c r="Y5105" s="12">
        <f>IF(OR(LEFT(K5105,4)="LVAX",LEFT(K5105,6)="MV15AX",LEFT(K5105,4)="CTAX",LEFT(K5105,2)="W|"),2*N5105*O5105,0)</f>
        <v/>
      </c>
      <c r="Z5105" s="12" t="inlineStr"/>
      <c r="AA5105" s="12">
        <f>N5105*O5105</f>
        <v/>
      </c>
    </row>
    <row r="5106">
      <c r="A5106" s="12" t="inlineStr">
        <is>
          <t>I-I-0557</t>
        </is>
      </c>
      <c r="B5106" s="12" t="inlineStr">
        <is>
          <t>I</t>
        </is>
      </c>
      <c r="C5106" s="12" t="inlineStr">
        <is>
          <t>Modular / portable power</t>
        </is>
      </c>
      <c r="D5106" s="12" t="inlineStr">
        <is>
          <t>Analog instrument to JB JB-TM-2-AI05: 20 x 1 pr (field cables)</t>
        </is>
      </c>
      <c r="E5106" s="12" t="inlineStr">
        <is>
          <t>TM-2</t>
        </is>
      </c>
      <c r="F5106" s="12" t="inlineStr">
        <is>
          <t>TM-2: trailer-mounted aeroderivative GT (TM2500 class, ~35 MW)</t>
        </is>
      </c>
      <c r="G5106" s="12" t="inlineStr">
        <is>
          <t>JB-TM-2-AI05</t>
        </is>
      </c>
      <c r="H5106" s="12" t="inlineStr">
        <is>
          <t>TM-2: trailer-mounted aeroderivative GT (TM2500 class, ~35 MW)</t>
        </is>
      </c>
      <c r="I5106" s="12" t="inlineStr">
        <is>
          <t>Instrumentation</t>
        </is>
      </c>
      <c r="J5106" s="12" t="inlineStr">
        <is>
          <t>Instrumentation PLTC / TC-ER 300 V, #18 twisted shielded pairs, overall shield</t>
        </is>
      </c>
      <c r="K5106" s="12" t="inlineStr">
        <is>
          <t>PLTC|1 pr|16</t>
        </is>
      </c>
      <c r="L5106" s="12" t="inlineStr">
        <is>
          <t>1 pr</t>
        </is>
      </c>
      <c r="M5106" s="12" t="inlineStr">
        <is>
          <t>16</t>
        </is>
      </c>
      <c r="N5106" s="12" t="n">
        <v>20</v>
      </c>
      <c r="O5106" s="12" t="n">
        <v>1</v>
      </c>
      <c r="P5106" s="12" t="n"/>
      <c r="Q5106" s="12" t="n"/>
      <c r="R5106" s="12" t="n"/>
      <c r="S5106" s="12" t="inlineStr">
        <is>
          <t>Tray / conduit</t>
        </is>
      </c>
      <c r="T5106" s="16" t="n">
        <v>108</v>
      </c>
      <c r="U5106" s="16" t="n">
        <v>10</v>
      </c>
      <c r="V5106" s="16">
        <f>ROUNDUP((T5106+U5106+2*'Read Me'!$B$13)*(1+'Read Me'!$B$12),-1)</f>
        <v/>
      </c>
      <c r="W5106" s="16">
        <f>V5106*N5106*O5106</f>
        <v/>
      </c>
      <c r="X5106" s="12">
        <f>IF(LEFT(I5106,2)="MV",2*N5106*IF(L5106="1/C",O5106,1),0)</f>
        <v/>
      </c>
      <c r="Y5106" s="12">
        <f>IF(OR(LEFT(K5106,4)="LVAX",LEFT(K5106,6)="MV15AX",LEFT(K5106,4)="CTAX",LEFT(K5106,2)="W|"),2*N5106*O5106,0)</f>
        <v/>
      </c>
      <c r="Z5106" s="12" t="inlineStr">
        <is>
          <t>device-to-JB field wiring, one cable per device</t>
        </is>
      </c>
      <c r="AA5106" s="12">
        <f>N5106*O5106</f>
        <v/>
      </c>
    </row>
    <row r="5107">
      <c r="A5107" s="12" t="inlineStr">
        <is>
          <t>I-I-0558</t>
        </is>
      </c>
      <c r="B5107" s="12" t="inlineStr">
        <is>
          <t>I</t>
        </is>
      </c>
      <c r="C5107" s="12" t="inlineStr">
        <is>
          <t>Modular / portable power</t>
        </is>
      </c>
      <c r="D5107" s="12" t="inlineStr">
        <is>
          <t>Home run JB-TM-2-AI05 to the control / marshalling room</t>
        </is>
      </c>
      <c r="E5107" s="12" t="inlineStr">
        <is>
          <t>PAD-EH</t>
        </is>
      </c>
      <c r="F5107" s="12" t="inlineStr">
        <is>
          <t>PAD-EH 13.8 kV switchgear e-house</t>
        </is>
      </c>
      <c r="G5107" s="12" t="inlineStr">
        <is>
          <t>JB-TM-2-AI05</t>
        </is>
      </c>
      <c r="H5107" s="12" t="inlineStr">
        <is>
          <t>TM-2: trailer-mounted aeroderivative GT (TM2500 class, ~35 MW)</t>
        </is>
      </c>
      <c r="I5107" s="12" t="inlineStr">
        <is>
          <t>Instrumentation</t>
        </is>
      </c>
      <c r="J5107" s="12" t="inlineStr">
        <is>
          <t>Instrumentation PLTC / TC-ER 300 V, #18 twisted shielded pairs, overall shield</t>
        </is>
      </c>
      <c r="K5107" s="12" t="inlineStr">
        <is>
          <t>PLTC|24 pr|18</t>
        </is>
      </c>
      <c r="L5107" s="12" t="inlineStr">
        <is>
          <t>24 pr</t>
        </is>
      </c>
      <c r="M5107" s="12" t="inlineStr">
        <is>
          <t>18</t>
        </is>
      </c>
      <c r="N5107" s="12" t="n">
        <v>1</v>
      </c>
      <c r="O5107" s="12" t="n">
        <v>1</v>
      </c>
      <c r="P5107" s="12" t="n"/>
      <c r="Q5107" s="12" t="n"/>
      <c r="R5107" s="12" t="n"/>
      <c r="S5107" s="12" t="inlineStr">
        <is>
          <t>Surface</t>
        </is>
      </c>
      <c r="T5107" s="16" t="n">
        <v>386</v>
      </c>
      <c r="U5107" s="16" t="n">
        <v>52</v>
      </c>
      <c r="V5107" s="16">
        <f>ROUNDUP((T5107+U5107+2*'Read Me'!$B$13)*(1+'Read Me'!$B$12),-1)</f>
        <v/>
      </c>
      <c r="W5107" s="16">
        <f>V5107*N5107*O5107</f>
        <v/>
      </c>
      <c r="X5107" s="12">
        <f>IF(LEFT(I5107,2)="MV",2*N5107*IF(L5107="1/C",O5107,1),0)</f>
        <v/>
      </c>
      <c r="Y5107" s="12">
        <f>IF(OR(LEFT(K5107,4)="LVAX",LEFT(K5107,6)="MV15AX",LEFT(K5107,4)="CTAX",LEFT(K5107,2)="W|"),2*N5107*O5107,0)</f>
        <v/>
      </c>
      <c r="Z5107" s="12" t="inlineStr"/>
      <c r="AA5107" s="12">
        <f>N5107*O5107</f>
        <v/>
      </c>
    </row>
    <row r="5108">
      <c r="A5108" s="12" t="inlineStr">
        <is>
          <t>I-I-0559</t>
        </is>
      </c>
      <c r="B5108" s="12" t="inlineStr">
        <is>
          <t>I</t>
        </is>
      </c>
      <c r="C5108" s="12" t="inlineStr">
        <is>
          <t>Modular / portable power</t>
        </is>
      </c>
      <c r="D5108" s="12" t="inlineStr">
        <is>
          <t>Discrete device to JB JB-TM-2-DI01: 20 x 1 pr (field cables)</t>
        </is>
      </c>
      <c r="E5108" s="12" t="inlineStr">
        <is>
          <t>TM-2</t>
        </is>
      </c>
      <c r="F5108" s="12" t="inlineStr">
        <is>
          <t>TM-2: trailer-mounted aeroderivative GT (TM2500 class, ~35 MW)</t>
        </is>
      </c>
      <c r="G5108" s="12" t="inlineStr">
        <is>
          <t>JB-TM-2-DI01</t>
        </is>
      </c>
      <c r="H5108" s="12" t="inlineStr">
        <is>
          <t>TM-2: trailer-mounted aeroderivative GT (TM2500 class, ~35 MW)</t>
        </is>
      </c>
      <c r="I5108" s="12" t="inlineStr">
        <is>
          <t>Instrumentation</t>
        </is>
      </c>
      <c r="J5108" s="12" t="inlineStr">
        <is>
          <t>Instrumentation PLTC / TC-ER 300 V, #18 twisted shielded pairs, overall shield</t>
        </is>
      </c>
      <c r="K5108" s="12" t="inlineStr">
        <is>
          <t>PLTC|1 pr|16</t>
        </is>
      </c>
      <c r="L5108" s="12" t="inlineStr">
        <is>
          <t>1 pr</t>
        </is>
      </c>
      <c r="M5108" s="12" t="inlineStr">
        <is>
          <t>16</t>
        </is>
      </c>
      <c r="N5108" s="12" t="n">
        <v>20</v>
      </c>
      <c r="O5108" s="12" t="n">
        <v>1</v>
      </c>
      <c r="P5108" s="12" t="n"/>
      <c r="Q5108" s="12" t="n"/>
      <c r="R5108" s="12" t="n"/>
      <c r="S5108" s="12" t="inlineStr">
        <is>
          <t>Tray / conduit</t>
        </is>
      </c>
      <c r="T5108" s="16" t="n">
        <v>108</v>
      </c>
      <c r="U5108" s="16" t="n">
        <v>10</v>
      </c>
      <c r="V5108" s="16">
        <f>ROUNDUP((T5108+U5108+2*'Read Me'!$B$13)*(1+'Read Me'!$B$12),-1)</f>
        <v/>
      </c>
      <c r="W5108" s="16">
        <f>V5108*N5108*O5108</f>
        <v/>
      </c>
      <c r="X5108" s="12">
        <f>IF(LEFT(I5108,2)="MV",2*N5108*IF(L5108="1/C",O5108,1),0)</f>
        <v/>
      </c>
      <c r="Y5108" s="12">
        <f>IF(OR(LEFT(K5108,4)="LVAX",LEFT(K5108,6)="MV15AX",LEFT(K5108,4)="CTAX",LEFT(K5108,2)="W|"),2*N5108*O5108,0)</f>
        <v/>
      </c>
      <c r="Z5108" s="12" t="inlineStr">
        <is>
          <t>device-to-JB field wiring, one cable per device</t>
        </is>
      </c>
      <c r="AA5108" s="12">
        <f>N5108*O5108</f>
        <v/>
      </c>
    </row>
    <row r="5109">
      <c r="A5109" s="12" t="inlineStr">
        <is>
          <t>I-I-0560</t>
        </is>
      </c>
      <c r="B5109" s="12" t="inlineStr">
        <is>
          <t>I</t>
        </is>
      </c>
      <c r="C5109" s="12" t="inlineStr">
        <is>
          <t>Modular / portable power</t>
        </is>
      </c>
      <c r="D5109" s="12" t="inlineStr">
        <is>
          <t>Home run JB-TM-2-DI01 to the control / marshalling room</t>
        </is>
      </c>
      <c r="E5109" s="12" t="inlineStr">
        <is>
          <t>PAD-EH</t>
        </is>
      </c>
      <c r="F5109" s="12" t="inlineStr">
        <is>
          <t>PAD-EH 13.8 kV switchgear e-house</t>
        </is>
      </c>
      <c r="G5109" s="12" t="inlineStr">
        <is>
          <t>JB-TM-2-DI01</t>
        </is>
      </c>
      <c r="H5109" s="12" t="inlineStr">
        <is>
          <t>TM-2: trailer-mounted aeroderivative GT (TM2500 class, ~35 MW)</t>
        </is>
      </c>
      <c r="I5109" s="12" t="inlineStr">
        <is>
          <t>Instrumentation</t>
        </is>
      </c>
      <c r="J5109" s="12" t="inlineStr">
        <is>
          <t>Instrumentation PLTC / TC-ER 300 V, #18 twisted shielded pairs, overall shield</t>
        </is>
      </c>
      <c r="K5109" s="12" t="inlineStr">
        <is>
          <t>PLTC|24 pr|18</t>
        </is>
      </c>
      <c r="L5109" s="12" t="inlineStr">
        <is>
          <t>24 pr</t>
        </is>
      </c>
      <c r="M5109" s="12" t="inlineStr">
        <is>
          <t>18</t>
        </is>
      </c>
      <c r="N5109" s="12" t="n">
        <v>1</v>
      </c>
      <c r="O5109" s="12" t="n">
        <v>1</v>
      </c>
      <c r="P5109" s="12" t="n"/>
      <c r="Q5109" s="12" t="n"/>
      <c r="R5109" s="12" t="n"/>
      <c r="S5109" s="12" t="inlineStr">
        <is>
          <t>Surface</t>
        </is>
      </c>
      <c r="T5109" s="16" t="n">
        <v>386</v>
      </c>
      <c r="U5109" s="16" t="n">
        <v>52</v>
      </c>
      <c r="V5109" s="16">
        <f>ROUNDUP((T5109+U5109+2*'Read Me'!$B$13)*(1+'Read Me'!$B$12),-1)</f>
        <v/>
      </c>
      <c r="W5109" s="16">
        <f>V5109*N5109*O5109</f>
        <v/>
      </c>
      <c r="X5109" s="12">
        <f>IF(LEFT(I5109,2)="MV",2*N5109*IF(L5109="1/C",O5109,1),0)</f>
        <v/>
      </c>
      <c r="Y5109" s="12">
        <f>IF(OR(LEFT(K5109,4)="LVAX",LEFT(K5109,6)="MV15AX",LEFT(K5109,4)="CTAX",LEFT(K5109,2)="W|"),2*N5109*O5109,0)</f>
        <v/>
      </c>
      <c r="Z5109" s="12" t="inlineStr"/>
      <c r="AA5109" s="12">
        <f>N5109*O5109</f>
        <v/>
      </c>
    </row>
    <row r="5110">
      <c r="A5110" s="12" t="inlineStr">
        <is>
          <t>I-I-0561</t>
        </is>
      </c>
      <c r="B5110" s="12" t="inlineStr">
        <is>
          <t>I</t>
        </is>
      </c>
      <c r="C5110" s="12" t="inlineStr">
        <is>
          <t>Modular / portable power</t>
        </is>
      </c>
      <c r="D5110" s="12" t="inlineStr">
        <is>
          <t>Discrete device to JB JB-TM-2-DI02: 20 x 1 pr (field cables)</t>
        </is>
      </c>
      <c r="E5110" s="12" t="inlineStr">
        <is>
          <t>TM-2</t>
        </is>
      </c>
      <c r="F5110" s="12" t="inlineStr">
        <is>
          <t>TM-2: trailer-mounted aeroderivative GT (TM2500 class, ~35 MW)</t>
        </is>
      </c>
      <c r="G5110" s="12" t="inlineStr">
        <is>
          <t>JB-TM-2-DI02</t>
        </is>
      </c>
      <c r="H5110" s="12" t="inlineStr">
        <is>
          <t>TM-2: trailer-mounted aeroderivative GT (TM2500 class, ~35 MW)</t>
        </is>
      </c>
      <c r="I5110" s="12" t="inlineStr">
        <is>
          <t>Instrumentation</t>
        </is>
      </c>
      <c r="J5110" s="12" t="inlineStr">
        <is>
          <t>Instrumentation PLTC / TC-ER 300 V, #18 twisted shielded pairs, overall shield</t>
        </is>
      </c>
      <c r="K5110" s="12" t="inlineStr">
        <is>
          <t>PLTC|1 pr|16</t>
        </is>
      </c>
      <c r="L5110" s="12" t="inlineStr">
        <is>
          <t>1 pr</t>
        </is>
      </c>
      <c r="M5110" s="12" t="inlineStr">
        <is>
          <t>16</t>
        </is>
      </c>
      <c r="N5110" s="12" t="n">
        <v>20</v>
      </c>
      <c r="O5110" s="12" t="n">
        <v>1</v>
      </c>
      <c r="P5110" s="12" t="n"/>
      <c r="Q5110" s="12" t="n"/>
      <c r="R5110" s="12" t="n"/>
      <c r="S5110" s="12" t="inlineStr">
        <is>
          <t>Tray / conduit</t>
        </is>
      </c>
      <c r="T5110" s="16" t="n">
        <v>108</v>
      </c>
      <c r="U5110" s="16" t="n">
        <v>10</v>
      </c>
      <c r="V5110" s="16">
        <f>ROUNDUP((T5110+U5110+2*'Read Me'!$B$13)*(1+'Read Me'!$B$12),-1)</f>
        <v/>
      </c>
      <c r="W5110" s="16">
        <f>V5110*N5110*O5110</f>
        <v/>
      </c>
      <c r="X5110" s="12">
        <f>IF(LEFT(I5110,2)="MV",2*N5110*IF(L5110="1/C",O5110,1),0)</f>
        <v/>
      </c>
      <c r="Y5110" s="12">
        <f>IF(OR(LEFT(K5110,4)="LVAX",LEFT(K5110,6)="MV15AX",LEFT(K5110,4)="CTAX",LEFT(K5110,2)="W|"),2*N5110*O5110,0)</f>
        <v/>
      </c>
      <c r="Z5110" s="12" t="inlineStr">
        <is>
          <t>device-to-JB field wiring, one cable per device</t>
        </is>
      </c>
      <c r="AA5110" s="12">
        <f>N5110*O5110</f>
        <v/>
      </c>
    </row>
    <row r="5111">
      <c r="A5111" s="12" t="inlineStr">
        <is>
          <t>I-I-0562</t>
        </is>
      </c>
      <c r="B5111" s="12" t="inlineStr">
        <is>
          <t>I</t>
        </is>
      </c>
      <c r="C5111" s="12" t="inlineStr">
        <is>
          <t>Modular / portable power</t>
        </is>
      </c>
      <c r="D5111" s="12" t="inlineStr">
        <is>
          <t>Home run JB-TM-2-DI02 to the control / marshalling room</t>
        </is>
      </c>
      <c r="E5111" s="12" t="inlineStr">
        <is>
          <t>PAD-EH</t>
        </is>
      </c>
      <c r="F5111" s="12" t="inlineStr">
        <is>
          <t>PAD-EH 13.8 kV switchgear e-house</t>
        </is>
      </c>
      <c r="G5111" s="12" t="inlineStr">
        <is>
          <t>JB-TM-2-DI02</t>
        </is>
      </c>
      <c r="H5111" s="12" t="inlineStr">
        <is>
          <t>TM-2: trailer-mounted aeroderivative GT (TM2500 class, ~35 MW)</t>
        </is>
      </c>
      <c r="I5111" s="12" t="inlineStr">
        <is>
          <t>Instrumentation</t>
        </is>
      </c>
      <c r="J5111" s="12" t="inlineStr">
        <is>
          <t>Instrumentation PLTC / TC-ER 300 V, #18 twisted shielded pairs, overall shield</t>
        </is>
      </c>
      <c r="K5111" s="12" t="inlineStr">
        <is>
          <t>PLTC|24 pr|18</t>
        </is>
      </c>
      <c r="L5111" s="12" t="inlineStr">
        <is>
          <t>24 pr</t>
        </is>
      </c>
      <c r="M5111" s="12" t="inlineStr">
        <is>
          <t>18</t>
        </is>
      </c>
      <c r="N5111" s="12" t="n">
        <v>1</v>
      </c>
      <c r="O5111" s="12" t="n">
        <v>1</v>
      </c>
      <c r="P5111" s="12" t="n"/>
      <c r="Q5111" s="12" t="n"/>
      <c r="R5111" s="12" t="n"/>
      <c r="S5111" s="12" t="inlineStr">
        <is>
          <t>Surface</t>
        </is>
      </c>
      <c r="T5111" s="16" t="n">
        <v>386</v>
      </c>
      <c r="U5111" s="16" t="n">
        <v>52</v>
      </c>
      <c r="V5111" s="16">
        <f>ROUNDUP((T5111+U5111+2*'Read Me'!$B$13)*(1+'Read Me'!$B$12),-1)</f>
        <v/>
      </c>
      <c r="W5111" s="16">
        <f>V5111*N5111*O5111</f>
        <v/>
      </c>
      <c r="X5111" s="12">
        <f>IF(LEFT(I5111,2)="MV",2*N5111*IF(L5111="1/C",O5111,1),0)</f>
        <v/>
      </c>
      <c r="Y5111" s="12">
        <f>IF(OR(LEFT(K5111,4)="LVAX",LEFT(K5111,6)="MV15AX",LEFT(K5111,4)="CTAX",LEFT(K5111,2)="W|"),2*N5111*O5111,0)</f>
        <v/>
      </c>
      <c r="Z5111" s="12" t="inlineStr"/>
      <c r="AA5111" s="12">
        <f>N5111*O5111</f>
        <v/>
      </c>
    </row>
    <row r="5112">
      <c r="A5112" s="12" t="inlineStr">
        <is>
          <t>I-I-0563</t>
        </is>
      </c>
      <c r="B5112" s="12" t="inlineStr">
        <is>
          <t>I</t>
        </is>
      </c>
      <c r="C5112" s="12" t="inlineStr">
        <is>
          <t>Modular / portable power</t>
        </is>
      </c>
      <c r="D5112" s="12" t="inlineStr">
        <is>
          <t>Discrete device to JB JB-TM-2-DI03: 20 x 1 pr (field cables)</t>
        </is>
      </c>
      <c r="E5112" s="12" t="inlineStr">
        <is>
          <t>TM-2</t>
        </is>
      </c>
      <c r="F5112" s="12" t="inlineStr">
        <is>
          <t>TM-2: trailer-mounted aeroderivative GT (TM2500 class, ~35 MW)</t>
        </is>
      </c>
      <c r="G5112" s="12" t="inlineStr">
        <is>
          <t>JB-TM-2-DI03</t>
        </is>
      </c>
      <c r="H5112" s="12" t="inlineStr">
        <is>
          <t>TM-2: trailer-mounted aeroderivative GT (TM2500 class, ~35 MW)</t>
        </is>
      </c>
      <c r="I5112" s="12" t="inlineStr">
        <is>
          <t>Instrumentation</t>
        </is>
      </c>
      <c r="J5112" s="12" t="inlineStr">
        <is>
          <t>Instrumentation PLTC / TC-ER 300 V, #18 twisted shielded pairs, overall shield</t>
        </is>
      </c>
      <c r="K5112" s="12" t="inlineStr">
        <is>
          <t>PLTC|1 pr|16</t>
        </is>
      </c>
      <c r="L5112" s="12" t="inlineStr">
        <is>
          <t>1 pr</t>
        </is>
      </c>
      <c r="M5112" s="12" t="inlineStr">
        <is>
          <t>16</t>
        </is>
      </c>
      <c r="N5112" s="12" t="n">
        <v>20</v>
      </c>
      <c r="O5112" s="12" t="n">
        <v>1</v>
      </c>
      <c r="P5112" s="12" t="n"/>
      <c r="Q5112" s="12" t="n"/>
      <c r="R5112" s="12" t="n"/>
      <c r="S5112" s="12" t="inlineStr">
        <is>
          <t>Tray / conduit</t>
        </is>
      </c>
      <c r="T5112" s="16" t="n">
        <v>108</v>
      </c>
      <c r="U5112" s="16" t="n">
        <v>10</v>
      </c>
      <c r="V5112" s="16">
        <f>ROUNDUP((T5112+U5112+2*'Read Me'!$B$13)*(1+'Read Me'!$B$12),-1)</f>
        <v/>
      </c>
      <c r="W5112" s="16">
        <f>V5112*N5112*O5112</f>
        <v/>
      </c>
      <c r="X5112" s="12">
        <f>IF(LEFT(I5112,2)="MV",2*N5112*IF(L5112="1/C",O5112,1),0)</f>
        <v/>
      </c>
      <c r="Y5112" s="12">
        <f>IF(OR(LEFT(K5112,4)="LVAX",LEFT(K5112,6)="MV15AX",LEFT(K5112,4)="CTAX",LEFT(K5112,2)="W|"),2*N5112*O5112,0)</f>
        <v/>
      </c>
      <c r="Z5112" s="12" t="inlineStr">
        <is>
          <t>device-to-JB field wiring, one cable per device</t>
        </is>
      </c>
      <c r="AA5112" s="12">
        <f>N5112*O5112</f>
        <v/>
      </c>
    </row>
    <row r="5113">
      <c r="A5113" s="12" t="inlineStr">
        <is>
          <t>I-I-0564</t>
        </is>
      </c>
      <c r="B5113" s="12" t="inlineStr">
        <is>
          <t>I</t>
        </is>
      </c>
      <c r="C5113" s="12" t="inlineStr">
        <is>
          <t>Modular / portable power</t>
        </is>
      </c>
      <c r="D5113" s="12" t="inlineStr">
        <is>
          <t>Home run JB-TM-2-DI03 to the control / marshalling room</t>
        </is>
      </c>
      <c r="E5113" s="12" t="inlineStr">
        <is>
          <t>PAD-EH</t>
        </is>
      </c>
      <c r="F5113" s="12" t="inlineStr">
        <is>
          <t>PAD-EH 13.8 kV switchgear e-house</t>
        </is>
      </c>
      <c r="G5113" s="12" t="inlineStr">
        <is>
          <t>JB-TM-2-DI03</t>
        </is>
      </c>
      <c r="H5113" s="12" t="inlineStr">
        <is>
          <t>TM-2: trailer-mounted aeroderivative GT (TM2500 class, ~35 MW)</t>
        </is>
      </c>
      <c r="I5113" s="12" t="inlineStr">
        <is>
          <t>Instrumentation</t>
        </is>
      </c>
      <c r="J5113" s="12" t="inlineStr">
        <is>
          <t>Instrumentation PLTC / TC-ER 300 V, #18 twisted shielded pairs, overall shield</t>
        </is>
      </c>
      <c r="K5113" s="12" t="inlineStr">
        <is>
          <t>PLTC|24 pr|18</t>
        </is>
      </c>
      <c r="L5113" s="12" t="inlineStr">
        <is>
          <t>24 pr</t>
        </is>
      </c>
      <c r="M5113" s="12" t="inlineStr">
        <is>
          <t>18</t>
        </is>
      </c>
      <c r="N5113" s="12" t="n">
        <v>1</v>
      </c>
      <c r="O5113" s="12" t="n">
        <v>1</v>
      </c>
      <c r="P5113" s="12" t="n"/>
      <c r="Q5113" s="12" t="n"/>
      <c r="R5113" s="12" t="n"/>
      <c r="S5113" s="12" t="inlineStr">
        <is>
          <t>Surface</t>
        </is>
      </c>
      <c r="T5113" s="16" t="n">
        <v>386</v>
      </c>
      <c r="U5113" s="16" t="n">
        <v>52</v>
      </c>
      <c r="V5113" s="16">
        <f>ROUNDUP((T5113+U5113+2*'Read Me'!$B$13)*(1+'Read Me'!$B$12),-1)</f>
        <v/>
      </c>
      <c r="W5113" s="16">
        <f>V5113*N5113*O5113</f>
        <v/>
      </c>
      <c r="X5113" s="12">
        <f>IF(LEFT(I5113,2)="MV",2*N5113*IF(L5113="1/C",O5113,1),0)</f>
        <v/>
      </c>
      <c r="Y5113" s="12">
        <f>IF(OR(LEFT(K5113,4)="LVAX",LEFT(K5113,6)="MV15AX",LEFT(K5113,4)="CTAX",LEFT(K5113,2)="W|"),2*N5113*O5113,0)</f>
        <v/>
      </c>
      <c r="Z5113" s="12" t="inlineStr"/>
      <c r="AA5113" s="12">
        <f>N5113*O5113</f>
        <v/>
      </c>
    </row>
    <row r="5114">
      <c r="A5114" s="12" t="inlineStr">
        <is>
          <t>I-I-0565</t>
        </is>
      </c>
      <c r="B5114" s="12" t="inlineStr">
        <is>
          <t>I</t>
        </is>
      </c>
      <c r="C5114" s="12" t="inlineStr">
        <is>
          <t>Modular / portable power</t>
        </is>
      </c>
      <c r="D5114" s="12" t="inlineStr">
        <is>
          <t>Thermocouple to TC JB JB-TM-2-TC01: 20 x 1 pr (field cables)</t>
        </is>
      </c>
      <c r="E5114" s="12" t="inlineStr">
        <is>
          <t>TM-2</t>
        </is>
      </c>
      <c r="F5114" s="12" t="inlineStr">
        <is>
          <t>TM-2: trailer-mounted aeroderivative GT (TM2500 class, ~35 MW)</t>
        </is>
      </c>
      <c r="G5114" s="12" t="inlineStr">
        <is>
          <t>JB-TM-2-TC01</t>
        </is>
      </c>
      <c r="H5114" s="12" t="inlineStr">
        <is>
          <t>TM-2: trailer-mounted aeroderivative GT (TM2500 class, ~35 MW)</t>
        </is>
      </c>
      <c r="I5114" s="12" t="inlineStr">
        <is>
          <t>Instrumentation</t>
        </is>
      </c>
      <c r="J5114" s="12" t="inlineStr">
        <is>
          <t>Thermocouple extension KX, #16 shielded pairs, PLTC</t>
        </is>
      </c>
      <c r="K5114" s="12" t="inlineStr">
        <is>
          <t>TCX|1 pr|16</t>
        </is>
      </c>
      <c r="L5114" s="12" t="inlineStr">
        <is>
          <t>1 pr</t>
        </is>
      </c>
      <c r="M5114" s="12" t="inlineStr">
        <is>
          <t>16</t>
        </is>
      </c>
      <c r="N5114" s="12" t="n">
        <v>20</v>
      </c>
      <c r="O5114" s="12" t="n">
        <v>1</v>
      </c>
      <c r="P5114" s="12" t="n"/>
      <c r="Q5114" s="12" t="n"/>
      <c r="R5114" s="12" t="n"/>
      <c r="S5114" s="12" t="inlineStr">
        <is>
          <t>Tray / conduit</t>
        </is>
      </c>
      <c r="T5114" s="16" t="n">
        <v>108</v>
      </c>
      <c r="U5114" s="16" t="n">
        <v>10</v>
      </c>
      <c r="V5114" s="16">
        <f>ROUNDUP((T5114+U5114+2*'Read Me'!$B$13)*(1+'Read Me'!$B$12),-1)</f>
        <v/>
      </c>
      <c r="W5114" s="16">
        <f>V5114*N5114*O5114</f>
        <v/>
      </c>
      <c r="X5114" s="12">
        <f>IF(LEFT(I5114,2)="MV",2*N5114*IF(L5114="1/C",O5114,1),0)</f>
        <v/>
      </c>
      <c r="Y5114" s="12">
        <f>IF(OR(LEFT(K5114,4)="LVAX",LEFT(K5114,6)="MV15AX",LEFT(K5114,4)="CTAX",LEFT(K5114,2)="W|"),2*N5114*O5114,0)</f>
        <v/>
      </c>
      <c r="Z5114" s="12" t="inlineStr">
        <is>
          <t>device-to-JB field wiring, one cable per device</t>
        </is>
      </c>
      <c r="AA5114" s="12">
        <f>N5114*O5114</f>
        <v/>
      </c>
    </row>
    <row r="5115">
      <c r="A5115" s="12" t="inlineStr">
        <is>
          <t>I-I-0566</t>
        </is>
      </c>
      <c r="B5115" s="12" t="inlineStr">
        <is>
          <t>I</t>
        </is>
      </c>
      <c r="C5115" s="12" t="inlineStr">
        <is>
          <t>Modular / portable power</t>
        </is>
      </c>
      <c r="D5115" s="12" t="inlineStr">
        <is>
          <t>Home run JB-TM-2-TC01 to the control / marshalling room</t>
        </is>
      </c>
      <c r="E5115" s="12" t="inlineStr">
        <is>
          <t>PAD-EH</t>
        </is>
      </c>
      <c r="F5115" s="12" t="inlineStr">
        <is>
          <t>PAD-EH 13.8 kV switchgear e-house</t>
        </is>
      </c>
      <c r="G5115" s="12" t="inlineStr">
        <is>
          <t>JB-TM-2-TC01</t>
        </is>
      </c>
      <c r="H5115" s="12" t="inlineStr">
        <is>
          <t>TM-2: trailer-mounted aeroderivative GT (TM2500 class, ~35 MW)</t>
        </is>
      </c>
      <c r="I5115" s="12" t="inlineStr">
        <is>
          <t>Instrumentation</t>
        </is>
      </c>
      <c r="J5115" s="12" t="inlineStr">
        <is>
          <t>Thermocouple extension KX, #16 shielded pairs, PLTC</t>
        </is>
      </c>
      <c r="K5115" s="12" t="inlineStr">
        <is>
          <t>TCX|24 pr|16</t>
        </is>
      </c>
      <c r="L5115" s="12" t="inlineStr">
        <is>
          <t>24 pr</t>
        </is>
      </c>
      <c r="M5115" s="12" t="inlineStr">
        <is>
          <t>16</t>
        </is>
      </c>
      <c r="N5115" s="12" t="n">
        <v>1</v>
      </c>
      <c r="O5115" s="12" t="n">
        <v>1</v>
      </c>
      <c r="P5115" s="12" t="n"/>
      <c r="Q5115" s="12" t="n"/>
      <c r="R5115" s="12" t="n"/>
      <c r="S5115" s="12" t="inlineStr">
        <is>
          <t>Surface</t>
        </is>
      </c>
      <c r="T5115" s="16" t="n">
        <v>386</v>
      </c>
      <c r="U5115" s="16" t="n">
        <v>52</v>
      </c>
      <c r="V5115" s="16">
        <f>ROUNDUP((T5115+U5115+2*'Read Me'!$B$13)*(1+'Read Me'!$B$12),-1)</f>
        <v/>
      </c>
      <c r="W5115" s="16">
        <f>V5115*N5115*O5115</f>
        <v/>
      </c>
      <c r="X5115" s="12">
        <f>IF(LEFT(I5115,2)="MV",2*N5115*IF(L5115="1/C",O5115,1),0)</f>
        <v/>
      </c>
      <c r="Y5115" s="12">
        <f>IF(OR(LEFT(K5115,4)="LVAX",LEFT(K5115,6)="MV15AX",LEFT(K5115,4)="CTAX",LEFT(K5115,2)="W|"),2*N5115*O5115,0)</f>
        <v/>
      </c>
      <c r="Z5115" s="12" t="inlineStr"/>
      <c r="AA5115" s="12">
        <f>N5115*O5115</f>
        <v/>
      </c>
    </row>
    <row r="5116">
      <c r="A5116" s="12" t="inlineStr">
        <is>
          <t>I-I-0567</t>
        </is>
      </c>
      <c r="B5116" s="12" t="inlineStr">
        <is>
          <t>I</t>
        </is>
      </c>
      <c r="C5116" s="12" t="inlineStr">
        <is>
          <t>Modular / portable power</t>
        </is>
      </c>
      <c r="D5116" s="12" t="inlineStr">
        <is>
          <t>Analog instrument to JB JB-Water-injection sk-AI01: 10 x 1 pr (field cables)</t>
        </is>
      </c>
      <c r="E5116" s="12" t="inlineStr"/>
      <c r="F5116" s="12" t="inlineStr">
        <is>
          <t>Water-injection skid</t>
        </is>
      </c>
      <c r="G5116" s="12" t="inlineStr">
        <is>
          <t>JB-Water-injection sk-AI01</t>
        </is>
      </c>
      <c r="H5116" s="12" t="inlineStr">
        <is>
          <t>Water-injection skid</t>
        </is>
      </c>
      <c r="I5116" s="12" t="inlineStr">
        <is>
          <t>Instrumentation</t>
        </is>
      </c>
      <c r="J5116" s="12" t="inlineStr">
        <is>
          <t>Instrumentation PLTC / TC-ER 300 V, #18 twisted shielded pairs, overall shield</t>
        </is>
      </c>
      <c r="K5116" s="12" t="inlineStr">
        <is>
          <t>PLTC|1 pr|16</t>
        </is>
      </c>
      <c r="L5116" s="12" t="inlineStr">
        <is>
          <t>1 pr</t>
        </is>
      </c>
      <c r="M5116" s="12" t="inlineStr">
        <is>
          <t>16</t>
        </is>
      </c>
      <c r="N5116" s="12" t="n">
        <v>10</v>
      </c>
      <c r="O5116" s="12" t="n">
        <v>1</v>
      </c>
      <c r="P5116" s="12" t="n"/>
      <c r="Q5116" s="12" t="n"/>
      <c r="R5116" s="12" t="n"/>
      <c r="S5116" s="12" t="inlineStr">
        <is>
          <t>Tray / conduit</t>
        </is>
      </c>
      <c r="T5116" s="16" t="n">
        <v>43</v>
      </c>
      <c r="U5116" s="16" t="n">
        <v>10</v>
      </c>
      <c r="V5116" s="16">
        <f>ROUNDUP((T5116+U5116+2*'Read Me'!$B$13)*(1+'Read Me'!$B$12),-1)</f>
        <v/>
      </c>
      <c r="W5116" s="16">
        <f>V5116*N5116*O5116</f>
        <v/>
      </c>
      <c r="X5116" s="12">
        <f>IF(LEFT(I5116,2)="MV",2*N5116*IF(L5116="1/C",O5116,1),0)</f>
        <v/>
      </c>
      <c r="Y5116" s="12">
        <f>IF(OR(LEFT(K5116,4)="LVAX",LEFT(K5116,6)="MV15AX",LEFT(K5116,4)="CTAX",LEFT(K5116,2)="W|"),2*N5116*O5116,0)</f>
        <v/>
      </c>
      <c r="Z5116" s="12" t="inlineStr">
        <is>
          <t>device-to-JB field wiring, one cable per device</t>
        </is>
      </c>
      <c r="AA5116" s="12">
        <f>N5116*O5116</f>
        <v/>
      </c>
    </row>
    <row r="5117">
      <c r="A5117" s="12" t="inlineStr">
        <is>
          <t>I-I-0568</t>
        </is>
      </c>
      <c r="B5117" s="12" t="inlineStr">
        <is>
          <t>I</t>
        </is>
      </c>
      <c r="C5117" s="12" t="inlineStr">
        <is>
          <t>Modular / portable power</t>
        </is>
      </c>
      <c r="D5117" s="12" t="inlineStr">
        <is>
          <t>Home run JB-Water-injection sk-AI01 to the control / marshalling room</t>
        </is>
      </c>
      <c r="E5117" s="12" t="inlineStr"/>
      <c r="F5117" s="12" t="inlineStr">
        <is>
          <t>SC-2 PCM + 15 kV GCB</t>
        </is>
      </c>
      <c r="G5117" s="12" t="inlineStr">
        <is>
          <t>JB-Water-injection sk-AI01</t>
        </is>
      </c>
      <c r="H5117" s="12" t="inlineStr">
        <is>
          <t>Water-injection skid</t>
        </is>
      </c>
      <c r="I5117" s="12" t="inlineStr">
        <is>
          <t>Instrumentation</t>
        </is>
      </c>
      <c r="J5117" s="12" t="inlineStr">
        <is>
          <t>Instrumentation PLTC / TC-ER 300 V, #18 twisted shielded pairs, overall shield</t>
        </is>
      </c>
      <c r="K5117" s="12" t="inlineStr">
        <is>
          <t>PLTC|24 pr|18</t>
        </is>
      </c>
      <c r="L5117" s="12" t="inlineStr">
        <is>
          <t>24 pr</t>
        </is>
      </c>
      <c r="M5117" s="12" t="inlineStr">
        <is>
          <t>18</t>
        </is>
      </c>
      <c r="N5117" s="12" t="n">
        <v>1</v>
      </c>
      <c r="O5117" s="12" t="n">
        <v>1</v>
      </c>
      <c r="P5117" s="12" t="n"/>
      <c r="Q5117" s="12" t="n"/>
      <c r="R5117" s="12" t="n"/>
      <c r="S5117" s="12" t="inlineStr">
        <is>
          <t>Tray</t>
        </is>
      </c>
      <c r="T5117" s="16" t="n">
        <v>0</v>
      </c>
      <c r="U5117" s="16" t="n">
        <v>60</v>
      </c>
      <c r="V5117" s="16">
        <f>ROUNDUP((T5117+U5117+2*'Read Me'!$B$13)*(1+'Read Me'!$B$12),-1)</f>
        <v/>
      </c>
      <c r="W5117" s="16">
        <f>V5117*N5117*O5117</f>
        <v/>
      </c>
      <c r="X5117" s="12">
        <f>IF(LEFT(I5117,2)="MV",2*N5117*IF(L5117="1/C",O5117,1),0)</f>
        <v/>
      </c>
      <c r="Y5117" s="12">
        <f>IF(OR(LEFT(K5117,4)="LVAX",LEFT(K5117,6)="MV15AX",LEFT(K5117,4)="CTAX",LEFT(K5117,2)="W|"),2*N5117*O5117,0)</f>
        <v/>
      </c>
      <c r="Z5117" s="12" t="inlineStr"/>
      <c r="AA5117" s="12">
        <f>N5117*O5117</f>
        <v/>
      </c>
    </row>
    <row r="5118">
      <c r="A5118" s="12" t="inlineStr">
        <is>
          <t>I-I-0569</t>
        </is>
      </c>
      <c r="B5118" s="12" t="inlineStr">
        <is>
          <t>I</t>
        </is>
      </c>
      <c r="C5118" s="12" t="inlineStr">
        <is>
          <t>Modular / portable power</t>
        </is>
      </c>
      <c r="D5118" s="12" t="inlineStr">
        <is>
          <t>Discrete device to JB JB-Water-injection sk-DI01: 10 x 1 pr (field cables)</t>
        </is>
      </c>
      <c r="E5118" s="12" t="inlineStr"/>
      <c r="F5118" s="12" t="inlineStr">
        <is>
          <t>Water-injection skid</t>
        </is>
      </c>
      <c r="G5118" s="12" t="inlineStr">
        <is>
          <t>JB-Water-injection sk-DI01</t>
        </is>
      </c>
      <c r="H5118" s="12" t="inlineStr">
        <is>
          <t>Water-injection skid</t>
        </is>
      </c>
      <c r="I5118" s="12" t="inlineStr">
        <is>
          <t>Instrumentation</t>
        </is>
      </c>
      <c r="J5118" s="12" t="inlineStr">
        <is>
          <t>Instrumentation PLTC / TC-ER 300 V, #18 twisted shielded pairs, overall shield</t>
        </is>
      </c>
      <c r="K5118" s="12" t="inlineStr">
        <is>
          <t>PLTC|1 pr|16</t>
        </is>
      </c>
      <c r="L5118" s="12" t="inlineStr">
        <is>
          <t>1 pr</t>
        </is>
      </c>
      <c r="M5118" s="12" t="inlineStr">
        <is>
          <t>16</t>
        </is>
      </c>
      <c r="N5118" s="12" t="n">
        <v>10</v>
      </c>
      <c r="O5118" s="12" t="n">
        <v>1</v>
      </c>
      <c r="P5118" s="12" t="n"/>
      <c r="Q5118" s="12" t="n"/>
      <c r="R5118" s="12" t="n"/>
      <c r="S5118" s="12" t="inlineStr">
        <is>
          <t>Tray / conduit</t>
        </is>
      </c>
      <c r="T5118" s="16" t="n">
        <v>43</v>
      </c>
      <c r="U5118" s="16" t="n">
        <v>10</v>
      </c>
      <c r="V5118" s="16">
        <f>ROUNDUP((T5118+U5118+2*'Read Me'!$B$13)*(1+'Read Me'!$B$12),-1)</f>
        <v/>
      </c>
      <c r="W5118" s="16">
        <f>V5118*N5118*O5118</f>
        <v/>
      </c>
      <c r="X5118" s="12">
        <f>IF(LEFT(I5118,2)="MV",2*N5118*IF(L5118="1/C",O5118,1),0)</f>
        <v/>
      </c>
      <c r="Y5118" s="12">
        <f>IF(OR(LEFT(K5118,4)="LVAX",LEFT(K5118,6)="MV15AX",LEFT(K5118,4)="CTAX",LEFT(K5118,2)="W|"),2*N5118*O5118,0)</f>
        <v/>
      </c>
      <c r="Z5118" s="12" t="inlineStr">
        <is>
          <t>device-to-JB field wiring, one cable per device</t>
        </is>
      </c>
      <c r="AA5118" s="12">
        <f>N5118*O5118</f>
        <v/>
      </c>
    </row>
    <row r="5119">
      <c r="A5119" s="12" t="inlineStr">
        <is>
          <t>I-I-0570</t>
        </is>
      </c>
      <c r="B5119" s="12" t="inlineStr">
        <is>
          <t>I</t>
        </is>
      </c>
      <c r="C5119" s="12" t="inlineStr">
        <is>
          <t>Modular / portable power</t>
        </is>
      </c>
      <c r="D5119" s="12" t="inlineStr">
        <is>
          <t>Home run JB-Water-injection sk-DI01 to the control / marshalling room</t>
        </is>
      </c>
      <c r="E5119" s="12" t="inlineStr"/>
      <c r="F5119" s="12" t="inlineStr">
        <is>
          <t>SC-2 PCM + 15 kV GCB</t>
        </is>
      </c>
      <c r="G5119" s="12" t="inlineStr">
        <is>
          <t>JB-Water-injection sk-DI01</t>
        </is>
      </c>
      <c r="H5119" s="12" t="inlineStr">
        <is>
          <t>Water-injection skid</t>
        </is>
      </c>
      <c r="I5119" s="12" t="inlineStr">
        <is>
          <t>Instrumentation</t>
        </is>
      </c>
      <c r="J5119" s="12" t="inlineStr">
        <is>
          <t>Instrumentation PLTC / TC-ER 300 V, #18 twisted shielded pairs, overall shield</t>
        </is>
      </c>
      <c r="K5119" s="12" t="inlineStr">
        <is>
          <t>PLTC|24 pr|18</t>
        </is>
      </c>
      <c r="L5119" s="12" t="inlineStr">
        <is>
          <t>24 pr</t>
        </is>
      </c>
      <c r="M5119" s="12" t="inlineStr">
        <is>
          <t>18</t>
        </is>
      </c>
      <c r="N5119" s="12" t="n">
        <v>1</v>
      </c>
      <c r="O5119" s="12" t="n">
        <v>1</v>
      </c>
      <c r="P5119" s="12" t="n"/>
      <c r="Q5119" s="12" t="n"/>
      <c r="R5119" s="12" t="n"/>
      <c r="S5119" s="12" t="inlineStr">
        <is>
          <t>Tray</t>
        </is>
      </c>
      <c r="T5119" s="16" t="n">
        <v>0</v>
      </c>
      <c r="U5119" s="16" t="n">
        <v>60</v>
      </c>
      <c r="V5119" s="16">
        <f>ROUNDUP((T5119+U5119+2*'Read Me'!$B$13)*(1+'Read Me'!$B$12),-1)</f>
        <v/>
      </c>
      <c r="W5119" s="16">
        <f>V5119*N5119*O5119</f>
        <v/>
      </c>
      <c r="X5119" s="12">
        <f>IF(LEFT(I5119,2)="MV",2*N5119*IF(L5119="1/C",O5119,1),0)</f>
        <v/>
      </c>
      <c r="Y5119" s="12">
        <f>IF(OR(LEFT(K5119,4)="LVAX",LEFT(K5119,6)="MV15AX",LEFT(K5119,4)="CTAX",LEFT(K5119,2)="W|"),2*N5119*O5119,0)</f>
        <v/>
      </c>
      <c r="Z5119" s="12" t="inlineStr"/>
      <c r="AA5119" s="12">
        <f>N5119*O5119</f>
        <v/>
      </c>
    </row>
    <row r="5120">
      <c r="A5120" s="12" t="inlineStr">
        <is>
          <t>I-P-0001</t>
        </is>
      </c>
      <c r="B5120" s="12" t="inlineStr">
        <is>
          <t>I</t>
        </is>
      </c>
      <c r="C5120" s="12" t="inlineStr">
        <is>
          <t>Modular / portable power</t>
        </is>
      </c>
      <c r="D5120" s="12" t="inlineStr">
        <is>
          <t>Motor 1 of 2, 3.7 kW</t>
        </is>
      </c>
      <c r="E5120" s="12" t="inlineStr"/>
      <c r="F5120" s="12" t="inlineStr">
        <is>
          <t>SC-2 PCM + 15 kV GCB</t>
        </is>
      </c>
      <c r="G5120" s="12" t="inlineStr"/>
      <c r="H5120" s="12" t="inlineStr">
        <is>
          <t>Aqueous ammonia (SC units)</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3.7</v>
      </c>
      <c r="R5120" s="12" t="n">
        <v>5.2</v>
      </c>
      <c r="S5120" s="12" t="inlineStr">
        <is>
          <t>Tray</t>
        </is>
      </c>
      <c r="T5120" s="16" t="n">
        <v>0</v>
      </c>
      <c r="U5120" s="16" t="n">
        <v>98</v>
      </c>
      <c r="V5120" s="16">
        <f>ROUNDUP((T5120+U5120+2*'Read Me'!$B$13)*(1+'Read Me'!$B$12),-1)</f>
        <v/>
      </c>
      <c r="W5120" s="16">
        <f>V5120*N5120*O5120</f>
        <v/>
      </c>
      <c r="X5120" s="12">
        <f>IF(LEFT(I5120,2)="MV",2*N5120*IF(L5120="1/C",O5120,1),0)</f>
        <v/>
      </c>
      <c r="Y5120" s="12">
        <f>IF(OR(LEFT(K5120,4)="LVAX",LEFT(K5120,6)="MV15AX",LEFT(K5120,4)="CTAX",LEFT(K5120,2)="W|"),2*N5120*O5120,0)</f>
        <v/>
      </c>
      <c r="Z5120" s="12" t="inlineStr">
        <is>
          <t>VD 0.2 %</t>
        </is>
      </c>
      <c r="AA5120" s="12">
        <f>N5120*O5120</f>
        <v/>
      </c>
    </row>
    <row r="5121">
      <c r="A5121" s="12" t="inlineStr">
        <is>
          <t>I-P-0002</t>
        </is>
      </c>
      <c r="B5121" s="12" t="inlineStr">
        <is>
          <t>I</t>
        </is>
      </c>
      <c r="C5121" s="12" t="inlineStr">
        <is>
          <t>Modular / portable power</t>
        </is>
      </c>
      <c r="D5121" s="12" t="inlineStr">
        <is>
          <t>Motor 2 of 2, 3.7 kW</t>
        </is>
      </c>
      <c r="E5121" s="12" t="inlineStr"/>
      <c r="F5121" s="12" t="inlineStr">
        <is>
          <t>SC-2 PCM + 15 kV GCB</t>
        </is>
      </c>
      <c r="G5121" s="12" t="inlineStr"/>
      <c r="H5121" s="12" t="inlineStr">
        <is>
          <t>Aqueous ammonia (SC units)</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3.7</v>
      </c>
      <c r="R5121" s="12" t="n">
        <v>5.2</v>
      </c>
      <c r="S5121" s="12" t="inlineStr">
        <is>
          <t>Tray</t>
        </is>
      </c>
      <c r="T5121" s="16" t="n">
        <v>0</v>
      </c>
      <c r="U5121" s="16" t="n">
        <v>98</v>
      </c>
      <c r="V5121" s="16">
        <f>ROUNDUP((T5121+U5121+2*'Read Me'!$B$13)*(1+'Read Me'!$B$12),-1)</f>
        <v/>
      </c>
      <c r="W5121" s="16">
        <f>V5121*N5121*O5121</f>
        <v/>
      </c>
      <c r="X5121" s="12">
        <f>IF(LEFT(I5121,2)="MV",2*N5121*IF(L5121="1/C",O5121,1),0)</f>
        <v/>
      </c>
      <c r="Y5121" s="12">
        <f>IF(OR(LEFT(K5121,4)="LVAX",LEFT(K5121,6)="MV15AX",LEFT(K5121,4)="CTAX",LEFT(K5121,2)="W|"),2*N5121*O5121,0)</f>
        <v/>
      </c>
      <c r="Z5121" s="12" t="inlineStr">
        <is>
          <t>VD 0.2 %</t>
        </is>
      </c>
      <c r="AA5121" s="12">
        <f>N5121*O5121</f>
        <v/>
      </c>
    </row>
    <row r="5122">
      <c r="A5122" s="12" t="inlineStr">
        <is>
          <t>I-P-0003</t>
        </is>
      </c>
      <c r="B5122" s="12" t="inlineStr">
        <is>
          <t>I</t>
        </is>
      </c>
      <c r="C5122" s="12" t="inlineStr">
        <is>
          <t>Modular / portable power</t>
        </is>
      </c>
      <c r="D5122" s="12" t="inlineStr">
        <is>
          <t>Black-start genset output</t>
        </is>
      </c>
      <c r="E5122" s="12" t="inlineStr"/>
      <c r="F5122" s="12" t="inlineStr">
        <is>
          <t>Black-start genset (proposed; requires study)</t>
        </is>
      </c>
      <c r="G5122" s="12" t="inlineStr"/>
      <c r="H5122" s="12" t="inlineStr">
        <is>
          <t>BS black-start switchgear</t>
        </is>
      </c>
      <c r="I5122" s="12" t="inlineStr">
        <is>
          <t>LV 600 V</t>
        </is>
      </c>
      <c r="J5122" s="12" t="inlineStr">
        <is>
          <t>Type TC-ER 600 V 3/C Cu XHHW-2 + ground, PVC jacket</t>
        </is>
      </c>
      <c r="K5122" s="12" t="inlineStr">
        <is>
          <t>LV|3/C+G|500</t>
        </is>
      </c>
      <c r="L5122" s="12" t="inlineStr">
        <is>
          <t>3/C+G</t>
        </is>
      </c>
      <c r="M5122" s="12" t="inlineStr">
        <is>
          <t>500 kcmil</t>
        </is>
      </c>
      <c r="N5122" s="12" t="n">
        <v>10</v>
      </c>
      <c r="O5122" s="12" t="n">
        <v>1</v>
      </c>
      <c r="P5122" s="12" t="n">
        <v>480</v>
      </c>
      <c r="Q5122" s="12" t="n">
        <v>2000</v>
      </c>
      <c r="R5122" s="12" t="n">
        <v>2532.3</v>
      </c>
      <c r="S5122" s="12" t="inlineStr">
        <is>
          <t>Tray</t>
        </is>
      </c>
      <c r="T5122" s="16" t="n">
        <v>0</v>
      </c>
      <c r="U5122" s="16" t="n">
        <v>41</v>
      </c>
      <c r="V5122" s="16">
        <f>ROUNDUP((T5122+U5122+2*'Read Me'!$B$13)*(1+'Read Me'!$B$12),-1)</f>
        <v/>
      </c>
      <c r="W5122" s="16">
        <f>V5122*N5122*O5122</f>
        <v/>
      </c>
      <c r="X5122" s="12">
        <f>IF(LEFT(I5122,2)="MV",2*N5122*IF(L5122="1/C",O5122,1),0)</f>
        <v/>
      </c>
      <c r="Y5122" s="12">
        <f>IF(OR(LEFT(K5122,4)="LVAX",LEFT(K5122,6)="MV15AX",LEFT(K5122,4)="CTAX",LEFT(K5122,2)="W|"),2*N5122*O5122,0)</f>
        <v/>
      </c>
      <c r="Z5122" s="12" t="inlineStr">
        <is>
          <t>VD 0.1 %</t>
        </is>
      </c>
      <c r="AA5122" s="12">
        <f>N5122*O5122</f>
        <v/>
      </c>
    </row>
    <row r="5123">
      <c r="A5123" s="12" t="inlineStr">
        <is>
          <t>I-P-0004</t>
        </is>
      </c>
      <c r="B5123" s="12" t="inlineStr">
        <is>
          <t>I</t>
        </is>
      </c>
      <c r="C5123" s="12" t="inlineStr">
        <is>
          <t>Modular / portable power</t>
        </is>
      </c>
      <c r="D5123" s="12" t="inlineStr">
        <is>
          <t>Black-start genset output</t>
        </is>
      </c>
      <c r="E5123" s="12" t="inlineStr"/>
      <c r="F5123" s="12" t="inlineStr">
        <is>
          <t>Black-start genset (proposed; requires study)</t>
        </is>
      </c>
      <c r="G5123" s="12" t="inlineStr"/>
      <c r="H5123" s="12" t="inlineStr">
        <is>
          <t>BS black-start switchgear</t>
        </is>
      </c>
      <c r="I5123" s="12" t="inlineStr">
        <is>
          <t>LV 600 V</t>
        </is>
      </c>
      <c r="J5123" s="12" t="inlineStr">
        <is>
          <t>Type TC-ER 600 V 3/C Cu XHHW-2 + ground, PVC jacket</t>
        </is>
      </c>
      <c r="K5123" s="12" t="inlineStr">
        <is>
          <t>LV|3/C+G|500</t>
        </is>
      </c>
      <c r="L5123" s="12" t="inlineStr">
        <is>
          <t>3/C+G</t>
        </is>
      </c>
      <c r="M5123" s="12" t="inlineStr">
        <is>
          <t>500 kcmil</t>
        </is>
      </c>
      <c r="N5123" s="12" t="n">
        <v>10</v>
      </c>
      <c r="O5123" s="12" t="n">
        <v>1</v>
      </c>
      <c r="P5123" s="12" t="n">
        <v>480</v>
      </c>
      <c r="Q5123" s="12" t="n">
        <v>2000</v>
      </c>
      <c r="R5123" s="12" t="n">
        <v>2532.3</v>
      </c>
      <c r="S5123" s="12" t="inlineStr">
        <is>
          <t>Tray</t>
        </is>
      </c>
      <c r="T5123" s="16" t="n">
        <v>0</v>
      </c>
      <c r="U5123" s="16" t="n">
        <v>49</v>
      </c>
      <c r="V5123" s="16">
        <f>ROUNDUP((T5123+U5123+2*'Read Me'!$B$13)*(1+'Read Me'!$B$12),-1)</f>
        <v/>
      </c>
      <c r="W5123" s="16">
        <f>V5123*N5123*O5123</f>
        <v/>
      </c>
      <c r="X5123" s="12">
        <f>IF(LEFT(I5123,2)="MV",2*N5123*IF(L5123="1/C",O5123,1),0)</f>
        <v/>
      </c>
      <c r="Y5123" s="12">
        <f>IF(OR(LEFT(K5123,4)="LVAX",LEFT(K5123,6)="MV15AX",LEFT(K5123,4)="CTAX",LEFT(K5123,2)="W|"),2*N5123*O5123,0)</f>
        <v/>
      </c>
      <c r="Z5123" s="12" t="inlineStr">
        <is>
          <t>VD 0.1 %</t>
        </is>
      </c>
      <c r="AA5123" s="12">
        <f>N5123*O5123</f>
        <v/>
      </c>
    </row>
    <row r="5124">
      <c r="A5124" s="12" t="inlineStr">
        <is>
          <t>I-P-0005</t>
        </is>
      </c>
      <c r="B5124" s="12" t="inlineStr">
        <is>
          <t>I</t>
        </is>
      </c>
      <c r="C5124" s="12" t="inlineStr">
        <is>
          <t>Modular / portable power</t>
        </is>
      </c>
      <c r="D5124" s="12" t="inlineStr">
        <is>
          <t>LV power feeder</t>
        </is>
      </c>
      <c r="E5124" s="12" t="inlineStr"/>
      <c r="F5124" s="12" t="inlineStr">
        <is>
          <t>PCM: power control module</t>
        </is>
      </c>
      <c r="G5124" s="12" t="inlineStr"/>
      <c r="H5124" s="12" t="inlineStr">
        <is>
          <t>BS black-start switchgear</t>
        </is>
      </c>
      <c r="I5124" s="12" t="inlineStr">
        <is>
          <t>LV 600 V</t>
        </is>
      </c>
      <c r="J5124" s="12" t="inlineStr">
        <is>
          <t>Type TC-ER 600 V 3/C Cu XHHW-2 + ground, PVC jacket</t>
        </is>
      </c>
      <c r="K5124" s="12" t="inlineStr">
        <is>
          <t>LV|3/C+G|6</t>
        </is>
      </c>
      <c r="L5124" s="12" t="inlineStr">
        <is>
          <t>3/C+G</t>
        </is>
      </c>
      <c r="M5124" s="12" t="inlineStr">
        <is>
          <t>6</t>
        </is>
      </c>
      <c r="N5124" s="12" t="n">
        <v>1</v>
      </c>
      <c r="O5124" s="12" t="n">
        <v>1</v>
      </c>
      <c r="P5124" s="12" t="n">
        <v>480</v>
      </c>
      <c r="Q5124" s="12" t="n">
        <v>15</v>
      </c>
      <c r="R5124" s="12" t="n">
        <v>21.2</v>
      </c>
      <c r="S5124" s="12" t="inlineStr">
        <is>
          <t>Duct bank</t>
        </is>
      </c>
      <c r="T5124" s="16" t="n">
        <v>562</v>
      </c>
      <c r="U5124" s="16" t="n">
        <v>64</v>
      </c>
      <c r="V5124" s="16">
        <f>ROUNDUP((T5124+U5124+2*'Read Me'!$B$13)*(1+'Read Me'!$B$12),-1)</f>
        <v/>
      </c>
      <c r="W5124" s="16">
        <f>V5124*N5124*O5124</f>
        <v/>
      </c>
      <c r="X5124" s="12">
        <f>IF(LEFT(I5124,2)="MV",2*N5124*IF(L5124="1/C",O5124,1),0)</f>
        <v/>
      </c>
      <c r="Y5124" s="12">
        <f>IF(OR(LEFT(K5124,4)="LVAX",LEFT(K5124,6)="MV15AX",LEFT(K5124,4)="CTAX",LEFT(K5124,2)="W|"),2*N5124*O5124,0)</f>
        <v/>
      </c>
      <c r="Z5124" s="12" t="inlineStr">
        <is>
          <t>VD 2.6 %</t>
        </is>
      </c>
      <c r="AA5124" s="12">
        <f>N5124*O5124</f>
        <v/>
      </c>
    </row>
    <row r="5125">
      <c r="A5125" s="12" t="inlineStr">
        <is>
          <t>I-P-0006</t>
        </is>
      </c>
      <c r="B5125" s="12" t="inlineStr">
        <is>
          <t>I</t>
        </is>
      </c>
      <c r="C5125" s="12" t="inlineStr">
        <is>
          <t>Modular / portable power</t>
        </is>
      </c>
      <c r="D5125" s="12" t="inlineStr">
        <is>
          <t>LV power feeder</t>
        </is>
      </c>
      <c r="E5125" s="12" t="inlineStr"/>
      <c r="F5125" s="12" t="inlineStr">
        <is>
          <t>PCM: power control module</t>
        </is>
      </c>
      <c r="G5125" s="12" t="inlineStr"/>
      <c r="H5125" s="12" t="inlineStr">
        <is>
          <t>CONDITIONAL: BESS black-start alternative</t>
        </is>
      </c>
      <c r="I5125" s="12" t="inlineStr">
        <is>
          <t>LV 600 V</t>
        </is>
      </c>
      <c r="J5125" s="12" t="inlineStr">
        <is>
          <t>Type TC-ER 600 V 3/C Cu XHHW-2 + ground, PVC jacket</t>
        </is>
      </c>
      <c r="K5125" s="12" t="inlineStr">
        <is>
          <t>LV|3/C+G|6</t>
        </is>
      </c>
      <c r="L5125" s="12" t="inlineStr">
        <is>
          <t>3/C+G</t>
        </is>
      </c>
      <c r="M5125" s="12" t="inlineStr">
        <is>
          <t>6</t>
        </is>
      </c>
      <c r="N5125" s="12" t="n">
        <v>1</v>
      </c>
      <c r="O5125" s="12" t="n">
        <v>1</v>
      </c>
      <c r="P5125" s="12" t="n">
        <v>480</v>
      </c>
      <c r="Q5125" s="12" t="n">
        <v>15</v>
      </c>
      <c r="R5125" s="12" t="n">
        <v>21.2</v>
      </c>
      <c r="S5125" s="12" t="inlineStr">
        <is>
          <t>Duct bank</t>
        </is>
      </c>
      <c r="T5125" s="16" t="n">
        <v>550</v>
      </c>
      <c r="U5125" s="16" t="n">
        <v>32</v>
      </c>
      <c r="V5125" s="16">
        <f>ROUNDUP((T5125+U5125+2*'Read Me'!$B$13)*(1+'Read Me'!$B$12),-1)</f>
        <v/>
      </c>
      <c r="W5125" s="16">
        <f>V5125*N5125*O5125</f>
        <v/>
      </c>
      <c r="X5125" s="12">
        <f>IF(LEFT(I5125,2)="MV",2*N5125*IF(L5125="1/C",O5125,1),0)</f>
        <v/>
      </c>
      <c r="Y5125" s="12">
        <f>IF(OR(LEFT(K5125,4)="LVAX",LEFT(K5125,6)="MV15AX",LEFT(K5125,4)="CTAX",LEFT(K5125,2)="W|"),2*N5125*O5125,0)</f>
        <v/>
      </c>
      <c r="Z5125" s="12" t="inlineStr">
        <is>
          <t>VD 2.4 %</t>
        </is>
      </c>
      <c r="AA5125" s="12">
        <f>N5125*O5125</f>
        <v/>
      </c>
    </row>
    <row r="5126">
      <c r="A5126" s="12" t="inlineStr">
        <is>
          <t>I-P-0007</t>
        </is>
      </c>
      <c r="B5126" s="12" t="inlineStr">
        <is>
          <t>I</t>
        </is>
      </c>
      <c r="C5126" s="12" t="inlineStr">
        <is>
          <t>Modular / portable power</t>
        </is>
      </c>
      <c r="D5126" s="12" t="inlineStr">
        <is>
          <t>LV power feeder</t>
        </is>
      </c>
      <c r="E5126" s="12" t="inlineStr"/>
      <c r="F5126" s="12" t="inlineStr">
        <is>
          <t>SC-1 PCM + 15 kV GCB</t>
        </is>
      </c>
      <c r="G5126" s="12" t="inlineStr"/>
      <c r="H5126" s="12" t="inlineStr">
        <is>
          <t>CONDITIONAL: SC-1 inlet chiller / evaporative cooler</t>
        </is>
      </c>
      <c r="I5126" s="12" t="inlineStr">
        <is>
          <t>LV 600 V</t>
        </is>
      </c>
      <c r="J5126" s="12" t="inlineStr">
        <is>
          <t>Type TC-ER 600 V 3/C Cu XHHW-2 + ground, PVC jacket</t>
        </is>
      </c>
      <c r="K5126" s="12" t="inlineStr">
        <is>
          <t>LV|3/C+G|350</t>
        </is>
      </c>
      <c r="L5126" s="12" t="inlineStr">
        <is>
          <t>3/C+G</t>
        </is>
      </c>
      <c r="M5126" s="12" t="inlineStr">
        <is>
          <t>350 kcmil</t>
        </is>
      </c>
      <c r="N5126" s="12" t="n">
        <v>3</v>
      </c>
      <c r="O5126" s="12" t="n">
        <v>1</v>
      </c>
      <c r="P5126" s="12" t="n">
        <v>480</v>
      </c>
      <c r="Q5126" s="12" t="n">
        <v>500</v>
      </c>
      <c r="R5126" s="12" t="n">
        <v>707.6</v>
      </c>
      <c r="S5126" s="12" t="inlineStr">
        <is>
          <t>Tray</t>
        </is>
      </c>
      <c r="T5126" s="16" t="n">
        <v>0</v>
      </c>
      <c r="U5126" s="16" t="n">
        <v>114</v>
      </c>
      <c r="V5126" s="16">
        <f>ROUNDUP((T5126+U5126+2*'Read Me'!$B$13)*(1+'Read Me'!$B$12),-1)</f>
        <v/>
      </c>
      <c r="W5126" s="16">
        <f>V5126*N5126*O5126</f>
        <v/>
      </c>
      <c r="X5126" s="12">
        <f>IF(LEFT(I5126,2)="MV",2*N5126*IF(L5126="1/C",O5126,1),0)</f>
        <v/>
      </c>
      <c r="Y5126" s="12">
        <f>IF(OR(LEFT(K5126,4)="LVAX",LEFT(K5126,6)="MV15AX",LEFT(K5126,4)="CTAX",LEFT(K5126,2)="W|"),2*N5126*O5126,0)</f>
        <v/>
      </c>
      <c r="Z5126" s="12" t="inlineStr">
        <is>
          <t>VD 0.4 %</t>
        </is>
      </c>
      <c r="AA5126" s="12">
        <f>N5126*O5126</f>
        <v/>
      </c>
    </row>
    <row r="5127">
      <c r="A5127" s="12" t="inlineStr">
        <is>
          <t>I-P-0008</t>
        </is>
      </c>
      <c r="B5127" s="12" t="inlineStr">
        <is>
          <t>I</t>
        </is>
      </c>
      <c r="C5127" s="12" t="inlineStr">
        <is>
          <t>Modular / portable power</t>
        </is>
      </c>
      <c r="D5127" s="12" t="inlineStr">
        <is>
          <t>LV power feeder</t>
        </is>
      </c>
      <c r="E5127" s="12" t="inlineStr"/>
      <c r="F5127" s="12" t="inlineStr">
        <is>
          <t>SC-2 PCM + 15 kV GCB</t>
        </is>
      </c>
      <c r="G5127" s="12" t="inlineStr"/>
      <c r="H5127" s="12" t="inlineStr">
        <is>
          <t>CONDITIONAL: SC-2 inlet chiller / evaporative cooler</t>
        </is>
      </c>
      <c r="I5127" s="12" t="inlineStr">
        <is>
          <t>LV 600 V</t>
        </is>
      </c>
      <c r="J5127" s="12" t="inlineStr">
        <is>
          <t>Type TC-ER 600 V 3/C Cu XHHW-2 + ground, PVC jacket</t>
        </is>
      </c>
      <c r="K5127" s="12" t="inlineStr">
        <is>
          <t>LV|3/C+G|350</t>
        </is>
      </c>
      <c r="L5127" s="12" t="inlineStr">
        <is>
          <t>3/C+G</t>
        </is>
      </c>
      <c r="M5127" s="12" t="inlineStr">
        <is>
          <t>350 kcmil</t>
        </is>
      </c>
      <c r="N5127" s="12" t="n">
        <v>3</v>
      </c>
      <c r="O5127" s="12" t="n">
        <v>1</v>
      </c>
      <c r="P5127" s="12" t="n">
        <v>480</v>
      </c>
      <c r="Q5127" s="12" t="n">
        <v>500</v>
      </c>
      <c r="R5127" s="12" t="n">
        <v>707.6</v>
      </c>
      <c r="S5127" s="12" t="inlineStr">
        <is>
          <t>Duct bank</t>
        </is>
      </c>
      <c r="T5127" s="16" t="n">
        <v>75</v>
      </c>
      <c r="U5127" s="16" t="n">
        <v>32</v>
      </c>
      <c r="V5127" s="16">
        <f>ROUNDUP((T5127+U5127+2*'Read Me'!$B$13)*(1+'Read Me'!$B$12),-1)</f>
        <v/>
      </c>
      <c r="W5127" s="16">
        <f>V5127*N5127*O5127</f>
        <v/>
      </c>
      <c r="X5127" s="12">
        <f>IF(LEFT(I5127,2)="MV",2*N5127*IF(L5127="1/C",O5127,1),0)</f>
        <v/>
      </c>
      <c r="Y5127" s="12">
        <f>IF(OR(LEFT(K5127,4)="LVAX",LEFT(K5127,6)="MV15AX",LEFT(K5127,4)="CTAX",LEFT(K5127,2)="W|"),2*N5127*O5127,0)</f>
        <v/>
      </c>
      <c r="Z5127" s="12" t="inlineStr">
        <is>
          <t>VD 0.4 %</t>
        </is>
      </c>
      <c r="AA5127" s="12">
        <f>N5127*O5127</f>
        <v/>
      </c>
    </row>
    <row r="5128">
      <c r="A5128" s="12" t="inlineStr">
        <is>
          <t>I-P-0009</t>
        </is>
      </c>
      <c r="B5128" s="12" t="inlineStr">
        <is>
          <t>I</t>
        </is>
      </c>
      <c r="C5128" s="12" t="inlineStr">
        <is>
          <t>Modular / portable power</t>
        </is>
      </c>
      <c r="D5128" s="12" t="inlineStr">
        <is>
          <t>FC-5 SOFC output to inverter / AC cabinet</t>
        </is>
      </c>
      <c r="E5128" s="12" t="inlineStr">
        <is>
          <t>FC-5</t>
        </is>
      </c>
      <c r="F5128" s="12" t="inlineStr">
        <is>
          <t>FC-5: SOFC module (Bloom ES5 class, 200-300 kW)</t>
        </is>
      </c>
      <c r="G5128" s="12" t="inlineStr"/>
      <c r="H5128" s="12" t="inlineStr">
        <is>
          <t>FC-5..12 inverter / AC cabinet / desulfurizer</t>
        </is>
      </c>
      <c r="I5128" s="12" t="inlineStr">
        <is>
          <t>LV 600 V</t>
        </is>
      </c>
      <c r="J5128" s="12" t="inlineStr">
        <is>
          <t>Type TC-ER 600 V 3/C Cu XHHW-2 + ground, PVC jacket</t>
        </is>
      </c>
      <c r="K5128" s="12" t="inlineStr">
        <is>
          <t>LV|3/C+G|3/0</t>
        </is>
      </c>
      <c r="L5128" s="12" t="inlineStr">
        <is>
          <t>3/C+G</t>
        </is>
      </c>
      <c r="M5128" s="12" t="inlineStr">
        <is>
          <t>3/0</t>
        </is>
      </c>
      <c r="N5128" s="12" t="n">
        <v>2</v>
      </c>
      <c r="O5128" s="12" t="n">
        <v>1</v>
      </c>
      <c r="P5128" s="12" t="n">
        <v>480</v>
      </c>
      <c r="Q5128" s="12" t="n">
        <v>250</v>
      </c>
      <c r="R5128" s="12" t="n">
        <v>316.5</v>
      </c>
      <c r="S5128" s="12" t="inlineStr">
        <is>
          <t>Duct bank</t>
        </is>
      </c>
      <c r="T5128" s="16" t="n">
        <v>139</v>
      </c>
      <c r="U5128" s="16" t="n">
        <v>32</v>
      </c>
      <c r="V5128" s="16">
        <f>ROUNDUP((T5128+U5128+2*'Read Me'!$B$13)*(1+'Read Me'!$B$12),-1)</f>
        <v/>
      </c>
      <c r="W5128" s="16">
        <f>V5128*N5128*O5128</f>
        <v/>
      </c>
      <c r="X5128" s="12">
        <f>IF(LEFT(I5128,2)="MV",2*N5128*IF(L5128="1/C",O5128,1),0)</f>
        <v/>
      </c>
      <c r="Y5128" s="12">
        <f>IF(OR(LEFT(K5128,4)="LVAX",LEFT(K5128,6)="MV15AX",LEFT(K5128,4)="CTAX",LEFT(K5128,2)="W|"),2*N5128*O5128,0)</f>
        <v/>
      </c>
      <c r="Z5128" s="12" t="inlineStr">
        <is>
          <t>VD 0.8 %</t>
        </is>
      </c>
      <c r="AA5128" s="12">
        <f>N5128*O5128</f>
        <v/>
      </c>
    </row>
    <row r="5129">
      <c r="A5129" s="12" t="inlineStr">
        <is>
          <t>I-P-0010</t>
        </is>
      </c>
      <c r="B5129" s="12" t="inlineStr">
        <is>
          <t>I</t>
        </is>
      </c>
      <c r="C5129" s="12" t="inlineStr">
        <is>
          <t>Modular / portable power</t>
        </is>
      </c>
      <c r="D5129" s="12" t="inlineStr">
        <is>
          <t>FC-6 SOFC output to inverter / AC cabinet</t>
        </is>
      </c>
      <c r="E5129" s="12" t="inlineStr">
        <is>
          <t>FC-6</t>
        </is>
      </c>
      <c r="F5129" s="12" t="inlineStr">
        <is>
          <t>FC-6: SOFC module (Bloom ES5 class, 200-300 kW)</t>
        </is>
      </c>
      <c r="G5129" s="12" t="inlineStr"/>
      <c r="H5129" s="12" t="inlineStr">
        <is>
          <t>FC-5..12 inverter / AC cabinet / desulfurizer</t>
        </is>
      </c>
      <c r="I5129" s="12" t="inlineStr">
        <is>
          <t>LV 600 V</t>
        </is>
      </c>
      <c r="J5129" s="12" t="inlineStr">
        <is>
          <t>Type TC-ER 600 V 3/C Cu XHHW-2 + ground, PVC jacket</t>
        </is>
      </c>
      <c r="K5129" s="12" t="inlineStr">
        <is>
          <t>LV|3/C+G|3/0</t>
        </is>
      </c>
      <c r="L5129" s="12" t="inlineStr">
        <is>
          <t>3/C+G</t>
        </is>
      </c>
      <c r="M5129" s="12" t="inlineStr">
        <is>
          <t>3/0</t>
        </is>
      </c>
      <c r="N5129" s="12" t="n">
        <v>2</v>
      </c>
      <c r="O5129" s="12" t="n">
        <v>1</v>
      </c>
      <c r="P5129" s="12" t="n">
        <v>480</v>
      </c>
      <c r="Q5129" s="12" t="n">
        <v>250</v>
      </c>
      <c r="R5129" s="12" t="n">
        <v>316.5</v>
      </c>
      <c r="S5129" s="12" t="inlineStr">
        <is>
          <t>Duct bank</t>
        </is>
      </c>
      <c r="T5129" s="16" t="n">
        <v>125</v>
      </c>
      <c r="U5129" s="16" t="n">
        <v>32</v>
      </c>
      <c r="V5129" s="16">
        <f>ROUNDUP((T5129+U5129+2*'Read Me'!$B$13)*(1+'Read Me'!$B$12),-1)</f>
        <v/>
      </c>
      <c r="W5129" s="16">
        <f>V5129*N5129*O5129</f>
        <v/>
      </c>
      <c r="X5129" s="12">
        <f>IF(LEFT(I5129,2)="MV",2*N5129*IF(L5129="1/C",O5129,1),0)</f>
        <v/>
      </c>
      <c r="Y5129" s="12">
        <f>IF(OR(LEFT(K5129,4)="LVAX",LEFT(K5129,6)="MV15AX",LEFT(K5129,4)="CTAX",LEFT(K5129,2)="W|"),2*N5129*O5129,0)</f>
        <v/>
      </c>
      <c r="Z5129" s="12" t="inlineStr">
        <is>
          <t>VD 0.8 %</t>
        </is>
      </c>
      <c r="AA5129" s="12">
        <f>N5129*O5129</f>
        <v/>
      </c>
    </row>
    <row r="5130">
      <c r="A5130" s="12" t="inlineStr">
        <is>
          <t>I-P-0011</t>
        </is>
      </c>
      <c r="B5130" s="12" t="inlineStr">
        <is>
          <t>I</t>
        </is>
      </c>
      <c r="C5130" s="12" t="inlineStr">
        <is>
          <t>Modular / portable power</t>
        </is>
      </c>
      <c r="D5130" s="12" t="inlineStr">
        <is>
          <t>FC-7 SOFC output to inverter / AC cabinet</t>
        </is>
      </c>
      <c r="E5130" s="12" t="inlineStr">
        <is>
          <t>FC-7</t>
        </is>
      </c>
      <c r="F5130" s="12" t="inlineStr">
        <is>
          <t>FC-7: SOFC module (Bloom ES5 class, 200-300 kW)</t>
        </is>
      </c>
      <c r="G5130" s="12" t="inlineStr"/>
      <c r="H5130" s="12" t="inlineStr">
        <is>
          <t>FC-5..12 inverter / AC cabinet / desulfurizer</t>
        </is>
      </c>
      <c r="I5130" s="12" t="inlineStr">
        <is>
          <t>LV 600 V</t>
        </is>
      </c>
      <c r="J5130" s="12" t="inlineStr">
        <is>
          <t>Type TC-ER 600 V 3/C Cu XHHW-2 + ground, PVC jacket</t>
        </is>
      </c>
      <c r="K5130" s="12" t="inlineStr">
        <is>
          <t>LV|3/C+G|3/0</t>
        </is>
      </c>
      <c r="L5130" s="12" t="inlineStr">
        <is>
          <t>3/C+G</t>
        </is>
      </c>
      <c r="M5130" s="12" t="inlineStr">
        <is>
          <t>3/0</t>
        </is>
      </c>
      <c r="N5130" s="12" t="n">
        <v>2</v>
      </c>
      <c r="O5130" s="12" t="n">
        <v>1</v>
      </c>
      <c r="P5130" s="12" t="n">
        <v>480</v>
      </c>
      <c r="Q5130" s="12" t="n">
        <v>250</v>
      </c>
      <c r="R5130" s="12" t="n">
        <v>316.5</v>
      </c>
      <c r="S5130" s="12" t="inlineStr">
        <is>
          <t>Duct bank</t>
        </is>
      </c>
      <c r="T5130" s="16" t="n">
        <v>111</v>
      </c>
      <c r="U5130" s="16" t="n">
        <v>32</v>
      </c>
      <c r="V5130" s="16">
        <f>ROUNDUP((T5130+U5130+2*'Read Me'!$B$13)*(1+'Read Me'!$B$12),-1)</f>
        <v/>
      </c>
      <c r="W5130" s="16">
        <f>V5130*N5130*O5130</f>
        <v/>
      </c>
      <c r="X5130" s="12">
        <f>IF(LEFT(I5130,2)="MV",2*N5130*IF(L5130="1/C",O5130,1),0)</f>
        <v/>
      </c>
      <c r="Y5130" s="12">
        <f>IF(OR(LEFT(K5130,4)="LVAX",LEFT(K5130,6)="MV15AX",LEFT(K5130,4)="CTAX",LEFT(K5130,2)="W|"),2*N5130*O5130,0)</f>
        <v/>
      </c>
      <c r="Z5130" s="12" t="inlineStr">
        <is>
          <t>VD 0.7 %</t>
        </is>
      </c>
      <c r="AA5130" s="12">
        <f>N5130*O5130</f>
        <v/>
      </c>
    </row>
    <row r="5131">
      <c r="A5131" s="12" t="inlineStr">
        <is>
          <t>I-P-0012</t>
        </is>
      </c>
      <c r="B5131" s="12" t="inlineStr">
        <is>
          <t>I</t>
        </is>
      </c>
      <c r="C5131" s="12" t="inlineStr">
        <is>
          <t>Modular / portable power</t>
        </is>
      </c>
      <c r="D5131" s="12" t="inlineStr">
        <is>
          <t>FC-8 SOFC output to inverter / AC cabinet</t>
        </is>
      </c>
      <c r="E5131" s="12" t="inlineStr">
        <is>
          <t>FC-8</t>
        </is>
      </c>
      <c r="F5131" s="12" t="inlineStr">
        <is>
          <t>FC-8: SOFC module (Bloom ES5 class, 200-300 kW)</t>
        </is>
      </c>
      <c r="G5131" s="12" t="inlineStr"/>
      <c r="H5131" s="12" t="inlineStr">
        <is>
          <t>FC-5..12 inverter / AC cabinet / desulfurizer</t>
        </is>
      </c>
      <c r="I5131" s="12" t="inlineStr">
        <is>
          <t>LV 600 V</t>
        </is>
      </c>
      <c r="J5131" s="12" t="inlineStr">
        <is>
          <t>Type TC-ER 600 V 3/C Cu XHHW-2 + ground, PVC jacket</t>
        </is>
      </c>
      <c r="K5131" s="12" t="inlineStr">
        <is>
          <t>LV|3/C+G|3/0</t>
        </is>
      </c>
      <c r="L5131" s="12" t="inlineStr">
        <is>
          <t>3/C+G</t>
        </is>
      </c>
      <c r="M5131" s="12" t="inlineStr">
        <is>
          <t>3/0</t>
        </is>
      </c>
      <c r="N5131" s="12" t="n">
        <v>2</v>
      </c>
      <c r="O5131" s="12" t="n">
        <v>1</v>
      </c>
      <c r="P5131" s="12" t="n">
        <v>480</v>
      </c>
      <c r="Q5131" s="12" t="n">
        <v>250</v>
      </c>
      <c r="R5131" s="12" t="n">
        <v>316.5</v>
      </c>
      <c r="S5131" s="12" t="inlineStr">
        <is>
          <t>Duct bank</t>
        </is>
      </c>
      <c r="T5131" s="16" t="n">
        <v>97</v>
      </c>
      <c r="U5131" s="16" t="n">
        <v>32</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I-P-0013</t>
        </is>
      </c>
      <c r="B5132" s="12" t="inlineStr">
        <is>
          <t>I</t>
        </is>
      </c>
      <c r="C5132" s="12" t="inlineStr">
        <is>
          <t>Modular / portable power</t>
        </is>
      </c>
      <c r="D5132" s="12" t="inlineStr">
        <is>
          <t>FC-9 SOFC output to inverter / AC cabinet</t>
        </is>
      </c>
      <c r="E5132" s="12" t="inlineStr">
        <is>
          <t>FC-9</t>
        </is>
      </c>
      <c r="F5132" s="12" t="inlineStr">
        <is>
          <t>FC-9: SOFC module (Bloom ES5 class, 200-300 kW)</t>
        </is>
      </c>
      <c r="G5132" s="12" t="inlineStr"/>
      <c r="H5132" s="12" t="inlineStr">
        <is>
          <t>FC-5..12 inverter / AC cabinet / desulfurizer</t>
        </is>
      </c>
      <c r="I5132" s="12" t="inlineStr">
        <is>
          <t>LV 600 V</t>
        </is>
      </c>
      <c r="J5132" s="12" t="inlineStr">
        <is>
          <t>Type TC-ER 600 V 3/C Cu XHHW-2 + ground, PVC jacket</t>
        </is>
      </c>
      <c r="K5132" s="12" t="inlineStr">
        <is>
          <t>LV|3/C+G|3/0</t>
        </is>
      </c>
      <c r="L5132" s="12" t="inlineStr">
        <is>
          <t>3/C+G</t>
        </is>
      </c>
      <c r="M5132" s="12" t="inlineStr">
        <is>
          <t>3/0</t>
        </is>
      </c>
      <c r="N5132" s="12" t="n">
        <v>2</v>
      </c>
      <c r="O5132" s="12" t="n">
        <v>1</v>
      </c>
      <c r="P5132" s="12" t="n">
        <v>480</v>
      </c>
      <c r="Q5132" s="12" t="n">
        <v>250</v>
      </c>
      <c r="R5132" s="12" t="n">
        <v>316.5</v>
      </c>
      <c r="S5132" s="12" t="inlineStr">
        <is>
          <t>Duct bank</t>
        </is>
      </c>
      <c r="T5132" s="16" t="n">
        <v>83</v>
      </c>
      <c r="U5132" s="16" t="n">
        <v>32</v>
      </c>
      <c r="V5132" s="16">
        <f>ROUNDUP((T5132+U5132+2*'Read Me'!$B$13)*(1+'Read Me'!$B$12),-1)</f>
        <v/>
      </c>
      <c r="W5132" s="16">
        <f>V5132*N5132*O5132</f>
        <v/>
      </c>
      <c r="X5132" s="12">
        <f>IF(LEFT(I5132,2)="MV",2*N5132*IF(L5132="1/C",O5132,1),0)</f>
        <v/>
      </c>
      <c r="Y5132" s="12">
        <f>IF(OR(LEFT(K5132,4)="LVAX",LEFT(K5132,6)="MV15AX",LEFT(K5132,4)="CTAX",LEFT(K5132,2)="W|"),2*N5132*O5132,0)</f>
        <v/>
      </c>
      <c r="Z5132" s="12" t="inlineStr">
        <is>
          <t>VD 0.6 %</t>
        </is>
      </c>
      <c r="AA5132" s="12">
        <f>N5132*O5132</f>
        <v/>
      </c>
    </row>
    <row r="5133">
      <c r="A5133" s="12" t="inlineStr">
        <is>
          <t>I-P-0014</t>
        </is>
      </c>
      <c r="B5133" s="12" t="inlineStr">
        <is>
          <t>I</t>
        </is>
      </c>
      <c r="C5133" s="12" t="inlineStr">
        <is>
          <t>Modular / portable power</t>
        </is>
      </c>
      <c r="D5133" s="12" t="inlineStr">
        <is>
          <t>FC-10 SOFC output to inverter / AC cabinet</t>
        </is>
      </c>
      <c r="E5133" s="12" t="inlineStr">
        <is>
          <t>FC-10</t>
        </is>
      </c>
      <c r="F5133" s="12" t="inlineStr">
        <is>
          <t>FC-10: SOFC module (Bloom ES5 class, 200-300 kW)</t>
        </is>
      </c>
      <c r="G5133" s="12" t="inlineStr"/>
      <c r="H5133" s="12" t="inlineStr">
        <is>
          <t>FC-5..12 inverter / AC cabinet / desulfurizer</t>
        </is>
      </c>
      <c r="I5133" s="12" t="inlineStr">
        <is>
          <t>LV 600 V</t>
        </is>
      </c>
      <c r="J5133" s="12" t="inlineStr">
        <is>
          <t>Type TC-ER 600 V 3/C Cu XHHW-2 + ground, PVC jacket</t>
        </is>
      </c>
      <c r="K5133" s="12" t="inlineStr">
        <is>
          <t>LV|3/C+G|3/0</t>
        </is>
      </c>
      <c r="L5133" s="12" t="inlineStr">
        <is>
          <t>3/C+G</t>
        </is>
      </c>
      <c r="M5133" s="12" t="inlineStr">
        <is>
          <t>3/0</t>
        </is>
      </c>
      <c r="N5133" s="12" t="n">
        <v>2</v>
      </c>
      <c r="O5133" s="12" t="n">
        <v>1</v>
      </c>
      <c r="P5133" s="12" t="n">
        <v>480</v>
      </c>
      <c r="Q5133" s="12" t="n">
        <v>250</v>
      </c>
      <c r="R5133" s="12" t="n">
        <v>316.5</v>
      </c>
      <c r="S5133" s="12" t="inlineStr">
        <is>
          <t>Duct bank</t>
        </is>
      </c>
      <c r="T5133" s="16" t="n">
        <v>69</v>
      </c>
      <c r="U5133" s="16" t="n">
        <v>32</v>
      </c>
      <c r="V5133" s="16">
        <f>ROUNDUP((T5133+U5133+2*'Read Me'!$B$13)*(1+'Read Me'!$B$12),-1)</f>
        <v/>
      </c>
      <c r="W5133" s="16">
        <f>V5133*N5133*O5133</f>
        <v/>
      </c>
      <c r="X5133" s="12">
        <f>IF(LEFT(I5133,2)="MV",2*N5133*IF(L5133="1/C",O5133,1),0)</f>
        <v/>
      </c>
      <c r="Y5133" s="12">
        <f>IF(OR(LEFT(K5133,4)="LVAX",LEFT(K5133,6)="MV15AX",LEFT(K5133,4)="CTAX",LEFT(K5133,2)="W|"),2*N5133*O5133,0)</f>
        <v/>
      </c>
      <c r="Z5133" s="12" t="inlineStr">
        <is>
          <t>VD 0.5 %</t>
        </is>
      </c>
      <c r="AA5133" s="12">
        <f>N5133*O5133</f>
        <v/>
      </c>
    </row>
    <row r="5134">
      <c r="A5134" s="12" t="inlineStr">
        <is>
          <t>I-P-0015</t>
        </is>
      </c>
      <c r="B5134" s="12" t="inlineStr">
        <is>
          <t>I</t>
        </is>
      </c>
      <c r="C5134" s="12" t="inlineStr">
        <is>
          <t>Modular / portable power</t>
        </is>
      </c>
      <c r="D5134" s="12" t="inlineStr">
        <is>
          <t>FC-11 SOFC output to inverter / AC cabinet</t>
        </is>
      </c>
      <c r="E5134" s="12" t="inlineStr">
        <is>
          <t>FC-11</t>
        </is>
      </c>
      <c r="F5134" s="12" t="inlineStr">
        <is>
          <t>FC-11: SOFC module (Bloom ES5 class, 200-300 kW)</t>
        </is>
      </c>
      <c r="G5134" s="12" t="inlineStr"/>
      <c r="H5134" s="12" t="inlineStr">
        <is>
          <t>FC-5..12 inverter / AC cabinet / desulfurizer</t>
        </is>
      </c>
      <c r="I5134" s="12" t="inlineStr">
        <is>
          <t>LV 600 V</t>
        </is>
      </c>
      <c r="J5134" s="12" t="inlineStr">
        <is>
          <t>Type TC-ER 600 V 3/C Cu XHHW-2 + ground, PVC jacket</t>
        </is>
      </c>
      <c r="K5134" s="12" t="inlineStr">
        <is>
          <t>LV|3/C+G|3/0</t>
        </is>
      </c>
      <c r="L5134" s="12" t="inlineStr">
        <is>
          <t>3/C+G</t>
        </is>
      </c>
      <c r="M5134" s="12" t="inlineStr">
        <is>
          <t>3/0</t>
        </is>
      </c>
      <c r="N5134" s="12" t="n">
        <v>2</v>
      </c>
      <c r="O5134" s="12" t="n">
        <v>1</v>
      </c>
      <c r="P5134" s="12" t="n">
        <v>480</v>
      </c>
      <c r="Q5134" s="12" t="n">
        <v>250</v>
      </c>
      <c r="R5134" s="12" t="n">
        <v>316.5</v>
      </c>
      <c r="S5134" s="12" t="inlineStr">
        <is>
          <t>Duct bank</t>
        </is>
      </c>
      <c r="T5134" s="16" t="n">
        <v>55</v>
      </c>
      <c r="U5134" s="16" t="n">
        <v>32</v>
      </c>
      <c r="V5134" s="16">
        <f>ROUNDUP((T5134+U5134+2*'Read Me'!$B$13)*(1+'Read Me'!$B$12),-1)</f>
        <v/>
      </c>
      <c r="W5134" s="16">
        <f>V5134*N5134*O5134</f>
        <v/>
      </c>
      <c r="X5134" s="12">
        <f>IF(LEFT(I5134,2)="MV",2*N5134*IF(L5134="1/C",O5134,1),0)</f>
        <v/>
      </c>
      <c r="Y5134" s="12">
        <f>IF(OR(LEFT(K5134,4)="LVAX",LEFT(K5134,6)="MV15AX",LEFT(K5134,4)="CTAX",LEFT(K5134,2)="W|"),2*N5134*O5134,0)</f>
        <v/>
      </c>
      <c r="Z5134" s="12" t="inlineStr">
        <is>
          <t>VD 0.4 %</t>
        </is>
      </c>
      <c r="AA5134" s="12">
        <f>N5134*O5134</f>
        <v/>
      </c>
    </row>
    <row r="5135">
      <c r="A5135" s="12" t="inlineStr">
        <is>
          <t>I-P-0016</t>
        </is>
      </c>
      <c r="B5135" s="12" t="inlineStr">
        <is>
          <t>I</t>
        </is>
      </c>
      <c r="C5135" s="12" t="inlineStr">
        <is>
          <t>Modular / portable power</t>
        </is>
      </c>
      <c r="D5135" s="12" t="inlineStr">
        <is>
          <t>FC-12 SOFC output to inverter / AC cabinet</t>
        </is>
      </c>
      <c r="E5135" s="12" t="inlineStr">
        <is>
          <t>FC-12</t>
        </is>
      </c>
      <c r="F5135" s="12" t="inlineStr">
        <is>
          <t>FC-12: SOFC module (Bloom ES5 class, 200-300 kW)</t>
        </is>
      </c>
      <c r="G5135" s="12" t="inlineStr"/>
      <c r="H5135" s="12" t="inlineStr">
        <is>
          <t>FC-5..12 inverter / AC cabinet / desulfurizer</t>
        </is>
      </c>
      <c r="I5135" s="12" t="inlineStr">
        <is>
          <t>LV 600 V</t>
        </is>
      </c>
      <c r="J5135" s="12" t="inlineStr">
        <is>
          <t>Type TC-ER 600 V 3/C Cu XHHW-2 + ground, PVC jacket</t>
        </is>
      </c>
      <c r="K5135" s="12" t="inlineStr">
        <is>
          <t>LV|3/C+G|3/0</t>
        </is>
      </c>
      <c r="L5135" s="12" t="inlineStr">
        <is>
          <t>3/C+G</t>
        </is>
      </c>
      <c r="M5135" s="12" t="inlineStr">
        <is>
          <t>3/0</t>
        </is>
      </c>
      <c r="N5135" s="12" t="n">
        <v>2</v>
      </c>
      <c r="O5135" s="12" t="n">
        <v>1</v>
      </c>
      <c r="P5135" s="12" t="n">
        <v>480</v>
      </c>
      <c r="Q5135" s="12" t="n">
        <v>250</v>
      </c>
      <c r="R5135" s="12" t="n">
        <v>316.5</v>
      </c>
      <c r="S5135" s="12" t="inlineStr">
        <is>
          <t>Duct bank</t>
        </is>
      </c>
      <c r="T5135" s="16" t="n">
        <v>46</v>
      </c>
      <c r="U5135" s="16" t="n">
        <v>32</v>
      </c>
      <c r="V5135" s="16">
        <f>ROUNDUP((T5135+U5135+2*'Read Me'!$B$13)*(1+'Read Me'!$B$12),-1)</f>
        <v/>
      </c>
      <c r="W5135" s="16">
        <f>V5135*N5135*O5135</f>
        <v/>
      </c>
      <c r="X5135" s="12">
        <f>IF(LEFT(I5135,2)="MV",2*N5135*IF(L5135="1/C",O5135,1),0)</f>
        <v/>
      </c>
      <c r="Y5135" s="12">
        <f>IF(OR(LEFT(K5135,4)="LVAX",LEFT(K5135,6)="MV15AX",LEFT(K5135,4)="CTAX",LEFT(K5135,2)="W|"),2*N5135*O5135,0)</f>
        <v/>
      </c>
      <c r="Z5135" s="12" t="inlineStr">
        <is>
          <t>VD 0.4 %</t>
        </is>
      </c>
      <c r="AA5135" s="12">
        <f>N5135*O5135</f>
        <v/>
      </c>
    </row>
    <row r="5136">
      <c r="A5136" s="12" t="inlineStr">
        <is>
          <t>I-P-0017</t>
        </is>
      </c>
      <c r="B5136" s="12" t="inlineStr">
        <is>
          <t>I</t>
        </is>
      </c>
      <c r="C5136" s="12" t="inlineStr">
        <is>
          <t>Modular / portable power</t>
        </is>
      </c>
      <c r="D5136" s="12" t="inlineStr">
        <is>
          <t>Motor 1 of 6, 15 kW</t>
        </is>
      </c>
      <c r="E5136" s="12" t="inlineStr"/>
      <c r="F5136" s="12" t="inlineStr">
        <is>
          <t>SC-2 PCM + 15 kV GCB</t>
        </is>
      </c>
      <c r="G5136" s="12" t="inlineStr"/>
      <c r="H5136" s="12" t="inlineStr">
        <is>
          <t>Fuel-gas compressors 3 x 100% electric</t>
        </is>
      </c>
      <c r="I5136" s="12" t="inlineStr">
        <is>
          <t>LV 600 V</t>
        </is>
      </c>
      <c r="J5136" s="12" t="inlineStr">
        <is>
          <t>ARMOR-X MC-HL 600 V 3/C Cu XHHW-2 + ground, CWA, black PVC (Class I Div 2)</t>
        </is>
      </c>
      <c r="K5136" s="12" t="inlineStr">
        <is>
          <t>LVAX|3/C+G|10</t>
        </is>
      </c>
      <c r="L5136" s="12" t="inlineStr">
        <is>
          <t>3/C+G</t>
        </is>
      </c>
      <c r="M5136" s="12" t="inlineStr">
        <is>
          <t>10</t>
        </is>
      </c>
      <c r="N5136" s="12" t="n">
        <v>1</v>
      </c>
      <c r="O5136" s="12" t="n">
        <v>1</v>
      </c>
      <c r="P5136" s="12" t="n">
        <v>480</v>
      </c>
      <c r="Q5136" s="12" t="n">
        <v>15</v>
      </c>
      <c r="R5136" s="12" t="n">
        <v>21.2</v>
      </c>
      <c r="S5136" s="12" t="inlineStr">
        <is>
          <t>Duct bank</t>
        </is>
      </c>
      <c r="T5136" s="16" t="n">
        <v>8</v>
      </c>
      <c r="U5136" s="16" t="n">
        <v>108</v>
      </c>
      <c r="V5136" s="16">
        <f>ROUNDUP((T5136+U5136+2*'Read Me'!$B$13)*(1+'Read Me'!$B$12),-1)</f>
        <v/>
      </c>
      <c r="W5136" s="16">
        <f>V5136*N5136*O5136</f>
        <v/>
      </c>
      <c r="X5136" s="12">
        <f>IF(LEFT(I5136,2)="MV",2*N5136*IF(L5136="1/C",O5136,1),0)</f>
        <v/>
      </c>
      <c r="Y5136" s="12">
        <f>IF(OR(LEFT(K5136,4)="LVAX",LEFT(K5136,6)="MV15AX",LEFT(K5136,4)="CTAX",LEFT(K5136,2)="W|"),2*N5136*O5136,0)</f>
        <v/>
      </c>
      <c r="Z5136" s="12" t="inlineStr">
        <is>
          <t>VD 1.2 %</t>
        </is>
      </c>
      <c r="AA5136" s="12">
        <f>N5136*O5136</f>
        <v/>
      </c>
    </row>
    <row r="5137">
      <c r="A5137" s="12" t="inlineStr">
        <is>
          <t>I-P-0018</t>
        </is>
      </c>
      <c r="B5137" s="12" t="inlineStr">
        <is>
          <t>I</t>
        </is>
      </c>
      <c r="C5137" s="12" t="inlineStr">
        <is>
          <t>Modular / portable power</t>
        </is>
      </c>
      <c r="D5137" s="12" t="inlineStr">
        <is>
          <t>Motor 2 of 6, 15 kW</t>
        </is>
      </c>
      <c r="E5137" s="12" t="inlineStr"/>
      <c r="F5137" s="12" t="inlineStr">
        <is>
          <t>SC-2 PCM + 15 kV GCB</t>
        </is>
      </c>
      <c r="G5137" s="12" t="inlineStr"/>
      <c r="H5137" s="12" t="inlineStr">
        <is>
          <t>Fuel-gas compressors 3 x 100% electric</t>
        </is>
      </c>
      <c r="I5137" s="12" t="inlineStr">
        <is>
          <t>LV 600 V</t>
        </is>
      </c>
      <c r="J5137" s="12" t="inlineStr">
        <is>
          <t>ARMOR-X MC-HL 600 V 3/C Cu XHHW-2 + ground, CWA, black PVC (Class I Div 2)</t>
        </is>
      </c>
      <c r="K5137" s="12" t="inlineStr">
        <is>
          <t>LVAX|3/C+G|10</t>
        </is>
      </c>
      <c r="L5137" s="12" t="inlineStr">
        <is>
          <t>3/C+G</t>
        </is>
      </c>
      <c r="M5137" s="12" t="inlineStr">
        <is>
          <t>10</t>
        </is>
      </c>
      <c r="N5137" s="12" t="n">
        <v>1</v>
      </c>
      <c r="O5137" s="12" t="n">
        <v>1</v>
      </c>
      <c r="P5137" s="12" t="n">
        <v>480</v>
      </c>
      <c r="Q5137" s="12" t="n">
        <v>15</v>
      </c>
      <c r="R5137" s="12" t="n">
        <v>21.2</v>
      </c>
      <c r="S5137" s="12" t="inlineStr">
        <is>
          <t>Duct bank</t>
        </is>
      </c>
      <c r="T5137" s="16" t="n">
        <v>8</v>
      </c>
      <c r="U5137" s="16" t="n">
        <v>108</v>
      </c>
      <c r="V5137" s="16">
        <f>ROUNDUP((T5137+U5137+2*'Read Me'!$B$13)*(1+'Read Me'!$B$12),-1)</f>
        <v/>
      </c>
      <c r="W5137" s="16">
        <f>V5137*N5137*O5137</f>
        <v/>
      </c>
      <c r="X5137" s="12">
        <f>IF(LEFT(I5137,2)="MV",2*N5137*IF(L5137="1/C",O5137,1),0)</f>
        <v/>
      </c>
      <c r="Y5137" s="12">
        <f>IF(OR(LEFT(K5137,4)="LVAX",LEFT(K5137,6)="MV15AX",LEFT(K5137,4)="CTAX",LEFT(K5137,2)="W|"),2*N5137*O5137,0)</f>
        <v/>
      </c>
      <c r="Z5137" s="12" t="inlineStr">
        <is>
          <t>VD 1.2 %</t>
        </is>
      </c>
      <c r="AA5137" s="12">
        <f>N5137*O5137</f>
        <v/>
      </c>
    </row>
    <row r="5138">
      <c r="A5138" s="12" t="inlineStr">
        <is>
          <t>I-P-0019</t>
        </is>
      </c>
      <c r="B5138" s="12" t="inlineStr">
        <is>
          <t>I</t>
        </is>
      </c>
      <c r="C5138" s="12" t="inlineStr">
        <is>
          <t>Modular / portable power</t>
        </is>
      </c>
      <c r="D5138" s="12" t="inlineStr">
        <is>
          <t>Motor 3 of 6, 15 kW</t>
        </is>
      </c>
      <c r="E5138" s="12" t="inlineStr"/>
      <c r="F5138" s="12" t="inlineStr">
        <is>
          <t>SC-2 PCM + 15 kV GCB</t>
        </is>
      </c>
      <c r="G5138" s="12" t="inlineStr"/>
      <c r="H5138" s="12" t="inlineStr">
        <is>
          <t>Fuel-gas compressors 3 x 100% electric</t>
        </is>
      </c>
      <c r="I5138" s="12" t="inlineStr">
        <is>
          <t>LV 600 V</t>
        </is>
      </c>
      <c r="J5138" s="12" t="inlineStr">
        <is>
          <t>ARMOR-X MC-HL 600 V 3/C Cu XHHW-2 + ground, CWA, black PVC (Class I Div 2)</t>
        </is>
      </c>
      <c r="K5138" s="12" t="inlineStr">
        <is>
          <t>LVAX|3/C+G|10</t>
        </is>
      </c>
      <c r="L5138" s="12" t="inlineStr">
        <is>
          <t>3/C+G</t>
        </is>
      </c>
      <c r="M5138" s="12" t="inlineStr">
        <is>
          <t>10</t>
        </is>
      </c>
      <c r="N5138" s="12" t="n">
        <v>1</v>
      </c>
      <c r="O5138" s="12" t="n">
        <v>1</v>
      </c>
      <c r="P5138" s="12" t="n">
        <v>480</v>
      </c>
      <c r="Q5138" s="12" t="n">
        <v>15</v>
      </c>
      <c r="R5138" s="12" t="n">
        <v>21.2</v>
      </c>
      <c r="S5138" s="12" t="inlineStr">
        <is>
          <t>Duct bank</t>
        </is>
      </c>
      <c r="T5138" s="16" t="n">
        <v>8</v>
      </c>
      <c r="U5138" s="16" t="n">
        <v>108</v>
      </c>
      <c r="V5138" s="16">
        <f>ROUNDUP((T5138+U5138+2*'Read Me'!$B$13)*(1+'Read Me'!$B$12),-1)</f>
        <v/>
      </c>
      <c r="W5138" s="16">
        <f>V5138*N5138*O5138</f>
        <v/>
      </c>
      <c r="X5138" s="12">
        <f>IF(LEFT(I5138,2)="MV",2*N5138*IF(L5138="1/C",O5138,1),0)</f>
        <v/>
      </c>
      <c r="Y5138" s="12">
        <f>IF(OR(LEFT(K5138,4)="LVAX",LEFT(K5138,6)="MV15AX",LEFT(K5138,4)="CTAX",LEFT(K5138,2)="W|"),2*N5138*O5138,0)</f>
        <v/>
      </c>
      <c r="Z5138" s="12" t="inlineStr">
        <is>
          <t>VD 1.2 %</t>
        </is>
      </c>
      <c r="AA5138" s="12">
        <f>N5138*O5138</f>
        <v/>
      </c>
    </row>
    <row r="5139">
      <c r="A5139" s="12" t="inlineStr">
        <is>
          <t>I-P-0020</t>
        </is>
      </c>
      <c r="B5139" s="12" t="inlineStr">
        <is>
          <t>I</t>
        </is>
      </c>
      <c r="C5139" s="12" t="inlineStr">
        <is>
          <t>Modular / portable power</t>
        </is>
      </c>
      <c r="D5139" s="12" t="inlineStr">
        <is>
          <t>Motor 4 of 6, 15 kW</t>
        </is>
      </c>
      <c r="E5139" s="12" t="inlineStr"/>
      <c r="F5139" s="12" t="inlineStr">
        <is>
          <t>SC-2 PCM + 15 kV GCB</t>
        </is>
      </c>
      <c r="G5139" s="12" t="inlineStr"/>
      <c r="H5139" s="12" t="inlineStr">
        <is>
          <t>Fuel-gas compressors 3 x 100% electric</t>
        </is>
      </c>
      <c r="I5139" s="12" t="inlineStr">
        <is>
          <t>LV 600 V</t>
        </is>
      </c>
      <c r="J5139" s="12" t="inlineStr">
        <is>
          <t>ARMOR-X MC-HL 600 V 3/C Cu XHHW-2 + ground, CWA, black PVC (Class I Div 2)</t>
        </is>
      </c>
      <c r="K5139" s="12" t="inlineStr">
        <is>
          <t>LVAX|3/C+G|10</t>
        </is>
      </c>
      <c r="L5139" s="12" t="inlineStr">
        <is>
          <t>3/C+G</t>
        </is>
      </c>
      <c r="M5139" s="12" t="inlineStr">
        <is>
          <t>10</t>
        </is>
      </c>
      <c r="N5139" s="12" t="n">
        <v>1</v>
      </c>
      <c r="O5139" s="12" t="n">
        <v>1</v>
      </c>
      <c r="P5139" s="12" t="n">
        <v>480</v>
      </c>
      <c r="Q5139" s="12" t="n">
        <v>15</v>
      </c>
      <c r="R5139" s="12" t="n">
        <v>21.2</v>
      </c>
      <c r="S5139" s="12" t="inlineStr">
        <is>
          <t>Duct bank</t>
        </is>
      </c>
      <c r="T5139" s="16" t="n">
        <v>8</v>
      </c>
      <c r="U5139" s="16" t="n">
        <v>108</v>
      </c>
      <c r="V5139" s="16">
        <f>ROUNDUP((T5139+U5139+2*'Read Me'!$B$13)*(1+'Read Me'!$B$12),-1)</f>
        <v/>
      </c>
      <c r="W5139" s="16">
        <f>V5139*N5139*O5139</f>
        <v/>
      </c>
      <c r="X5139" s="12">
        <f>IF(LEFT(I5139,2)="MV",2*N5139*IF(L5139="1/C",O5139,1),0)</f>
        <v/>
      </c>
      <c r="Y5139" s="12">
        <f>IF(OR(LEFT(K5139,4)="LVAX",LEFT(K5139,6)="MV15AX",LEFT(K5139,4)="CTAX",LEFT(K5139,2)="W|"),2*N5139*O5139,0)</f>
        <v/>
      </c>
      <c r="Z5139" s="12" t="inlineStr">
        <is>
          <t>VD 1.2 %</t>
        </is>
      </c>
      <c r="AA5139" s="12">
        <f>N5139*O5139</f>
        <v/>
      </c>
    </row>
    <row r="5140">
      <c r="A5140" s="12" t="inlineStr">
        <is>
          <t>I-P-0021</t>
        </is>
      </c>
      <c r="B5140" s="12" t="inlineStr">
        <is>
          <t>I</t>
        </is>
      </c>
      <c r="C5140" s="12" t="inlineStr">
        <is>
          <t>Modular / portable power</t>
        </is>
      </c>
      <c r="D5140" s="12" t="inlineStr">
        <is>
          <t>Motor 5 of 6, 15 kW</t>
        </is>
      </c>
      <c r="E5140" s="12" t="inlineStr"/>
      <c r="F5140" s="12" t="inlineStr">
        <is>
          <t>SC-2 PCM + 15 kV GCB</t>
        </is>
      </c>
      <c r="G5140" s="12" t="inlineStr"/>
      <c r="H5140" s="12" t="inlineStr">
        <is>
          <t>Fuel-gas compressors 3 x 100% electric</t>
        </is>
      </c>
      <c r="I5140" s="12" t="inlineStr">
        <is>
          <t>LV 600 V</t>
        </is>
      </c>
      <c r="J5140" s="12" t="inlineStr">
        <is>
          <t>ARMOR-X MC-HL 600 V 3/C Cu XHHW-2 + ground, CWA, black PVC (Class I Div 2)</t>
        </is>
      </c>
      <c r="K5140" s="12" t="inlineStr">
        <is>
          <t>LVAX|3/C+G|10</t>
        </is>
      </c>
      <c r="L5140" s="12" t="inlineStr">
        <is>
          <t>3/C+G</t>
        </is>
      </c>
      <c r="M5140" s="12" t="inlineStr">
        <is>
          <t>10</t>
        </is>
      </c>
      <c r="N5140" s="12" t="n">
        <v>1</v>
      </c>
      <c r="O5140" s="12" t="n">
        <v>1</v>
      </c>
      <c r="P5140" s="12" t="n">
        <v>480</v>
      </c>
      <c r="Q5140" s="12" t="n">
        <v>15</v>
      </c>
      <c r="R5140" s="12" t="n">
        <v>21.2</v>
      </c>
      <c r="S5140" s="12" t="inlineStr">
        <is>
          <t>Duct bank</t>
        </is>
      </c>
      <c r="T5140" s="16" t="n">
        <v>8</v>
      </c>
      <c r="U5140" s="16" t="n">
        <v>108</v>
      </c>
      <c r="V5140" s="16">
        <f>ROUNDUP((T5140+U5140+2*'Read Me'!$B$13)*(1+'Read Me'!$B$12),-1)</f>
        <v/>
      </c>
      <c r="W5140" s="16">
        <f>V5140*N5140*O5140</f>
        <v/>
      </c>
      <c r="X5140" s="12">
        <f>IF(LEFT(I5140,2)="MV",2*N5140*IF(L5140="1/C",O5140,1),0)</f>
        <v/>
      </c>
      <c r="Y5140" s="12">
        <f>IF(OR(LEFT(K5140,4)="LVAX",LEFT(K5140,6)="MV15AX",LEFT(K5140,4)="CTAX",LEFT(K5140,2)="W|"),2*N5140*O5140,0)</f>
        <v/>
      </c>
      <c r="Z5140" s="12" t="inlineStr">
        <is>
          <t>VD 1.2 %</t>
        </is>
      </c>
      <c r="AA5140" s="12">
        <f>N5140*O5140</f>
        <v/>
      </c>
    </row>
    <row r="5141">
      <c r="A5141" s="12" t="inlineStr">
        <is>
          <t>I-P-0022</t>
        </is>
      </c>
      <c r="B5141" s="12" t="inlineStr">
        <is>
          <t>I</t>
        </is>
      </c>
      <c r="C5141" s="12" t="inlineStr">
        <is>
          <t>Modular / portable power</t>
        </is>
      </c>
      <c r="D5141" s="12" t="inlineStr">
        <is>
          <t>Motor 6 of 6, 15 kW</t>
        </is>
      </c>
      <c r="E5141" s="12" t="inlineStr"/>
      <c r="F5141" s="12" t="inlineStr">
        <is>
          <t>SC-2 PCM + 15 kV GCB</t>
        </is>
      </c>
      <c r="G5141" s="12" t="inlineStr"/>
      <c r="H5141" s="12" t="inlineStr">
        <is>
          <t>Fuel-gas compressors 3 x 100% electric</t>
        </is>
      </c>
      <c r="I5141" s="12" t="inlineStr">
        <is>
          <t>LV 600 V</t>
        </is>
      </c>
      <c r="J5141" s="12" t="inlineStr">
        <is>
          <t>ARMOR-X MC-HL 600 V 3/C Cu XHHW-2 + ground, CWA, black PVC (Class I Div 2)</t>
        </is>
      </c>
      <c r="K5141" s="12" t="inlineStr">
        <is>
          <t>LVAX|3/C+G|10</t>
        </is>
      </c>
      <c r="L5141" s="12" t="inlineStr">
        <is>
          <t>3/C+G</t>
        </is>
      </c>
      <c r="M5141" s="12" t="inlineStr">
        <is>
          <t>10</t>
        </is>
      </c>
      <c r="N5141" s="12" t="n">
        <v>1</v>
      </c>
      <c r="O5141" s="12" t="n">
        <v>1</v>
      </c>
      <c r="P5141" s="12" t="n">
        <v>480</v>
      </c>
      <c r="Q5141" s="12" t="n">
        <v>15</v>
      </c>
      <c r="R5141" s="12" t="n">
        <v>21.2</v>
      </c>
      <c r="S5141" s="12" t="inlineStr">
        <is>
          <t>Duct bank</t>
        </is>
      </c>
      <c r="T5141" s="16" t="n">
        <v>8</v>
      </c>
      <c r="U5141" s="16" t="n">
        <v>108</v>
      </c>
      <c r="V5141" s="16">
        <f>ROUNDUP((T5141+U5141+2*'Read Me'!$B$13)*(1+'Read Me'!$B$12),-1)</f>
        <v/>
      </c>
      <c r="W5141" s="16">
        <f>V5141*N5141*O5141</f>
        <v/>
      </c>
      <c r="X5141" s="12">
        <f>IF(LEFT(I5141,2)="MV",2*N5141*IF(L5141="1/C",O5141,1),0)</f>
        <v/>
      </c>
      <c r="Y5141" s="12">
        <f>IF(OR(LEFT(K5141,4)="LVAX",LEFT(K5141,6)="MV15AX",LEFT(K5141,4)="CTAX",LEFT(K5141,2)="W|"),2*N5141*O5141,0)</f>
        <v/>
      </c>
      <c r="Z5141" s="12" t="inlineStr">
        <is>
          <t>VD 1.2 %</t>
        </is>
      </c>
      <c r="AA5141" s="12">
        <f>N5141*O5141</f>
        <v/>
      </c>
    </row>
    <row r="5142">
      <c r="A5142" s="12" t="inlineStr">
        <is>
          <t>I-P-0023</t>
        </is>
      </c>
      <c r="B5142" s="12" t="inlineStr">
        <is>
          <t>I</t>
        </is>
      </c>
      <c r="C5142" s="12" t="inlineStr">
        <is>
          <t>Modular / portable power</t>
        </is>
      </c>
      <c r="D5142" s="12" t="inlineStr">
        <is>
          <t>GB-1.1 aux power: jacket-water heater, battery charger, enclosure</t>
        </is>
      </c>
      <c r="E5142" s="12" t="inlineStr">
        <is>
          <t>GBC-1</t>
        </is>
      </c>
      <c r="F5142" s="12" t="inlineStr">
        <is>
          <t xml:space="preserve">GBC-1: block GB-1 generator collector box, 480 V outdoor switchboard, </t>
        </is>
      </c>
      <c r="G5142" s="12" t="inlineStr">
        <is>
          <t>GB-1.1</t>
        </is>
      </c>
      <c r="H5142" s="12" t="inlineStr">
        <is>
          <t>GB-1.1: modular gas genset 500 kW, 480 V (block GB-1, unit 1 of 5)</t>
        </is>
      </c>
      <c r="I5142" s="12" t="inlineStr">
        <is>
          <t>LV 600 V</t>
        </is>
      </c>
      <c r="J5142" s="12" t="inlineStr">
        <is>
          <t>Type TC-ER 600 V 3/C Cu XHHW-2 + ground, PVC jacket</t>
        </is>
      </c>
      <c r="K5142" s="12" t="inlineStr">
        <is>
          <t>LV|3/C+G|10</t>
        </is>
      </c>
      <c r="L5142" s="12" t="inlineStr">
        <is>
          <t>3/C+G</t>
        </is>
      </c>
      <c r="M5142" s="12" t="inlineStr">
        <is>
          <t>10</t>
        </is>
      </c>
      <c r="N5142" s="12" t="n">
        <v>1</v>
      </c>
      <c r="O5142" s="12" t="n">
        <v>1</v>
      </c>
      <c r="P5142" s="12" t="n">
        <v>480</v>
      </c>
      <c r="Q5142" s="12" t="n">
        <v>15</v>
      </c>
      <c r="R5142" s="12" t="n">
        <v>19</v>
      </c>
      <c r="S5142" s="12" t="inlineStr">
        <is>
          <t>Surface</t>
        </is>
      </c>
      <c r="T5142" s="16" t="n">
        <v>44</v>
      </c>
      <c r="U5142" s="16" t="n">
        <v>28</v>
      </c>
      <c r="V5142" s="16">
        <f>ROUNDUP((T5142+U5142+2*'Read Me'!$B$13)*(1+'Read Me'!$B$12),-1)</f>
        <v/>
      </c>
      <c r="W5142" s="16">
        <f>V5142*N5142*O5142</f>
        <v/>
      </c>
      <c r="X5142" s="12">
        <f>IF(LEFT(I5142,2)="MV",2*N5142*IF(L5142="1/C",O5142,1),0)</f>
        <v/>
      </c>
      <c r="Y5142" s="12">
        <f>IF(OR(LEFT(K5142,4)="LVAX",LEFT(K5142,6)="MV15AX",LEFT(K5142,4)="CTAX",LEFT(K5142,2)="W|"),2*N5142*O5142,0)</f>
        <v/>
      </c>
      <c r="Z5142" s="12" t="inlineStr">
        <is>
          <t>VD 0.7 %</t>
        </is>
      </c>
      <c r="AA5142" s="12">
        <f>N5142*O5142</f>
        <v/>
      </c>
    </row>
    <row r="5143">
      <c r="A5143" s="12" t="inlineStr">
        <is>
          <t>I-P-0024</t>
        </is>
      </c>
      <c r="B5143" s="12" t="inlineStr">
        <is>
          <t>I</t>
        </is>
      </c>
      <c r="C5143" s="12" t="inlineStr">
        <is>
          <t>Modular / portable power</t>
        </is>
      </c>
      <c r="D5143" s="12" t="inlineStr">
        <is>
          <t>GB-1.2 aux power: jacket-water heater, battery charger, enclosure</t>
        </is>
      </c>
      <c r="E5143" s="12" t="inlineStr">
        <is>
          <t>GBC-1</t>
        </is>
      </c>
      <c r="F5143" s="12" t="inlineStr">
        <is>
          <t xml:space="preserve">GBC-1: block GB-1 generator collector box, 480 V outdoor switchboard, </t>
        </is>
      </c>
      <c r="G5143" s="12" t="inlineStr">
        <is>
          <t>GB-1.2</t>
        </is>
      </c>
      <c r="H5143" s="12" t="inlineStr">
        <is>
          <t>GB-1.2: modular gas genset 500 kW, 480 V (block GB-1, unit 2 of 5)</t>
        </is>
      </c>
      <c r="I5143" s="12" t="inlineStr">
        <is>
          <t>LV 600 V</t>
        </is>
      </c>
      <c r="J5143" s="12" t="inlineStr">
        <is>
          <t>Type TC-ER 600 V 3/C Cu XHHW-2 + ground, PVC jacket</t>
        </is>
      </c>
      <c r="K5143" s="12" t="inlineStr">
        <is>
          <t>LV|3/C+G|10</t>
        </is>
      </c>
      <c r="L5143" s="12" t="inlineStr">
        <is>
          <t>3/C+G</t>
        </is>
      </c>
      <c r="M5143" s="12" t="inlineStr">
        <is>
          <t>10</t>
        </is>
      </c>
      <c r="N5143" s="12" t="n">
        <v>1</v>
      </c>
      <c r="O5143" s="12" t="n">
        <v>1</v>
      </c>
      <c r="P5143" s="12" t="n">
        <v>480</v>
      </c>
      <c r="Q5143" s="12" t="n">
        <v>15</v>
      </c>
      <c r="R5143" s="12" t="n">
        <v>19</v>
      </c>
      <c r="S5143" s="12" t="inlineStr">
        <is>
          <t>Surface</t>
        </is>
      </c>
      <c r="T5143" s="16" t="n">
        <v>34</v>
      </c>
      <c r="U5143" s="16" t="n">
        <v>28</v>
      </c>
      <c r="V5143" s="16">
        <f>ROUNDUP((T5143+U5143+2*'Read Me'!$B$13)*(1+'Read Me'!$B$12),-1)</f>
        <v/>
      </c>
      <c r="W5143" s="16">
        <f>V5143*N5143*O5143</f>
        <v/>
      </c>
      <c r="X5143" s="12">
        <f>IF(LEFT(I5143,2)="MV",2*N5143*IF(L5143="1/C",O5143,1),0)</f>
        <v/>
      </c>
      <c r="Y5143" s="12">
        <f>IF(OR(LEFT(K5143,4)="LVAX",LEFT(K5143,6)="MV15AX",LEFT(K5143,4)="CTAX",LEFT(K5143,2)="W|"),2*N5143*O5143,0)</f>
        <v/>
      </c>
      <c r="Z5143" s="12" t="inlineStr">
        <is>
          <t>VD 0.6 %</t>
        </is>
      </c>
      <c r="AA5143" s="12">
        <f>N5143*O5143</f>
        <v/>
      </c>
    </row>
    <row r="5144">
      <c r="A5144" s="12" t="inlineStr">
        <is>
          <t>I-P-0025</t>
        </is>
      </c>
      <c r="B5144" s="12" t="inlineStr">
        <is>
          <t>I</t>
        </is>
      </c>
      <c r="C5144" s="12" t="inlineStr">
        <is>
          <t>Modular / portable power</t>
        </is>
      </c>
      <c r="D5144" s="12" t="inlineStr">
        <is>
          <t>GB-1.3 aux power: jacket-water heater, battery charger, enclosure</t>
        </is>
      </c>
      <c r="E5144" s="12" t="inlineStr">
        <is>
          <t>GBC-1</t>
        </is>
      </c>
      <c r="F5144" s="12" t="inlineStr">
        <is>
          <t xml:space="preserve">GBC-1: block GB-1 generator collector box, 480 V outdoor switchboard, </t>
        </is>
      </c>
      <c r="G5144" s="12" t="inlineStr">
        <is>
          <t>GB-1.3</t>
        </is>
      </c>
      <c r="H5144" s="12" t="inlineStr">
        <is>
          <t>GB-1.3: modular gas genset 500 kW, 480 V (block GB-1, unit 3 of 5)</t>
        </is>
      </c>
      <c r="I5144" s="12" t="inlineStr">
        <is>
          <t>LV 600 V</t>
        </is>
      </c>
      <c r="J5144" s="12" t="inlineStr">
        <is>
          <t>Type TC-ER 600 V 3/C Cu XHHW-2 + ground, PVC jacket</t>
        </is>
      </c>
      <c r="K5144" s="12" t="inlineStr">
        <is>
          <t>LV|3/C+G|10</t>
        </is>
      </c>
      <c r="L5144" s="12" t="inlineStr">
        <is>
          <t>3/C+G</t>
        </is>
      </c>
      <c r="M5144" s="12" t="inlineStr">
        <is>
          <t>10</t>
        </is>
      </c>
      <c r="N5144" s="12" t="n">
        <v>1</v>
      </c>
      <c r="O5144" s="12" t="n">
        <v>1</v>
      </c>
      <c r="P5144" s="12" t="n">
        <v>480</v>
      </c>
      <c r="Q5144" s="12" t="n">
        <v>15</v>
      </c>
      <c r="R5144" s="12" t="n">
        <v>19</v>
      </c>
      <c r="S5144" s="12" t="inlineStr">
        <is>
          <t>Surface</t>
        </is>
      </c>
      <c r="T5144" s="16" t="n">
        <v>24</v>
      </c>
      <c r="U5144" s="16" t="n">
        <v>28</v>
      </c>
      <c r="V5144" s="16">
        <f>ROUNDUP((T5144+U5144+2*'Read Me'!$B$13)*(1+'Read Me'!$B$12),-1)</f>
        <v/>
      </c>
      <c r="W5144" s="16">
        <f>V5144*N5144*O5144</f>
        <v/>
      </c>
      <c r="X5144" s="12">
        <f>IF(LEFT(I5144,2)="MV",2*N5144*IF(L5144="1/C",O5144,1),0)</f>
        <v/>
      </c>
      <c r="Y5144" s="12">
        <f>IF(OR(LEFT(K5144,4)="LVAX",LEFT(K5144,6)="MV15AX",LEFT(K5144,4)="CTAX",LEFT(K5144,2)="W|"),2*N5144*O5144,0)</f>
        <v/>
      </c>
      <c r="Z5144" s="12" t="inlineStr">
        <is>
          <t>VD 0.5 %</t>
        </is>
      </c>
      <c r="AA5144" s="12">
        <f>N5144*O5144</f>
        <v/>
      </c>
    </row>
    <row r="5145">
      <c r="A5145" s="12" t="inlineStr">
        <is>
          <t>I-P-0026</t>
        </is>
      </c>
      <c r="B5145" s="12" t="inlineStr">
        <is>
          <t>I</t>
        </is>
      </c>
      <c r="C5145" s="12" t="inlineStr">
        <is>
          <t>Modular / portable power</t>
        </is>
      </c>
      <c r="D5145" s="12" t="inlineStr">
        <is>
          <t>GB-1.4 aux power: jacket-water heater, battery charger, enclosure</t>
        </is>
      </c>
      <c r="E5145" s="12" t="inlineStr">
        <is>
          <t>GBC-1</t>
        </is>
      </c>
      <c r="F5145" s="12" t="inlineStr">
        <is>
          <t xml:space="preserve">GBC-1: block GB-1 generator collector box, 480 V outdoor switchboard, </t>
        </is>
      </c>
      <c r="G5145" s="12" t="inlineStr">
        <is>
          <t>GB-1.4</t>
        </is>
      </c>
      <c r="H5145" s="12" t="inlineStr">
        <is>
          <t>GB-1.4: modular gas genset 500 kW, 480 V (block GB-1, unit 4 of 5)</t>
        </is>
      </c>
      <c r="I5145" s="12" t="inlineStr">
        <is>
          <t>LV 600 V</t>
        </is>
      </c>
      <c r="J5145" s="12" t="inlineStr">
        <is>
          <t>Type TC-ER 600 V 3/C Cu XHHW-2 + ground, PVC jacket</t>
        </is>
      </c>
      <c r="K5145" s="12" t="inlineStr">
        <is>
          <t>LV|3/C+G|10</t>
        </is>
      </c>
      <c r="L5145" s="12" t="inlineStr">
        <is>
          <t>3/C+G</t>
        </is>
      </c>
      <c r="M5145" s="12" t="inlineStr">
        <is>
          <t>10</t>
        </is>
      </c>
      <c r="N5145" s="12" t="n">
        <v>1</v>
      </c>
      <c r="O5145" s="12" t="n">
        <v>1</v>
      </c>
      <c r="P5145" s="12" t="n">
        <v>480</v>
      </c>
      <c r="Q5145" s="12" t="n">
        <v>15</v>
      </c>
      <c r="R5145" s="12" t="n">
        <v>19</v>
      </c>
      <c r="S5145" s="12" t="inlineStr">
        <is>
          <t>Surface</t>
        </is>
      </c>
      <c r="T5145" s="16" t="n">
        <v>14</v>
      </c>
      <c r="U5145" s="16" t="n">
        <v>28</v>
      </c>
      <c r="V5145" s="16">
        <f>ROUNDUP((T5145+U5145+2*'Read Me'!$B$13)*(1+'Read Me'!$B$12),-1)</f>
        <v/>
      </c>
      <c r="W5145" s="16">
        <f>V5145*N5145*O5145</f>
        <v/>
      </c>
      <c r="X5145" s="12">
        <f>IF(LEFT(I5145,2)="MV",2*N5145*IF(L5145="1/C",O5145,1),0)</f>
        <v/>
      </c>
      <c r="Y5145" s="12">
        <f>IF(OR(LEFT(K5145,4)="LVAX",LEFT(K5145,6)="MV15AX",LEFT(K5145,4)="CTAX",LEFT(K5145,2)="W|"),2*N5145*O5145,0)</f>
        <v/>
      </c>
      <c r="Z5145" s="12" t="inlineStr">
        <is>
          <t>VD 0.4 %</t>
        </is>
      </c>
      <c r="AA5145" s="12">
        <f>N5145*O5145</f>
        <v/>
      </c>
    </row>
    <row r="5146">
      <c r="A5146" s="12" t="inlineStr">
        <is>
          <t>I-P-0027</t>
        </is>
      </c>
      <c r="B5146" s="12" t="inlineStr">
        <is>
          <t>I</t>
        </is>
      </c>
      <c r="C5146" s="12" t="inlineStr">
        <is>
          <t>Modular / portable power</t>
        </is>
      </c>
      <c r="D5146" s="12" t="inlineStr">
        <is>
          <t>GB-1.5 aux power: jacket-water heater, battery charger, enclosure</t>
        </is>
      </c>
      <c r="E5146" s="12" t="inlineStr">
        <is>
          <t>GBC-1</t>
        </is>
      </c>
      <c r="F5146" s="12" t="inlineStr">
        <is>
          <t xml:space="preserve">GBC-1: block GB-1 generator collector box, 480 V outdoor switchboard, </t>
        </is>
      </c>
      <c r="G5146" s="12" t="inlineStr">
        <is>
          <t>GB-1.5</t>
        </is>
      </c>
      <c r="H5146" s="12" t="inlineStr">
        <is>
          <t>GB-1.5: modular gas genset 500 kW, 480 V (block GB-1, unit 5 of 5)</t>
        </is>
      </c>
      <c r="I5146" s="12" t="inlineStr">
        <is>
          <t>LV 600 V</t>
        </is>
      </c>
      <c r="J5146" s="12" t="inlineStr">
        <is>
          <t>Type TC-ER 600 V 3/C Cu XHHW-2 + ground, PVC jacket</t>
        </is>
      </c>
      <c r="K5146" s="12" t="inlineStr">
        <is>
          <t>LV|3/C+G|10</t>
        </is>
      </c>
      <c r="L5146" s="12" t="inlineStr">
        <is>
          <t>3/C+G</t>
        </is>
      </c>
      <c r="M5146" s="12" t="inlineStr">
        <is>
          <t>10</t>
        </is>
      </c>
      <c r="N5146" s="12" t="n">
        <v>1</v>
      </c>
      <c r="O5146" s="12" t="n">
        <v>1</v>
      </c>
      <c r="P5146" s="12" t="n">
        <v>480</v>
      </c>
      <c r="Q5146" s="12" t="n">
        <v>15</v>
      </c>
      <c r="R5146" s="12" t="n">
        <v>19</v>
      </c>
      <c r="S5146" s="12" t="inlineStr">
        <is>
          <t>Tray</t>
        </is>
      </c>
      <c r="T5146" s="16" t="n">
        <v>0</v>
      </c>
      <c r="U5146" s="16" t="n">
        <v>30</v>
      </c>
      <c r="V5146" s="16">
        <f>ROUNDUP((T5146+U5146+2*'Read Me'!$B$13)*(1+'Read Me'!$B$12),-1)</f>
        <v/>
      </c>
      <c r="W5146" s="16">
        <f>V5146*N5146*O5146</f>
        <v/>
      </c>
      <c r="X5146" s="12">
        <f>IF(LEFT(I5146,2)="MV",2*N5146*IF(L5146="1/C",O5146,1),0)</f>
        <v/>
      </c>
      <c r="Y5146" s="12">
        <f>IF(OR(LEFT(K5146,4)="LVAX",LEFT(K5146,6)="MV15AX",LEFT(K5146,4)="CTAX",LEFT(K5146,2)="W|"),2*N5146*O5146,0)</f>
        <v/>
      </c>
      <c r="Z5146" s="12" t="inlineStr">
        <is>
          <t>VD 0.3 %</t>
        </is>
      </c>
      <c r="AA5146" s="12">
        <f>N5146*O5146</f>
        <v/>
      </c>
    </row>
    <row r="5147">
      <c r="A5147" s="12" t="inlineStr">
        <is>
          <t>I-P-0028</t>
        </is>
      </c>
      <c r="B5147" s="12" t="inlineStr">
        <is>
          <t>I</t>
        </is>
      </c>
      <c r="C5147" s="12" t="inlineStr">
        <is>
          <t>Modular / portable power</t>
        </is>
      </c>
      <c r="D5147" s="12" t="inlineStr">
        <is>
          <t>GB-2.1 aux power: jacket-water heater, battery charger, enclosure</t>
        </is>
      </c>
      <c r="E5147" s="12" t="inlineStr">
        <is>
          <t>GBC-2</t>
        </is>
      </c>
      <c r="F5147" s="12" t="inlineStr">
        <is>
          <t xml:space="preserve">GBC-2: block GB-2 generator collector box, 480 V outdoor switchboard, </t>
        </is>
      </c>
      <c r="G5147" s="12" t="inlineStr">
        <is>
          <t>GB-2.1</t>
        </is>
      </c>
      <c r="H5147" s="12" t="inlineStr">
        <is>
          <t>GB-2.1: modular gas genset 500 kW, 480 V (block GB-2, unit 1 of 5)</t>
        </is>
      </c>
      <c r="I5147" s="12" t="inlineStr">
        <is>
          <t>LV 600 V</t>
        </is>
      </c>
      <c r="J5147" s="12" t="inlineStr">
        <is>
          <t>Type TC-ER 600 V 3/C Cu XHHW-2 + ground, PVC jacket</t>
        </is>
      </c>
      <c r="K5147" s="12" t="inlineStr">
        <is>
          <t>LV|3/C+G|10</t>
        </is>
      </c>
      <c r="L5147" s="12" t="inlineStr">
        <is>
          <t>3/C+G</t>
        </is>
      </c>
      <c r="M5147" s="12" t="inlineStr">
        <is>
          <t>10</t>
        </is>
      </c>
      <c r="N5147" s="12" t="n">
        <v>1</v>
      </c>
      <c r="O5147" s="12" t="n">
        <v>1</v>
      </c>
      <c r="P5147" s="12" t="n">
        <v>480</v>
      </c>
      <c r="Q5147" s="12" t="n">
        <v>15</v>
      </c>
      <c r="R5147" s="12" t="n">
        <v>19</v>
      </c>
      <c r="S5147" s="12" t="inlineStr">
        <is>
          <t>Surface</t>
        </is>
      </c>
      <c r="T5147" s="16" t="n">
        <v>44</v>
      </c>
      <c r="U5147" s="16" t="n">
        <v>28</v>
      </c>
      <c r="V5147" s="16">
        <f>ROUNDUP((T5147+U5147+2*'Read Me'!$B$13)*(1+'Read Me'!$B$12),-1)</f>
        <v/>
      </c>
      <c r="W5147" s="16">
        <f>V5147*N5147*O5147</f>
        <v/>
      </c>
      <c r="X5147" s="12">
        <f>IF(LEFT(I5147,2)="MV",2*N5147*IF(L5147="1/C",O5147,1),0)</f>
        <v/>
      </c>
      <c r="Y5147" s="12">
        <f>IF(OR(LEFT(K5147,4)="LVAX",LEFT(K5147,6)="MV15AX",LEFT(K5147,4)="CTAX",LEFT(K5147,2)="W|"),2*N5147*O5147,0)</f>
        <v/>
      </c>
      <c r="Z5147" s="12" t="inlineStr">
        <is>
          <t>VD 0.7 %</t>
        </is>
      </c>
      <c r="AA5147" s="12">
        <f>N5147*O5147</f>
        <v/>
      </c>
    </row>
    <row r="5148">
      <c r="A5148" s="12" t="inlineStr">
        <is>
          <t>I-P-0029</t>
        </is>
      </c>
      <c r="B5148" s="12" t="inlineStr">
        <is>
          <t>I</t>
        </is>
      </c>
      <c r="C5148" s="12" t="inlineStr">
        <is>
          <t>Modular / portable power</t>
        </is>
      </c>
      <c r="D5148" s="12" t="inlineStr">
        <is>
          <t>GB-2.2 aux power: jacket-water heater, battery charger, enclosure</t>
        </is>
      </c>
      <c r="E5148" s="12" t="inlineStr">
        <is>
          <t>GBC-2</t>
        </is>
      </c>
      <c r="F5148" s="12" t="inlineStr">
        <is>
          <t xml:space="preserve">GBC-2: block GB-2 generator collector box, 480 V outdoor switchboard, </t>
        </is>
      </c>
      <c r="G5148" s="12" t="inlineStr">
        <is>
          <t>GB-2.2</t>
        </is>
      </c>
      <c r="H5148" s="12" t="inlineStr">
        <is>
          <t>GB-2.2: modular gas genset 500 kW, 480 V (block GB-2, unit 2 of 5)</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15</v>
      </c>
      <c r="R5148" s="12" t="n">
        <v>19</v>
      </c>
      <c r="S5148" s="12" t="inlineStr">
        <is>
          <t>Surface</t>
        </is>
      </c>
      <c r="T5148" s="16" t="n">
        <v>34</v>
      </c>
      <c r="U5148" s="16" t="n">
        <v>28</v>
      </c>
      <c r="V5148" s="16">
        <f>ROUNDUP((T5148+U5148+2*'Read Me'!$B$13)*(1+'Read Me'!$B$12),-1)</f>
        <v/>
      </c>
      <c r="W5148" s="16">
        <f>V5148*N5148*O5148</f>
        <v/>
      </c>
      <c r="X5148" s="12">
        <f>IF(LEFT(I5148,2)="MV",2*N5148*IF(L5148="1/C",O5148,1),0)</f>
        <v/>
      </c>
      <c r="Y5148" s="12">
        <f>IF(OR(LEFT(K5148,4)="LVAX",LEFT(K5148,6)="MV15AX",LEFT(K5148,4)="CTAX",LEFT(K5148,2)="W|"),2*N5148*O5148,0)</f>
        <v/>
      </c>
      <c r="Z5148" s="12" t="inlineStr">
        <is>
          <t>VD 0.6 %</t>
        </is>
      </c>
      <c r="AA5148" s="12">
        <f>N5148*O5148</f>
        <v/>
      </c>
    </row>
    <row r="5149">
      <c r="A5149" s="12" t="inlineStr">
        <is>
          <t>I-P-0030</t>
        </is>
      </c>
      <c r="B5149" s="12" t="inlineStr">
        <is>
          <t>I</t>
        </is>
      </c>
      <c r="C5149" s="12" t="inlineStr">
        <is>
          <t>Modular / portable power</t>
        </is>
      </c>
      <c r="D5149" s="12" t="inlineStr">
        <is>
          <t>GB-2.3 aux power: jacket-water heater, battery charger, enclosure</t>
        </is>
      </c>
      <c r="E5149" s="12" t="inlineStr">
        <is>
          <t>GBC-2</t>
        </is>
      </c>
      <c r="F5149" s="12" t="inlineStr">
        <is>
          <t xml:space="preserve">GBC-2: block GB-2 generator collector box, 480 V outdoor switchboard, </t>
        </is>
      </c>
      <c r="G5149" s="12" t="inlineStr">
        <is>
          <t>GB-2.3</t>
        </is>
      </c>
      <c r="H5149" s="12" t="inlineStr">
        <is>
          <t>GB-2.3: modular gas genset 500 kW, 480 V (block GB-2, unit 3 of 5)</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15</v>
      </c>
      <c r="R5149" s="12" t="n">
        <v>19</v>
      </c>
      <c r="S5149" s="12" t="inlineStr">
        <is>
          <t>Surface</t>
        </is>
      </c>
      <c r="T5149" s="16" t="n">
        <v>24</v>
      </c>
      <c r="U5149" s="16" t="n">
        <v>28</v>
      </c>
      <c r="V5149" s="16">
        <f>ROUNDUP((T5149+U5149+2*'Read Me'!$B$13)*(1+'Read Me'!$B$12),-1)</f>
        <v/>
      </c>
      <c r="W5149" s="16">
        <f>V5149*N5149*O5149</f>
        <v/>
      </c>
      <c r="X5149" s="12">
        <f>IF(LEFT(I5149,2)="MV",2*N5149*IF(L5149="1/C",O5149,1),0)</f>
        <v/>
      </c>
      <c r="Y5149" s="12">
        <f>IF(OR(LEFT(K5149,4)="LVAX",LEFT(K5149,6)="MV15AX",LEFT(K5149,4)="CTAX",LEFT(K5149,2)="W|"),2*N5149*O5149,0)</f>
        <v/>
      </c>
      <c r="Z5149" s="12" t="inlineStr">
        <is>
          <t>VD 0.5 %</t>
        </is>
      </c>
      <c r="AA5149" s="12">
        <f>N5149*O5149</f>
        <v/>
      </c>
    </row>
    <row r="5150">
      <c r="A5150" s="12" t="inlineStr">
        <is>
          <t>I-P-0031</t>
        </is>
      </c>
      <c r="B5150" s="12" t="inlineStr">
        <is>
          <t>I</t>
        </is>
      </c>
      <c r="C5150" s="12" t="inlineStr">
        <is>
          <t>Modular / portable power</t>
        </is>
      </c>
      <c r="D5150" s="12" t="inlineStr">
        <is>
          <t>GB-2.4 aux power: jacket-water heater, battery charger, enclosure</t>
        </is>
      </c>
      <c r="E5150" s="12" t="inlineStr">
        <is>
          <t>GBC-2</t>
        </is>
      </c>
      <c r="F5150" s="12" t="inlineStr">
        <is>
          <t xml:space="preserve">GBC-2: block GB-2 generator collector box, 480 V outdoor switchboard, </t>
        </is>
      </c>
      <c r="G5150" s="12" t="inlineStr">
        <is>
          <t>GB-2.4</t>
        </is>
      </c>
      <c r="H5150" s="12" t="inlineStr">
        <is>
          <t>GB-2.4: modular gas genset 500 kW, 480 V (block GB-2, unit 4 of 5)</t>
        </is>
      </c>
      <c r="I5150" s="12" t="inlineStr">
        <is>
          <t>LV 600 V</t>
        </is>
      </c>
      <c r="J5150" s="12" t="inlineStr">
        <is>
          <t>Type TC-ER 600 V 3/C Cu XHHW-2 + ground, PVC jacket</t>
        </is>
      </c>
      <c r="K5150" s="12" t="inlineStr">
        <is>
          <t>LV|3/C+G|10</t>
        </is>
      </c>
      <c r="L5150" s="12" t="inlineStr">
        <is>
          <t>3/C+G</t>
        </is>
      </c>
      <c r="M5150" s="12" t="inlineStr">
        <is>
          <t>10</t>
        </is>
      </c>
      <c r="N5150" s="12" t="n">
        <v>1</v>
      </c>
      <c r="O5150" s="12" t="n">
        <v>1</v>
      </c>
      <c r="P5150" s="12" t="n">
        <v>480</v>
      </c>
      <c r="Q5150" s="12" t="n">
        <v>15</v>
      </c>
      <c r="R5150" s="12" t="n">
        <v>19</v>
      </c>
      <c r="S5150" s="12" t="inlineStr">
        <is>
          <t>Surface</t>
        </is>
      </c>
      <c r="T5150" s="16" t="n">
        <v>14</v>
      </c>
      <c r="U5150" s="16" t="n">
        <v>28</v>
      </c>
      <c r="V5150" s="16">
        <f>ROUNDUP((T5150+U5150+2*'Read Me'!$B$13)*(1+'Read Me'!$B$12),-1)</f>
        <v/>
      </c>
      <c r="W5150" s="16">
        <f>V5150*N5150*O5150</f>
        <v/>
      </c>
      <c r="X5150" s="12">
        <f>IF(LEFT(I5150,2)="MV",2*N5150*IF(L5150="1/C",O5150,1),0)</f>
        <v/>
      </c>
      <c r="Y5150" s="12">
        <f>IF(OR(LEFT(K5150,4)="LVAX",LEFT(K5150,6)="MV15AX",LEFT(K5150,4)="CTAX",LEFT(K5150,2)="W|"),2*N5150*O5150,0)</f>
        <v/>
      </c>
      <c r="Z5150" s="12" t="inlineStr">
        <is>
          <t>VD 0.4 %</t>
        </is>
      </c>
      <c r="AA5150" s="12">
        <f>N5150*O5150</f>
        <v/>
      </c>
    </row>
    <row r="5151">
      <c r="A5151" s="12" t="inlineStr">
        <is>
          <t>I-P-0032</t>
        </is>
      </c>
      <c r="B5151" s="12" t="inlineStr">
        <is>
          <t>I</t>
        </is>
      </c>
      <c r="C5151" s="12" t="inlineStr">
        <is>
          <t>Modular / portable power</t>
        </is>
      </c>
      <c r="D5151" s="12" t="inlineStr">
        <is>
          <t>GB-2.5 aux power: jacket-water heater, battery charger, enclosure</t>
        </is>
      </c>
      <c r="E5151" s="12" t="inlineStr">
        <is>
          <t>GBC-2</t>
        </is>
      </c>
      <c r="F5151" s="12" t="inlineStr">
        <is>
          <t xml:space="preserve">GBC-2: block GB-2 generator collector box, 480 V outdoor switchboard, </t>
        </is>
      </c>
      <c r="G5151" s="12" t="inlineStr">
        <is>
          <t>GB-2.5</t>
        </is>
      </c>
      <c r="H5151" s="12" t="inlineStr">
        <is>
          <t>GB-2.5: modular gas genset 500 kW, 480 V (block GB-2, unit 5 of 5)</t>
        </is>
      </c>
      <c r="I5151" s="12" t="inlineStr">
        <is>
          <t>LV 600 V</t>
        </is>
      </c>
      <c r="J5151" s="12" t="inlineStr">
        <is>
          <t>Type TC-ER 600 V 3/C Cu XHHW-2 + ground, PVC jacket</t>
        </is>
      </c>
      <c r="K5151" s="12" t="inlineStr">
        <is>
          <t>LV|3/C+G|10</t>
        </is>
      </c>
      <c r="L5151" s="12" t="inlineStr">
        <is>
          <t>3/C+G</t>
        </is>
      </c>
      <c r="M5151" s="12" t="inlineStr">
        <is>
          <t>10</t>
        </is>
      </c>
      <c r="N5151" s="12" t="n">
        <v>1</v>
      </c>
      <c r="O5151" s="12" t="n">
        <v>1</v>
      </c>
      <c r="P5151" s="12" t="n">
        <v>480</v>
      </c>
      <c r="Q5151" s="12" t="n">
        <v>15</v>
      </c>
      <c r="R5151" s="12" t="n">
        <v>19</v>
      </c>
      <c r="S5151" s="12" t="inlineStr">
        <is>
          <t>Tray</t>
        </is>
      </c>
      <c r="T5151" s="16" t="n">
        <v>0</v>
      </c>
      <c r="U5151" s="16" t="n">
        <v>30</v>
      </c>
      <c r="V5151" s="16">
        <f>ROUNDUP((T5151+U5151+2*'Read Me'!$B$13)*(1+'Read Me'!$B$12),-1)</f>
        <v/>
      </c>
      <c r="W5151" s="16">
        <f>V5151*N5151*O5151</f>
        <v/>
      </c>
      <c r="X5151" s="12">
        <f>IF(LEFT(I5151,2)="MV",2*N5151*IF(L5151="1/C",O5151,1),0)</f>
        <v/>
      </c>
      <c r="Y5151" s="12">
        <f>IF(OR(LEFT(K5151,4)="LVAX",LEFT(K5151,6)="MV15AX",LEFT(K5151,4)="CTAX",LEFT(K5151,2)="W|"),2*N5151*O5151,0)</f>
        <v/>
      </c>
      <c r="Z5151" s="12" t="inlineStr">
        <is>
          <t>VD 0.3 %</t>
        </is>
      </c>
      <c r="AA5151" s="12">
        <f>N5151*O5151</f>
        <v/>
      </c>
    </row>
    <row r="5152">
      <c r="A5152" s="12" t="inlineStr">
        <is>
          <t>I-P-0033</t>
        </is>
      </c>
      <c r="B5152" s="12" t="inlineStr">
        <is>
          <t>I</t>
        </is>
      </c>
      <c r="C5152" s="12" t="inlineStr">
        <is>
          <t>Modular / portable power</t>
        </is>
      </c>
      <c r="D5152" s="12" t="inlineStr">
        <is>
          <t>GB-3.1 aux power: jacket-water heater, battery charger, enclosure</t>
        </is>
      </c>
      <c r="E5152" s="12" t="inlineStr">
        <is>
          <t>GBC-3</t>
        </is>
      </c>
      <c r="F5152" s="12" t="inlineStr">
        <is>
          <t xml:space="preserve">GBC-3: block GB-3 generator collector box, 480 V outdoor switchboard, </t>
        </is>
      </c>
      <c r="G5152" s="12" t="inlineStr">
        <is>
          <t>GB-3.1</t>
        </is>
      </c>
      <c r="H5152" s="12" t="inlineStr">
        <is>
          <t>GB-3.1: modular gas genset 500 kW, 480 V (block GB-3, unit 1 of 5)</t>
        </is>
      </c>
      <c r="I5152" s="12" t="inlineStr">
        <is>
          <t>LV 600 V</t>
        </is>
      </c>
      <c r="J5152" s="12" t="inlineStr">
        <is>
          <t>Type TC-ER 600 V 3/C Cu XHHW-2 + ground, PVC jacket</t>
        </is>
      </c>
      <c r="K5152" s="12" t="inlineStr">
        <is>
          <t>LV|3/C+G|10</t>
        </is>
      </c>
      <c r="L5152" s="12" t="inlineStr">
        <is>
          <t>3/C+G</t>
        </is>
      </c>
      <c r="M5152" s="12" t="inlineStr">
        <is>
          <t>10</t>
        </is>
      </c>
      <c r="N5152" s="12" t="n">
        <v>1</v>
      </c>
      <c r="O5152" s="12" t="n">
        <v>1</v>
      </c>
      <c r="P5152" s="12" t="n">
        <v>480</v>
      </c>
      <c r="Q5152" s="12" t="n">
        <v>15</v>
      </c>
      <c r="R5152" s="12" t="n">
        <v>19</v>
      </c>
      <c r="S5152" s="12" t="inlineStr">
        <is>
          <t>Surface</t>
        </is>
      </c>
      <c r="T5152" s="16" t="n">
        <v>44</v>
      </c>
      <c r="U5152" s="16" t="n">
        <v>28</v>
      </c>
      <c r="V5152" s="16">
        <f>ROUNDUP((T5152+U5152+2*'Read Me'!$B$13)*(1+'Read Me'!$B$12),-1)</f>
        <v/>
      </c>
      <c r="W5152" s="16">
        <f>V5152*N5152*O5152</f>
        <v/>
      </c>
      <c r="X5152" s="12">
        <f>IF(LEFT(I5152,2)="MV",2*N5152*IF(L5152="1/C",O5152,1),0)</f>
        <v/>
      </c>
      <c r="Y5152" s="12">
        <f>IF(OR(LEFT(K5152,4)="LVAX",LEFT(K5152,6)="MV15AX",LEFT(K5152,4)="CTAX",LEFT(K5152,2)="W|"),2*N5152*O5152,0)</f>
        <v/>
      </c>
      <c r="Z5152" s="12" t="inlineStr">
        <is>
          <t>VD 0.7 %</t>
        </is>
      </c>
      <c r="AA5152" s="12">
        <f>N5152*O5152</f>
        <v/>
      </c>
    </row>
    <row r="5153">
      <c r="A5153" s="12" t="inlineStr">
        <is>
          <t>I-P-0034</t>
        </is>
      </c>
      <c r="B5153" s="12" t="inlineStr">
        <is>
          <t>I</t>
        </is>
      </c>
      <c r="C5153" s="12" t="inlineStr">
        <is>
          <t>Modular / portable power</t>
        </is>
      </c>
      <c r="D5153" s="12" t="inlineStr">
        <is>
          <t>GB-3.2 aux power: jacket-water heater, battery charger, enclosure</t>
        </is>
      </c>
      <c r="E5153" s="12" t="inlineStr">
        <is>
          <t>GBC-3</t>
        </is>
      </c>
      <c r="F5153" s="12" t="inlineStr">
        <is>
          <t xml:space="preserve">GBC-3: block GB-3 generator collector box, 480 V outdoor switchboard, </t>
        </is>
      </c>
      <c r="G5153" s="12" t="inlineStr">
        <is>
          <t>GB-3.2</t>
        </is>
      </c>
      <c r="H5153" s="12" t="inlineStr">
        <is>
          <t>GB-3.2: modular gas genset 500 kW, 480 V (block GB-3, unit 2 of 5)</t>
        </is>
      </c>
      <c r="I5153" s="12" t="inlineStr">
        <is>
          <t>LV 600 V</t>
        </is>
      </c>
      <c r="J5153" s="12" t="inlineStr">
        <is>
          <t>Type TC-ER 600 V 3/C Cu XHHW-2 + ground, PVC jacket</t>
        </is>
      </c>
      <c r="K5153" s="12" t="inlineStr">
        <is>
          <t>LV|3/C+G|10</t>
        </is>
      </c>
      <c r="L5153" s="12" t="inlineStr">
        <is>
          <t>3/C+G</t>
        </is>
      </c>
      <c r="M5153" s="12" t="inlineStr">
        <is>
          <t>10</t>
        </is>
      </c>
      <c r="N5153" s="12" t="n">
        <v>1</v>
      </c>
      <c r="O5153" s="12" t="n">
        <v>1</v>
      </c>
      <c r="P5153" s="12" t="n">
        <v>480</v>
      </c>
      <c r="Q5153" s="12" t="n">
        <v>15</v>
      </c>
      <c r="R5153" s="12" t="n">
        <v>19</v>
      </c>
      <c r="S5153" s="12" t="inlineStr">
        <is>
          <t>Surface</t>
        </is>
      </c>
      <c r="T5153" s="16" t="n">
        <v>34</v>
      </c>
      <c r="U5153" s="16" t="n">
        <v>28</v>
      </c>
      <c r="V5153" s="16">
        <f>ROUNDUP((T5153+U5153+2*'Read Me'!$B$13)*(1+'Read Me'!$B$12),-1)</f>
        <v/>
      </c>
      <c r="W5153" s="16">
        <f>V5153*N5153*O5153</f>
        <v/>
      </c>
      <c r="X5153" s="12">
        <f>IF(LEFT(I5153,2)="MV",2*N5153*IF(L5153="1/C",O5153,1),0)</f>
        <v/>
      </c>
      <c r="Y5153" s="12">
        <f>IF(OR(LEFT(K5153,4)="LVAX",LEFT(K5153,6)="MV15AX",LEFT(K5153,4)="CTAX",LEFT(K5153,2)="W|"),2*N5153*O5153,0)</f>
        <v/>
      </c>
      <c r="Z5153" s="12" t="inlineStr">
        <is>
          <t>VD 0.6 %</t>
        </is>
      </c>
      <c r="AA5153" s="12">
        <f>N5153*O5153</f>
        <v/>
      </c>
    </row>
    <row r="5154">
      <c r="A5154" s="12" t="inlineStr">
        <is>
          <t>I-P-0035</t>
        </is>
      </c>
      <c r="B5154" s="12" t="inlineStr">
        <is>
          <t>I</t>
        </is>
      </c>
      <c r="C5154" s="12" t="inlineStr">
        <is>
          <t>Modular / portable power</t>
        </is>
      </c>
      <c r="D5154" s="12" t="inlineStr">
        <is>
          <t>GB-3.3 aux power: jacket-water heater, battery charger, enclosure</t>
        </is>
      </c>
      <c r="E5154" s="12" t="inlineStr">
        <is>
          <t>GBC-3</t>
        </is>
      </c>
      <c r="F5154" s="12" t="inlineStr">
        <is>
          <t xml:space="preserve">GBC-3: block GB-3 generator collector box, 480 V outdoor switchboard, </t>
        </is>
      </c>
      <c r="G5154" s="12" t="inlineStr">
        <is>
          <t>GB-3.3</t>
        </is>
      </c>
      <c r="H5154" s="12" t="inlineStr">
        <is>
          <t>GB-3.3: modular gas genset 500 kW, 480 V (block GB-3, unit 3 of 5)</t>
        </is>
      </c>
      <c r="I5154" s="12" t="inlineStr">
        <is>
          <t>LV 600 V</t>
        </is>
      </c>
      <c r="J5154" s="12" t="inlineStr">
        <is>
          <t>Type TC-ER 600 V 3/C Cu XHHW-2 + ground, PVC jacket</t>
        </is>
      </c>
      <c r="K5154" s="12" t="inlineStr">
        <is>
          <t>LV|3/C+G|10</t>
        </is>
      </c>
      <c r="L5154" s="12" t="inlineStr">
        <is>
          <t>3/C+G</t>
        </is>
      </c>
      <c r="M5154" s="12" t="inlineStr">
        <is>
          <t>10</t>
        </is>
      </c>
      <c r="N5154" s="12" t="n">
        <v>1</v>
      </c>
      <c r="O5154" s="12" t="n">
        <v>1</v>
      </c>
      <c r="P5154" s="12" t="n">
        <v>480</v>
      </c>
      <c r="Q5154" s="12" t="n">
        <v>15</v>
      </c>
      <c r="R5154" s="12" t="n">
        <v>19</v>
      </c>
      <c r="S5154" s="12" t="inlineStr">
        <is>
          <t>Surface</t>
        </is>
      </c>
      <c r="T5154" s="16" t="n">
        <v>24</v>
      </c>
      <c r="U5154" s="16" t="n">
        <v>28</v>
      </c>
      <c r="V5154" s="16">
        <f>ROUNDUP((T5154+U5154+2*'Read Me'!$B$13)*(1+'Read Me'!$B$12),-1)</f>
        <v/>
      </c>
      <c r="W5154" s="16">
        <f>V5154*N5154*O5154</f>
        <v/>
      </c>
      <c r="X5154" s="12">
        <f>IF(LEFT(I5154,2)="MV",2*N5154*IF(L5154="1/C",O5154,1),0)</f>
        <v/>
      </c>
      <c r="Y5154" s="12">
        <f>IF(OR(LEFT(K5154,4)="LVAX",LEFT(K5154,6)="MV15AX",LEFT(K5154,4)="CTAX",LEFT(K5154,2)="W|"),2*N5154*O5154,0)</f>
        <v/>
      </c>
      <c r="Z5154" s="12" t="inlineStr">
        <is>
          <t>VD 0.5 %</t>
        </is>
      </c>
      <c r="AA5154" s="12">
        <f>N5154*O5154</f>
        <v/>
      </c>
    </row>
    <row r="5155">
      <c r="A5155" s="12" t="inlineStr">
        <is>
          <t>I-P-0036</t>
        </is>
      </c>
      <c r="B5155" s="12" t="inlineStr">
        <is>
          <t>I</t>
        </is>
      </c>
      <c r="C5155" s="12" t="inlineStr">
        <is>
          <t>Modular / portable power</t>
        </is>
      </c>
      <c r="D5155" s="12" t="inlineStr">
        <is>
          <t>GB-3.4 aux power: jacket-water heater, battery charger, enclosure</t>
        </is>
      </c>
      <c r="E5155" s="12" t="inlineStr">
        <is>
          <t>GBC-3</t>
        </is>
      </c>
      <c r="F5155" s="12" t="inlineStr">
        <is>
          <t xml:space="preserve">GBC-3: block GB-3 generator collector box, 480 V outdoor switchboard, </t>
        </is>
      </c>
      <c r="G5155" s="12" t="inlineStr">
        <is>
          <t>GB-3.4</t>
        </is>
      </c>
      <c r="H5155" s="12" t="inlineStr">
        <is>
          <t>GB-3.4: modular gas genset 500 kW, 480 V (block GB-3, unit 4 of 5)</t>
        </is>
      </c>
      <c r="I5155" s="12" t="inlineStr">
        <is>
          <t>LV 600 V</t>
        </is>
      </c>
      <c r="J5155" s="12" t="inlineStr">
        <is>
          <t>Type TC-ER 600 V 3/C Cu XHHW-2 + ground, PVC jacket</t>
        </is>
      </c>
      <c r="K5155" s="12" t="inlineStr">
        <is>
          <t>LV|3/C+G|10</t>
        </is>
      </c>
      <c r="L5155" s="12" t="inlineStr">
        <is>
          <t>3/C+G</t>
        </is>
      </c>
      <c r="M5155" s="12" t="inlineStr">
        <is>
          <t>10</t>
        </is>
      </c>
      <c r="N5155" s="12" t="n">
        <v>1</v>
      </c>
      <c r="O5155" s="12" t="n">
        <v>1</v>
      </c>
      <c r="P5155" s="12" t="n">
        <v>480</v>
      </c>
      <c r="Q5155" s="12" t="n">
        <v>15</v>
      </c>
      <c r="R5155" s="12" t="n">
        <v>19</v>
      </c>
      <c r="S5155" s="12" t="inlineStr">
        <is>
          <t>Surface</t>
        </is>
      </c>
      <c r="T5155" s="16" t="n">
        <v>14</v>
      </c>
      <c r="U5155" s="16" t="n">
        <v>28</v>
      </c>
      <c r="V5155" s="16">
        <f>ROUNDUP((T5155+U5155+2*'Read Me'!$B$13)*(1+'Read Me'!$B$12),-1)</f>
        <v/>
      </c>
      <c r="W5155" s="16">
        <f>V5155*N5155*O5155</f>
        <v/>
      </c>
      <c r="X5155" s="12">
        <f>IF(LEFT(I5155,2)="MV",2*N5155*IF(L5155="1/C",O5155,1),0)</f>
        <v/>
      </c>
      <c r="Y5155" s="12">
        <f>IF(OR(LEFT(K5155,4)="LVAX",LEFT(K5155,6)="MV15AX",LEFT(K5155,4)="CTAX",LEFT(K5155,2)="W|"),2*N5155*O5155,0)</f>
        <v/>
      </c>
      <c r="Z5155" s="12" t="inlineStr">
        <is>
          <t>VD 0.4 %</t>
        </is>
      </c>
      <c r="AA5155" s="12">
        <f>N5155*O5155</f>
        <v/>
      </c>
    </row>
    <row r="5156">
      <c r="A5156" s="12" t="inlineStr">
        <is>
          <t>I-P-0037</t>
        </is>
      </c>
      <c r="B5156" s="12" t="inlineStr">
        <is>
          <t>I</t>
        </is>
      </c>
      <c r="C5156" s="12" t="inlineStr">
        <is>
          <t>Modular / portable power</t>
        </is>
      </c>
      <c r="D5156" s="12" t="inlineStr">
        <is>
          <t>GB-3.5 aux power: jacket-water heater, battery charger, enclosure</t>
        </is>
      </c>
      <c r="E5156" s="12" t="inlineStr">
        <is>
          <t>GBC-3</t>
        </is>
      </c>
      <c r="F5156" s="12" t="inlineStr">
        <is>
          <t xml:space="preserve">GBC-3: block GB-3 generator collector box, 480 V outdoor switchboard, </t>
        </is>
      </c>
      <c r="G5156" s="12" t="inlineStr">
        <is>
          <t>GB-3.5</t>
        </is>
      </c>
      <c r="H5156" s="12" t="inlineStr">
        <is>
          <t>GB-3.5: modular gas genset 500 kW, 480 V (block GB-3, unit 5 of 5)</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15</v>
      </c>
      <c r="R5156" s="12" t="n">
        <v>19</v>
      </c>
      <c r="S5156" s="12" t="inlineStr">
        <is>
          <t>Tray</t>
        </is>
      </c>
      <c r="T5156" s="16" t="n">
        <v>0</v>
      </c>
      <c r="U5156" s="16" t="n">
        <v>30</v>
      </c>
      <c r="V5156" s="16">
        <f>ROUNDUP((T5156+U5156+2*'Read Me'!$B$13)*(1+'Read Me'!$B$12),-1)</f>
        <v/>
      </c>
      <c r="W5156" s="16">
        <f>V5156*N5156*O5156</f>
        <v/>
      </c>
      <c r="X5156" s="12">
        <f>IF(LEFT(I5156,2)="MV",2*N5156*IF(L5156="1/C",O5156,1),0)</f>
        <v/>
      </c>
      <c r="Y5156" s="12">
        <f>IF(OR(LEFT(K5156,4)="LVAX",LEFT(K5156,6)="MV15AX",LEFT(K5156,4)="CTAX",LEFT(K5156,2)="W|"),2*N5156*O5156,0)</f>
        <v/>
      </c>
      <c r="Z5156" s="12" t="inlineStr">
        <is>
          <t>VD 0.3 %</t>
        </is>
      </c>
      <c r="AA5156" s="12">
        <f>N5156*O5156</f>
        <v/>
      </c>
    </row>
    <row r="5157">
      <c r="A5157" s="12" t="inlineStr">
        <is>
          <t>I-P-0038</t>
        </is>
      </c>
      <c r="B5157" s="12" t="inlineStr">
        <is>
          <t>I</t>
        </is>
      </c>
      <c r="C5157" s="12" t="inlineStr">
        <is>
          <t>Modular / portable power</t>
        </is>
      </c>
      <c r="D5157" s="12" t="inlineStr">
        <is>
          <t>GB-4.1 aux power: jacket-water heater, battery charger, enclosure</t>
        </is>
      </c>
      <c r="E5157" s="12" t="inlineStr">
        <is>
          <t>GBC-4</t>
        </is>
      </c>
      <c r="F5157" s="12" t="inlineStr">
        <is>
          <t xml:space="preserve">GBC-4: block GB-4 generator collector box, 480 V outdoor switchboard, </t>
        </is>
      </c>
      <c r="G5157" s="12" t="inlineStr">
        <is>
          <t>GB-4.1</t>
        </is>
      </c>
      <c r="H5157" s="12" t="inlineStr">
        <is>
          <t>GB-4.1: modular gas genset 500 kW, 480 V (block GB-4, unit 1 of 5)</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15</v>
      </c>
      <c r="R5157" s="12" t="n">
        <v>19</v>
      </c>
      <c r="S5157" s="12" t="inlineStr">
        <is>
          <t>Surface</t>
        </is>
      </c>
      <c r="T5157" s="16" t="n">
        <v>34</v>
      </c>
      <c r="U5157" s="16" t="n">
        <v>36</v>
      </c>
      <c r="V5157" s="16">
        <f>ROUNDUP((T5157+U5157+2*'Read Me'!$B$13)*(1+'Read Me'!$B$12),-1)</f>
        <v/>
      </c>
      <c r="W5157" s="16">
        <f>V5157*N5157*O5157</f>
        <v/>
      </c>
      <c r="X5157" s="12">
        <f>IF(LEFT(I5157,2)="MV",2*N5157*IF(L5157="1/C",O5157,1),0)</f>
        <v/>
      </c>
      <c r="Y5157" s="12">
        <f>IF(OR(LEFT(K5157,4)="LVAX",LEFT(K5157,6)="MV15AX",LEFT(K5157,4)="CTAX",LEFT(K5157,2)="W|"),2*N5157*O5157,0)</f>
        <v/>
      </c>
      <c r="Z5157" s="12" t="inlineStr">
        <is>
          <t>VD 0.6 %</t>
        </is>
      </c>
      <c r="AA5157" s="12">
        <f>N5157*O5157</f>
        <v/>
      </c>
    </row>
    <row r="5158">
      <c r="A5158" s="12" t="inlineStr">
        <is>
          <t>I-P-0039</t>
        </is>
      </c>
      <c r="B5158" s="12" t="inlineStr">
        <is>
          <t>I</t>
        </is>
      </c>
      <c r="C5158" s="12" t="inlineStr">
        <is>
          <t>Modular / portable power</t>
        </is>
      </c>
      <c r="D5158" s="12" t="inlineStr">
        <is>
          <t>GB-4.2 aux power: jacket-water heater, battery charger, enclosure</t>
        </is>
      </c>
      <c r="E5158" s="12" t="inlineStr">
        <is>
          <t>GBC-4</t>
        </is>
      </c>
      <c r="F5158" s="12" t="inlineStr">
        <is>
          <t xml:space="preserve">GBC-4: block GB-4 generator collector box, 480 V outdoor switchboard, </t>
        </is>
      </c>
      <c r="G5158" s="12" t="inlineStr">
        <is>
          <t>GB-4.2</t>
        </is>
      </c>
      <c r="H5158" s="12" t="inlineStr">
        <is>
          <t>GB-4.2: modular gas genset 500 kW, 480 V (block GB-4, unit 2 of 5)</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15</v>
      </c>
      <c r="R5158" s="12" t="n">
        <v>19</v>
      </c>
      <c r="S5158" s="12" t="inlineStr">
        <is>
          <t>Surface</t>
        </is>
      </c>
      <c r="T5158" s="16" t="n">
        <v>34</v>
      </c>
      <c r="U5158" s="16" t="n">
        <v>28</v>
      </c>
      <c r="V5158" s="16">
        <f>ROUNDUP((T5158+U5158+2*'Read Me'!$B$13)*(1+'Read Me'!$B$12),-1)</f>
        <v/>
      </c>
      <c r="W5158" s="16">
        <f>V5158*N5158*O5158</f>
        <v/>
      </c>
      <c r="X5158" s="12">
        <f>IF(LEFT(I5158,2)="MV",2*N5158*IF(L5158="1/C",O5158,1),0)</f>
        <v/>
      </c>
      <c r="Y5158" s="12">
        <f>IF(OR(LEFT(K5158,4)="LVAX",LEFT(K5158,6)="MV15AX",LEFT(K5158,4)="CTAX",LEFT(K5158,2)="W|"),2*N5158*O5158,0)</f>
        <v/>
      </c>
      <c r="Z5158" s="12" t="inlineStr">
        <is>
          <t>VD 0.6 %</t>
        </is>
      </c>
      <c r="AA5158" s="12">
        <f>N5158*O5158</f>
        <v/>
      </c>
    </row>
    <row r="5159">
      <c r="A5159" s="12" t="inlineStr">
        <is>
          <t>I-P-0040</t>
        </is>
      </c>
      <c r="B5159" s="12" t="inlineStr">
        <is>
          <t>I</t>
        </is>
      </c>
      <c r="C5159" s="12" t="inlineStr">
        <is>
          <t>Modular / portable power</t>
        </is>
      </c>
      <c r="D5159" s="12" t="inlineStr">
        <is>
          <t>GB-4.3 aux power: jacket-water heater, battery charger, enclosure</t>
        </is>
      </c>
      <c r="E5159" s="12" t="inlineStr">
        <is>
          <t>GBC-4</t>
        </is>
      </c>
      <c r="F5159" s="12" t="inlineStr">
        <is>
          <t xml:space="preserve">GBC-4: block GB-4 generator collector box, 480 V outdoor switchboard, </t>
        </is>
      </c>
      <c r="G5159" s="12" t="inlineStr">
        <is>
          <t>GB-4.3</t>
        </is>
      </c>
      <c r="H5159" s="12" t="inlineStr">
        <is>
          <t>GB-4.3: modular gas genset 500 kW, 480 V (block GB-4, unit 3 of 5)</t>
        </is>
      </c>
      <c r="I5159" s="12" t="inlineStr">
        <is>
          <t>LV 600 V</t>
        </is>
      </c>
      <c r="J5159" s="12" t="inlineStr">
        <is>
          <t>Type TC-ER 600 V 3/C Cu XHHW-2 + ground, PVC jacket</t>
        </is>
      </c>
      <c r="K5159" s="12" t="inlineStr">
        <is>
          <t>LV|3/C+G|10</t>
        </is>
      </c>
      <c r="L5159" s="12" t="inlineStr">
        <is>
          <t>3/C+G</t>
        </is>
      </c>
      <c r="M5159" s="12" t="inlineStr">
        <is>
          <t>10</t>
        </is>
      </c>
      <c r="N5159" s="12" t="n">
        <v>1</v>
      </c>
      <c r="O5159" s="12" t="n">
        <v>1</v>
      </c>
      <c r="P5159" s="12" t="n">
        <v>480</v>
      </c>
      <c r="Q5159" s="12" t="n">
        <v>15</v>
      </c>
      <c r="R5159" s="12" t="n">
        <v>19</v>
      </c>
      <c r="S5159" s="12" t="inlineStr">
        <is>
          <t>Surface</t>
        </is>
      </c>
      <c r="T5159" s="16" t="n">
        <v>24</v>
      </c>
      <c r="U5159" s="16" t="n">
        <v>28</v>
      </c>
      <c r="V5159" s="16">
        <f>ROUNDUP((T5159+U5159+2*'Read Me'!$B$13)*(1+'Read Me'!$B$12),-1)</f>
        <v/>
      </c>
      <c r="W5159" s="16">
        <f>V5159*N5159*O5159</f>
        <v/>
      </c>
      <c r="X5159" s="12">
        <f>IF(LEFT(I5159,2)="MV",2*N5159*IF(L5159="1/C",O5159,1),0)</f>
        <v/>
      </c>
      <c r="Y5159" s="12">
        <f>IF(OR(LEFT(K5159,4)="LVAX",LEFT(K5159,6)="MV15AX",LEFT(K5159,4)="CTAX",LEFT(K5159,2)="W|"),2*N5159*O5159,0)</f>
        <v/>
      </c>
      <c r="Z5159" s="12" t="inlineStr">
        <is>
          <t>VD 0.5 %</t>
        </is>
      </c>
      <c r="AA5159" s="12">
        <f>N5159*O5159</f>
        <v/>
      </c>
    </row>
    <row r="5160">
      <c r="A5160" s="12" t="inlineStr">
        <is>
          <t>I-P-0041</t>
        </is>
      </c>
      <c r="B5160" s="12" t="inlineStr">
        <is>
          <t>I</t>
        </is>
      </c>
      <c r="C5160" s="12" t="inlineStr">
        <is>
          <t>Modular / portable power</t>
        </is>
      </c>
      <c r="D5160" s="12" t="inlineStr">
        <is>
          <t>GB-4.4 aux power: jacket-water heater, battery charger, enclosure</t>
        </is>
      </c>
      <c r="E5160" s="12" t="inlineStr">
        <is>
          <t>GBC-4</t>
        </is>
      </c>
      <c r="F5160" s="12" t="inlineStr">
        <is>
          <t xml:space="preserve">GBC-4: block GB-4 generator collector box, 480 V outdoor switchboard, </t>
        </is>
      </c>
      <c r="G5160" s="12" t="inlineStr">
        <is>
          <t>GB-4.4</t>
        </is>
      </c>
      <c r="H5160" s="12" t="inlineStr">
        <is>
          <t>GB-4.4: modular gas genset 500 kW, 480 V (block GB-4, unit 4 of 5)</t>
        </is>
      </c>
      <c r="I5160" s="12" t="inlineStr">
        <is>
          <t>LV 600 V</t>
        </is>
      </c>
      <c r="J5160" s="12" t="inlineStr">
        <is>
          <t>Type TC-ER 600 V 3/C Cu XHHW-2 + ground, PVC jacket</t>
        </is>
      </c>
      <c r="K5160" s="12" t="inlineStr">
        <is>
          <t>LV|3/C+G|10</t>
        </is>
      </c>
      <c r="L5160" s="12" t="inlineStr">
        <is>
          <t>3/C+G</t>
        </is>
      </c>
      <c r="M5160" s="12" t="inlineStr">
        <is>
          <t>10</t>
        </is>
      </c>
      <c r="N5160" s="12" t="n">
        <v>1</v>
      </c>
      <c r="O5160" s="12" t="n">
        <v>1</v>
      </c>
      <c r="P5160" s="12" t="n">
        <v>480</v>
      </c>
      <c r="Q5160" s="12" t="n">
        <v>15</v>
      </c>
      <c r="R5160" s="12" t="n">
        <v>19</v>
      </c>
      <c r="S5160" s="12" t="inlineStr">
        <is>
          <t>Surface</t>
        </is>
      </c>
      <c r="T5160" s="16" t="n">
        <v>14</v>
      </c>
      <c r="U5160" s="16" t="n">
        <v>28</v>
      </c>
      <c r="V5160" s="16">
        <f>ROUNDUP((T5160+U5160+2*'Read Me'!$B$13)*(1+'Read Me'!$B$12),-1)</f>
        <v/>
      </c>
      <c r="W5160" s="16">
        <f>V5160*N5160*O5160</f>
        <v/>
      </c>
      <c r="X5160" s="12">
        <f>IF(LEFT(I5160,2)="MV",2*N5160*IF(L5160="1/C",O5160,1),0)</f>
        <v/>
      </c>
      <c r="Y5160" s="12">
        <f>IF(OR(LEFT(K5160,4)="LVAX",LEFT(K5160,6)="MV15AX",LEFT(K5160,4)="CTAX",LEFT(K5160,2)="W|"),2*N5160*O5160,0)</f>
        <v/>
      </c>
      <c r="Z5160" s="12" t="inlineStr">
        <is>
          <t>VD 0.4 %</t>
        </is>
      </c>
      <c r="AA5160" s="12">
        <f>N5160*O5160</f>
        <v/>
      </c>
    </row>
    <row r="5161">
      <c r="A5161" s="12" t="inlineStr">
        <is>
          <t>I-P-0042</t>
        </is>
      </c>
      <c r="B5161" s="12" t="inlineStr">
        <is>
          <t>I</t>
        </is>
      </c>
      <c r="C5161" s="12" t="inlineStr">
        <is>
          <t>Modular / portable power</t>
        </is>
      </c>
      <c r="D5161" s="12" t="inlineStr">
        <is>
          <t>GB-4.5 aux power: jacket-water heater, battery charger, enclosure</t>
        </is>
      </c>
      <c r="E5161" s="12" t="inlineStr">
        <is>
          <t>GBC-4</t>
        </is>
      </c>
      <c r="F5161" s="12" t="inlineStr">
        <is>
          <t xml:space="preserve">GBC-4: block GB-4 generator collector box, 480 V outdoor switchboard, </t>
        </is>
      </c>
      <c r="G5161" s="12" t="inlineStr">
        <is>
          <t>GB-4.5</t>
        </is>
      </c>
      <c r="H5161" s="12" t="inlineStr">
        <is>
          <t>GB-4.5: modular gas genset 500 kW, 480 V (block GB-4, unit 5 of 5)</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15</v>
      </c>
      <c r="R5161" s="12" t="n">
        <v>19</v>
      </c>
      <c r="S5161" s="12" t="inlineStr">
        <is>
          <t>Tray</t>
        </is>
      </c>
      <c r="T5161" s="16" t="n">
        <v>0</v>
      </c>
      <c r="U5161" s="16" t="n">
        <v>30</v>
      </c>
      <c r="V5161" s="16">
        <f>ROUNDUP((T5161+U5161+2*'Read Me'!$B$13)*(1+'Read Me'!$B$12),-1)</f>
        <v/>
      </c>
      <c r="W5161" s="16">
        <f>V5161*N5161*O5161</f>
        <v/>
      </c>
      <c r="X5161" s="12">
        <f>IF(LEFT(I5161,2)="MV",2*N5161*IF(L5161="1/C",O5161,1),0)</f>
        <v/>
      </c>
      <c r="Y5161" s="12">
        <f>IF(OR(LEFT(K5161,4)="LVAX",LEFT(K5161,6)="MV15AX",LEFT(K5161,4)="CTAX",LEFT(K5161,2)="W|"),2*N5161*O5161,0)</f>
        <v/>
      </c>
      <c r="Z5161" s="12" t="inlineStr">
        <is>
          <t>VD 0.3 %</t>
        </is>
      </c>
      <c r="AA5161" s="12">
        <f>N5161*O5161</f>
        <v/>
      </c>
    </row>
    <row r="5162">
      <c r="A5162" s="12" t="inlineStr">
        <is>
          <t>I-P-0043</t>
        </is>
      </c>
      <c r="B5162" s="12" t="inlineStr">
        <is>
          <t>I</t>
        </is>
      </c>
      <c r="C5162" s="12" t="inlineStr">
        <is>
          <t>Modular / portable power</t>
        </is>
      </c>
      <c r="D5162" s="12" t="inlineStr">
        <is>
          <t>L1 GB-1.1 480 V generator leads to GBC-1</t>
        </is>
      </c>
      <c r="E5162" s="12" t="inlineStr">
        <is>
          <t>GB-1.1</t>
        </is>
      </c>
      <c r="F5162" s="12" t="inlineStr">
        <is>
          <t>GB-1.1: modular gas genset 500 kW, 480 V (block GB-1, unit 1 of 5)</t>
        </is>
      </c>
      <c r="G5162" s="12" t="inlineStr">
        <is>
          <t>GBC-1</t>
        </is>
      </c>
      <c r="H5162" s="12" t="inlineStr">
        <is>
          <t xml:space="preserve">GBC-1: block GB-1 generator collector box, 480 V outdoor switchboard, </t>
        </is>
      </c>
      <c r="I5162" s="12" t="inlineStr">
        <is>
          <t>LV 600 V</t>
        </is>
      </c>
      <c r="J5162" s="12" t="inlineStr">
        <is>
          <t>XHHW-2 600 V 1/C Cu (feeder sets in tray / duct)</t>
        </is>
      </c>
      <c r="K5162" s="12" t="inlineStr">
        <is>
          <t>LV1C|1/C|500</t>
        </is>
      </c>
      <c r="L5162" s="12" t="inlineStr">
        <is>
          <t>1/C</t>
        </is>
      </c>
      <c r="M5162" s="12" t="inlineStr">
        <is>
          <t>500 kcmil</t>
        </is>
      </c>
      <c r="N5162" s="12" t="n">
        <v>2</v>
      </c>
      <c r="O5162" s="12" t="n">
        <v>4</v>
      </c>
      <c r="P5162" s="12" t="n">
        <v>480</v>
      </c>
      <c r="Q5162" s="12" t="n">
        <v>500</v>
      </c>
      <c r="R5162" s="12" t="n">
        <v>601</v>
      </c>
      <c r="S5162" s="12" t="inlineStr">
        <is>
          <t>Surface</t>
        </is>
      </c>
      <c r="T5162" s="16" t="n">
        <v>44</v>
      </c>
      <c r="U5162" s="16" t="n">
        <v>28</v>
      </c>
      <c r="V5162" s="16">
        <f>ROUNDUP((T5162+U5162+2*'Read Me'!$B$13)*(1+'Read Me'!$B$12),-1)</f>
        <v/>
      </c>
      <c r="W5162" s="16">
        <f>V5162*N5162*O5162</f>
        <v/>
      </c>
      <c r="X5162" s="12">
        <f>IF(LEFT(I5162,2)="MV",2*N5162*IF(L5162="1/C",O5162,1),0)</f>
        <v/>
      </c>
      <c r="Y5162" s="12">
        <f>IF(OR(LEFT(K5162,4)="LVAX",LEFT(K5162,6)="MV15AX",LEFT(K5162,4)="CTAX",LEFT(K5162,2)="W|"),2*N5162*O5162,0)</f>
        <v/>
      </c>
      <c r="Z5162" s="12" t="inlineStr">
        <is>
          <t>2 sets of 3 x 500 kcmil + ground (count TO VERIFY)</t>
        </is>
      </c>
      <c r="AA5162" s="12">
        <f>N5162*O5162</f>
        <v/>
      </c>
    </row>
    <row r="5163">
      <c r="A5163" s="12" t="inlineStr">
        <is>
          <t>I-P-0044</t>
        </is>
      </c>
      <c r="B5163" s="12" t="inlineStr">
        <is>
          <t>I</t>
        </is>
      </c>
      <c r="C5163" s="12" t="inlineStr">
        <is>
          <t>Modular / portable power</t>
        </is>
      </c>
      <c r="D5163" s="12" t="inlineStr">
        <is>
          <t>L1 GB-1.2 480 V generator leads to GBC-1</t>
        </is>
      </c>
      <c r="E5163" s="12" t="inlineStr">
        <is>
          <t>GB-1.2</t>
        </is>
      </c>
      <c r="F5163" s="12" t="inlineStr">
        <is>
          <t>GB-1.2: modular gas genset 500 kW, 480 V (block GB-1, unit 2 of 5)</t>
        </is>
      </c>
      <c r="G5163" s="12" t="inlineStr">
        <is>
          <t>GBC-1</t>
        </is>
      </c>
      <c r="H5163" s="12" t="inlineStr">
        <is>
          <t xml:space="preserve">GBC-1: block GB-1 generator collector box, 480 V outdoor switchboard, </t>
        </is>
      </c>
      <c r="I5163" s="12" t="inlineStr">
        <is>
          <t>LV 600 V</t>
        </is>
      </c>
      <c r="J5163" s="12" t="inlineStr">
        <is>
          <t>XHHW-2 600 V 1/C Cu (feeder sets in tray / duct)</t>
        </is>
      </c>
      <c r="K5163" s="12" t="inlineStr">
        <is>
          <t>LV1C|1/C|500</t>
        </is>
      </c>
      <c r="L5163" s="12" t="inlineStr">
        <is>
          <t>1/C</t>
        </is>
      </c>
      <c r="M5163" s="12" t="inlineStr">
        <is>
          <t>500 kcmil</t>
        </is>
      </c>
      <c r="N5163" s="12" t="n">
        <v>2</v>
      </c>
      <c r="O5163" s="12" t="n">
        <v>4</v>
      </c>
      <c r="P5163" s="12" t="n">
        <v>480</v>
      </c>
      <c r="Q5163" s="12" t="n">
        <v>500</v>
      </c>
      <c r="R5163" s="12" t="n">
        <v>601</v>
      </c>
      <c r="S5163" s="12" t="inlineStr">
        <is>
          <t>Surface</t>
        </is>
      </c>
      <c r="T5163" s="16" t="n">
        <v>34</v>
      </c>
      <c r="U5163" s="16" t="n">
        <v>28</v>
      </c>
      <c r="V5163" s="16">
        <f>ROUNDUP((T5163+U5163+2*'Read Me'!$B$13)*(1+'Read Me'!$B$12),-1)</f>
        <v/>
      </c>
      <c r="W5163" s="16">
        <f>V5163*N5163*O5163</f>
        <v/>
      </c>
      <c r="X5163" s="12">
        <f>IF(LEFT(I5163,2)="MV",2*N5163*IF(L5163="1/C",O5163,1),0)</f>
        <v/>
      </c>
      <c r="Y5163" s="12">
        <f>IF(OR(LEFT(K5163,4)="LVAX",LEFT(K5163,6)="MV15AX",LEFT(K5163,4)="CTAX",LEFT(K5163,2)="W|"),2*N5163*O5163,0)</f>
        <v/>
      </c>
      <c r="Z5163" s="12" t="inlineStr">
        <is>
          <t>2 sets of 3 x 500 kcmil + ground (count TO VERIFY)</t>
        </is>
      </c>
      <c r="AA5163" s="12">
        <f>N5163*O5163</f>
        <v/>
      </c>
    </row>
    <row r="5164">
      <c r="A5164" s="12" t="inlineStr">
        <is>
          <t>I-P-0045</t>
        </is>
      </c>
      <c r="B5164" s="12" t="inlineStr">
        <is>
          <t>I</t>
        </is>
      </c>
      <c r="C5164" s="12" t="inlineStr">
        <is>
          <t>Modular / portable power</t>
        </is>
      </c>
      <c r="D5164" s="12" t="inlineStr">
        <is>
          <t>L1 GB-1.3 480 V generator leads to GBC-1</t>
        </is>
      </c>
      <c r="E5164" s="12" t="inlineStr">
        <is>
          <t>GB-1.3</t>
        </is>
      </c>
      <c r="F5164" s="12" t="inlineStr">
        <is>
          <t>GB-1.3: modular gas genset 500 kW, 480 V (block GB-1, unit 3 of 5)</t>
        </is>
      </c>
      <c r="G5164" s="12" t="inlineStr">
        <is>
          <t>GBC-1</t>
        </is>
      </c>
      <c r="H5164" s="12" t="inlineStr">
        <is>
          <t xml:space="preserve">GBC-1: block GB-1 generator collector box, 480 V outdoor switchboard, </t>
        </is>
      </c>
      <c r="I5164" s="12" t="inlineStr">
        <is>
          <t>LV 600 V</t>
        </is>
      </c>
      <c r="J5164" s="12" t="inlineStr">
        <is>
          <t>XHHW-2 600 V 1/C Cu (feeder sets in tray / duct)</t>
        </is>
      </c>
      <c r="K5164" s="12" t="inlineStr">
        <is>
          <t>LV1C|1/C|500</t>
        </is>
      </c>
      <c r="L5164" s="12" t="inlineStr">
        <is>
          <t>1/C</t>
        </is>
      </c>
      <c r="M5164" s="12" t="inlineStr">
        <is>
          <t>500 kcmil</t>
        </is>
      </c>
      <c r="N5164" s="12" t="n">
        <v>2</v>
      </c>
      <c r="O5164" s="12" t="n">
        <v>4</v>
      </c>
      <c r="P5164" s="12" t="n">
        <v>480</v>
      </c>
      <c r="Q5164" s="12" t="n">
        <v>500</v>
      </c>
      <c r="R5164" s="12" t="n">
        <v>601</v>
      </c>
      <c r="S5164" s="12" t="inlineStr">
        <is>
          <t>Surface</t>
        </is>
      </c>
      <c r="T5164" s="16" t="n">
        <v>24</v>
      </c>
      <c r="U5164" s="16" t="n">
        <v>28</v>
      </c>
      <c r="V5164" s="16">
        <f>ROUNDUP((T5164+U5164+2*'Read Me'!$B$13)*(1+'Read Me'!$B$12),-1)</f>
        <v/>
      </c>
      <c r="W5164" s="16">
        <f>V5164*N5164*O5164</f>
        <v/>
      </c>
      <c r="X5164" s="12">
        <f>IF(LEFT(I5164,2)="MV",2*N5164*IF(L5164="1/C",O5164,1),0)</f>
        <v/>
      </c>
      <c r="Y5164" s="12">
        <f>IF(OR(LEFT(K5164,4)="LVAX",LEFT(K5164,6)="MV15AX",LEFT(K5164,4)="CTAX",LEFT(K5164,2)="W|"),2*N5164*O5164,0)</f>
        <v/>
      </c>
      <c r="Z5164" s="12" t="inlineStr">
        <is>
          <t>2 sets of 3 x 500 kcmil + ground (count TO VERIFY)</t>
        </is>
      </c>
      <c r="AA5164" s="12">
        <f>N5164*O5164</f>
        <v/>
      </c>
    </row>
    <row r="5165">
      <c r="A5165" s="12" t="inlineStr">
        <is>
          <t>I-P-0046</t>
        </is>
      </c>
      <c r="B5165" s="12" t="inlineStr">
        <is>
          <t>I</t>
        </is>
      </c>
      <c r="C5165" s="12" t="inlineStr">
        <is>
          <t>Modular / portable power</t>
        </is>
      </c>
      <c r="D5165" s="12" t="inlineStr">
        <is>
          <t>L1 GB-1.4 480 V generator leads to GBC-1</t>
        </is>
      </c>
      <c r="E5165" s="12" t="inlineStr">
        <is>
          <t>GB-1.4</t>
        </is>
      </c>
      <c r="F5165" s="12" t="inlineStr">
        <is>
          <t>GB-1.4: modular gas genset 500 kW, 480 V (block GB-1, unit 4 of 5)</t>
        </is>
      </c>
      <c r="G5165" s="12" t="inlineStr">
        <is>
          <t>GBC-1</t>
        </is>
      </c>
      <c r="H5165" s="12" t="inlineStr">
        <is>
          <t xml:space="preserve">GBC-1: block GB-1 generator collector box, 480 V outdoor switchboard, </t>
        </is>
      </c>
      <c r="I5165" s="12" t="inlineStr">
        <is>
          <t>LV 600 V</t>
        </is>
      </c>
      <c r="J5165" s="12" t="inlineStr">
        <is>
          <t>XHHW-2 600 V 1/C Cu (feeder sets in tray / duct)</t>
        </is>
      </c>
      <c r="K5165" s="12" t="inlineStr">
        <is>
          <t>LV1C|1/C|500</t>
        </is>
      </c>
      <c r="L5165" s="12" t="inlineStr">
        <is>
          <t>1/C</t>
        </is>
      </c>
      <c r="M5165" s="12" t="inlineStr">
        <is>
          <t>500 kcmil</t>
        </is>
      </c>
      <c r="N5165" s="12" t="n">
        <v>2</v>
      </c>
      <c r="O5165" s="12" t="n">
        <v>4</v>
      </c>
      <c r="P5165" s="12" t="n">
        <v>480</v>
      </c>
      <c r="Q5165" s="12" t="n">
        <v>500</v>
      </c>
      <c r="R5165" s="12" t="n">
        <v>601</v>
      </c>
      <c r="S5165" s="12" t="inlineStr">
        <is>
          <t>Surface</t>
        </is>
      </c>
      <c r="T5165" s="16" t="n">
        <v>14</v>
      </c>
      <c r="U5165" s="16" t="n">
        <v>28</v>
      </c>
      <c r="V5165" s="16">
        <f>ROUNDUP((T5165+U5165+2*'Read Me'!$B$13)*(1+'Read Me'!$B$12),-1)</f>
        <v/>
      </c>
      <c r="W5165" s="16">
        <f>V5165*N5165*O5165</f>
        <v/>
      </c>
      <c r="X5165" s="12">
        <f>IF(LEFT(I5165,2)="MV",2*N5165*IF(L5165="1/C",O5165,1),0)</f>
        <v/>
      </c>
      <c r="Y5165" s="12">
        <f>IF(OR(LEFT(K5165,4)="LVAX",LEFT(K5165,6)="MV15AX",LEFT(K5165,4)="CTAX",LEFT(K5165,2)="W|"),2*N5165*O5165,0)</f>
        <v/>
      </c>
      <c r="Z5165" s="12" t="inlineStr">
        <is>
          <t>2 sets of 3 x 500 kcmil + ground (count TO VERIFY)</t>
        </is>
      </c>
      <c r="AA5165" s="12">
        <f>N5165*O5165</f>
        <v/>
      </c>
    </row>
    <row r="5166">
      <c r="A5166" s="12" t="inlineStr">
        <is>
          <t>I-P-0047</t>
        </is>
      </c>
      <c r="B5166" s="12" t="inlineStr">
        <is>
          <t>I</t>
        </is>
      </c>
      <c r="C5166" s="12" t="inlineStr">
        <is>
          <t>Modular / portable power</t>
        </is>
      </c>
      <c r="D5166" s="12" t="inlineStr">
        <is>
          <t>L1 GB-1.5 480 V generator leads to GBC-1</t>
        </is>
      </c>
      <c r="E5166" s="12" t="inlineStr">
        <is>
          <t>GB-1.5</t>
        </is>
      </c>
      <c r="F5166" s="12" t="inlineStr">
        <is>
          <t>GB-1.5: modular gas genset 500 kW, 480 V (block GB-1, unit 5 of 5)</t>
        </is>
      </c>
      <c r="G5166" s="12" t="inlineStr">
        <is>
          <t>GBC-1</t>
        </is>
      </c>
      <c r="H5166" s="12" t="inlineStr">
        <is>
          <t xml:space="preserve">GBC-1: block GB-1 generator collector box, 480 V outdoor switchboard, </t>
        </is>
      </c>
      <c r="I5166" s="12" t="inlineStr">
        <is>
          <t>LV 600 V</t>
        </is>
      </c>
      <c r="J5166" s="12" t="inlineStr">
        <is>
          <t>XHHW-2 600 V 1/C Cu (feeder sets in tray / duct)</t>
        </is>
      </c>
      <c r="K5166" s="12" t="inlineStr">
        <is>
          <t>LV1C|1/C|500</t>
        </is>
      </c>
      <c r="L5166" s="12" t="inlineStr">
        <is>
          <t>1/C</t>
        </is>
      </c>
      <c r="M5166" s="12" t="inlineStr">
        <is>
          <t>500 kcmil</t>
        </is>
      </c>
      <c r="N5166" s="12" t="n">
        <v>2</v>
      </c>
      <c r="O5166" s="12" t="n">
        <v>4</v>
      </c>
      <c r="P5166" s="12" t="n">
        <v>480</v>
      </c>
      <c r="Q5166" s="12" t="n">
        <v>500</v>
      </c>
      <c r="R5166" s="12" t="n">
        <v>601</v>
      </c>
      <c r="S5166" s="12" t="inlineStr">
        <is>
          <t>Riser</t>
        </is>
      </c>
      <c r="T5166" s="16" t="n">
        <v>2</v>
      </c>
      <c r="U5166" s="16" t="n">
        <v>28</v>
      </c>
      <c r="V5166" s="16">
        <f>ROUNDUP((T5166+U5166+2*'Read Me'!$B$13)*(1+'Read Me'!$B$12),-1)</f>
        <v/>
      </c>
      <c r="W5166" s="16">
        <f>V5166*N5166*O5166</f>
        <v/>
      </c>
      <c r="X5166" s="12">
        <f>IF(LEFT(I5166,2)="MV",2*N5166*IF(L5166="1/C",O5166,1),0)</f>
        <v/>
      </c>
      <c r="Y5166" s="12">
        <f>IF(OR(LEFT(K5166,4)="LVAX",LEFT(K5166,6)="MV15AX",LEFT(K5166,4)="CTAX",LEFT(K5166,2)="W|"),2*N5166*O5166,0)</f>
        <v/>
      </c>
      <c r="Z5166" s="12" t="inlineStr">
        <is>
          <t>2 sets of 3 x 500 kcmil + ground (count TO VERIFY)</t>
        </is>
      </c>
      <c r="AA5166" s="12">
        <f>N5166*O5166</f>
        <v/>
      </c>
    </row>
    <row r="5167">
      <c r="A5167" s="12" t="inlineStr">
        <is>
          <t>I-P-0048</t>
        </is>
      </c>
      <c r="B5167" s="12" t="inlineStr">
        <is>
          <t>I</t>
        </is>
      </c>
      <c r="C5167" s="12" t="inlineStr">
        <is>
          <t>Modular / portable power</t>
        </is>
      </c>
      <c r="D5167" s="12" t="inlineStr">
        <is>
          <t>L1 GB-2.1 480 V generator leads to GBC-2</t>
        </is>
      </c>
      <c r="E5167" s="12" t="inlineStr">
        <is>
          <t>GB-2.1</t>
        </is>
      </c>
      <c r="F5167" s="12" t="inlineStr">
        <is>
          <t>GB-2.1: modular gas genset 500 kW, 480 V (block GB-2, unit 1 of 5)</t>
        </is>
      </c>
      <c r="G5167" s="12" t="inlineStr">
        <is>
          <t>GBC-2</t>
        </is>
      </c>
      <c r="H5167" s="12" t="inlineStr">
        <is>
          <t xml:space="preserve">GBC-2: block GB-2 generator collector box, 480 V outdoor switchboard, </t>
        </is>
      </c>
      <c r="I5167" s="12" t="inlineStr">
        <is>
          <t>LV 600 V</t>
        </is>
      </c>
      <c r="J5167" s="12" t="inlineStr">
        <is>
          <t>XHHW-2 600 V 1/C Cu (feeder sets in tray / duct)</t>
        </is>
      </c>
      <c r="K5167" s="12" t="inlineStr">
        <is>
          <t>LV1C|1/C|500</t>
        </is>
      </c>
      <c r="L5167" s="12" t="inlineStr">
        <is>
          <t>1/C</t>
        </is>
      </c>
      <c r="M5167" s="12" t="inlineStr">
        <is>
          <t>500 kcmil</t>
        </is>
      </c>
      <c r="N5167" s="12" t="n">
        <v>2</v>
      </c>
      <c r="O5167" s="12" t="n">
        <v>4</v>
      </c>
      <c r="P5167" s="12" t="n">
        <v>480</v>
      </c>
      <c r="Q5167" s="12" t="n">
        <v>500</v>
      </c>
      <c r="R5167" s="12" t="n">
        <v>601</v>
      </c>
      <c r="S5167" s="12" t="inlineStr">
        <is>
          <t>Surface</t>
        </is>
      </c>
      <c r="T5167" s="16" t="n">
        <v>44</v>
      </c>
      <c r="U5167" s="16" t="n">
        <v>28</v>
      </c>
      <c r="V5167" s="16">
        <f>ROUNDUP((T5167+U5167+2*'Read Me'!$B$13)*(1+'Read Me'!$B$12),-1)</f>
        <v/>
      </c>
      <c r="W5167" s="16">
        <f>V5167*N5167*O5167</f>
        <v/>
      </c>
      <c r="X5167" s="12">
        <f>IF(LEFT(I5167,2)="MV",2*N5167*IF(L5167="1/C",O5167,1),0)</f>
        <v/>
      </c>
      <c r="Y5167" s="12">
        <f>IF(OR(LEFT(K5167,4)="LVAX",LEFT(K5167,6)="MV15AX",LEFT(K5167,4)="CTAX",LEFT(K5167,2)="W|"),2*N5167*O5167,0)</f>
        <v/>
      </c>
      <c r="Z5167" s="12" t="inlineStr">
        <is>
          <t>2 sets of 3 x 500 kcmil + ground (count TO VERIFY)</t>
        </is>
      </c>
      <c r="AA5167" s="12">
        <f>N5167*O5167</f>
        <v/>
      </c>
    </row>
    <row r="5168">
      <c r="A5168" s="12" t="inlineStr">
        <is>
          <t>I-P-0049</t>
        </is>
      </c>
      <c r="B5168" s="12" t="inlineStr">
        <is>
          <t>I</t>
        </is>
      </c>
      <c r="C5168" s="12" t="inlineStr">
        <is>
          <t>Modular / portable power</t>
        </is>
      </c>
      <c r="D5168" s="12" t="inlineStr">
        <is>
          <t>L1 GB-2.2 480 V generator leads to GBC-2</t>
        </is>
      </c>
      <c r="E5168" s="12" t="inlineStr">
        <is>
          <t>GB-2.2</t>
        </is>
      </c>
      <c r="F5168" s="12" t="inlineStr">
        <is>
          <t>GB-2.2: modular gas genset 500 kW, 480 V (block GB-2, unit 2 of 5)</t>
        </is>
      </c>
      <c r="G5168" s="12" t="inlineStr">
        <is>
          <t>GBC-2</t>
        </is>
      </c>
      <c r="H5168" s="12" t="inlineStr">
        <is>
          <t xml:space="preserve">GBC-2: block GB-2 generator collector box, 480 V outdoor switchboard, </t>
        </is>
      </c>
      <c r="I5168" s="12" t="inlineStr">
        <is>
          <t>LV 600 V</t>
        </is>
      </c>
      <c r="J5168" s="12" t="inlineStr">
        <is>
          <t>XHHW-2 600 V 1/C Cu (feeder sets in tray / duct)</t>
        </is>
      </c>
      <c r="K5168" s="12" t="inlineStr">
        <is>
          <t>LV1C|1/C|500</t>
        </is>
      </c>
      <c r="L5168" s="12" t="inlineStr">
        <is>
          <t>1/C</t>
        </is>
      </c>
      <c r="M5168" s="12" t="inlineStr">
        <is>
          <t>500 kcmil</t>
        </is>
      </c>
      <c r="N5168" s="12" t="n">
        <v>2</v>
      </c>
      <c r="O5168" s="12" t="n">
        <v>4</v>
      </c>
      <c r="P5168" s="12" t="n">
        <v>480</v>
      </c>
      <c r="Q5168" s="12" t="n">
        <v>500</v>
      </c>
      <c r="R5168" s="12" t="n">
        <v>601</v>
      </c>
      <c r="S5168" s="12" t="inlineStr">
        <is>
          <t>Surface</t>
        </is>
      </c>
      <c r="T5168" s="16" t="n">
        <v>34</v>
      </c>
      <c r="U5168" s="16" t="n">
        <v>28</v>
      </c>
      <c r="V5168" s="16">
        <f>ROUNDUP((T5168+U5168+2*'Read Me'!$B$13)*(1+'Read Me'!$B$12),-1)</f>
        <v/>
      </c>
      <c r="W5168" s="16">
        <f>V5168*N5168*O5168</f>
        <v/>
      </c>
      <c r="X5168" s="12">
        <f>IF(LEFT(I5168,2)="MV",2*N5168*IF(L5168="1/C",O5168,1),0)</f>
        <v/>
      </c>
      <c r="Y5168" s="12">
        <f>IF(OR(LEFT(K5168,4)="LVAX",LEFT(K5168,6)="MV15AX",LEFT(K5168,4)="CTAX",LEFT(K5168,2)="W|"),2*N5168*O5168,0)</f>
        <v/>
      </c>
      <c r="Z5168" s="12" t="inlineStr">
        <is>
          <t>2 sets of 3 x 500 kcmil + ground (count TO VERIFY)</t>
        </is>
      </c>
      <c r="AA5168" s="12">
        <f>N5168*O5168</f>
        <v/>
      </c>
    </row>
    <row r="5169">
      <c r="A5169" s="12" t="inlineStr">
        <is>
          <t>I-P-0050</t>
        </is>
      </c>
      <c r="B5169" s="12" t="inlineStr">
        <is>
          <t>I</t>
        </is>
      </c>
      <c r="C5169" s="12" t="inlineStr">
        <is>
          <t>Modular / portable power</t>
        </is>
      </c>
      <c r="D5169" s="12" t="inlineStr">
        <is>
          <t>L1 GB-2.3 480 V generator leads to GBC-2</t>
        </is>
      </c>
      <c r="E5169" s="12" t="inlineStr">
        <is>
          <t>GB-2.3</t>
        </is>
      </c>
      <c r="F5169" s="12" t="inlineStr">
        <is>
          <t>GB-2.3: modular gas genset 500 kW, 480 V (block GB-2, unit 3 of 5)</t>
        </is>
      </c>
      <c r="G5169" s="12" t="inlineStr">
        <is>
          <t>GBC-2</t>
        </is>
      </c>
      <c r="H5169" s="12" t="inlineStr">
        <is>
          <t xml:space="preserve">GBC-2: block GB-2 generator collector box, 480 V outdoor switchboard, </t>
        </is>
      </c>
      <c r="I5169" s="12" t="inlineStr">
        <is>
          <t>LV 600 V</t>
        </is>
      </c>
      <c r="J5169" s="12" t="inlineStr">
        <is>
          <t>XHHW-2 600 V 1/C Cu (feeder sets in tray / duct)</t>
        </is>
      </c>
      <c r="K5169" s="12" t="inlineStr">
        <is>
          <t>LV1C|1/C|500</t>
        </is>
      </c>
      <c r="L5169" s="12" t="inlineStr">
        <is>
          <t>1/C</t>
        </is>
      </c>
      <c r="M5169" s="12" t="inlineStr">
        <is>
          <t>500 kcmil</t>
        </is>
      </c>
      <c r="N5169" s="12" t="n">
        <v>2</v>
      </c>
      <c r="O5169" s="12" t="n">
        <v>4</v>
      </c>
      <c r="P5169" s="12" t="n">
        <v>480</v>
      </c>
      <c r="Q5169" s="12" t="n">
        <v>500</v>
      </c>
      <c r="R5169" s="12" t="n">
        <v>601</v>
      </c>
      <c r="S5169" s="12" t="inlineStr">
        <is>
          <t>Surface</t>
        </is>
      </c>
      <c r="T5169" s="16" t="n">
        <v>24</v>
      </c>
      <c r="U5169" s="16" t="n">
        <v>28</v>
      </c>
      <c r="V5169" s="16">
        <f>ROUNDUP((T5169+U5169+2*'Read Me'!$B$13)*(1+'Read Me'!$B$12),-1)</f>
        <v/>
      </c>
      <c r="W5169" s="16">
        <f>V5169*N5169*O5169</f>
        <v/>
      </c>
      <c r="X5169" s="12">
        <f>IF(LEFT(I5169,2)="MV",2*N5169*IF(L5169="1/C",O5169,1),0)</f>
        <v/>
      </c>
      <c r="Y5169" s="12">
        <f>IF(OR(LEFT(K5169,4)="LVAX",LEFT(K5169,6)="MV15AX",LEFT(K5169,4)="CTAX",LEFT(K5169,2)="W|"),2*N5169*O5169,0)</f>
        <v/>
      </c>
      <c r="Z5169" s="12" t="inlineStr">
        <is>
          <t>2 sets of 3 x 500 kcmil + ground (count TO VERIFY)</t>
        </is>
      </c>
      <c r="AA5169" s="12">
        <f>N5169*O5169</f>
        <v/>
      </c>
    </row>
    <row r="5170">
      <c r="A5170" s="12" t="inlineStr">
        <is>
          <t>I-P-0051</t>
        </is>
      </c>
      <c r="B5170" s="12" t="inlineStr">
        <is>
          <t>I</t>
        </is>
      </c>
      <c r="C5170" s="12" t="inlineStr">
        <is>
          <t>Modular / portable power</t>
        </is>
      </c>
      <c r="D5170" s="12" t="inlineStr">
        <is>
          <t>L1 GB-2.4 480 V generator leads to GBC-2</t>
        </is>
      </c>
      <c r="E5170" s="12" t="inlineStr">
        <is>
          <t>GB-2.4</t>
        </is>
      </c>
      <c r="F5170" s="12" t="inlineStr">
        <is>
          <t>GB-2.4: modular gas genset 500 kW, 480 V (block GB-2, unit 4 of 5)</t>
        </is>
      </c>
      <c r="G5170" s="12" t="inlineStr">
        <is>
          <t>GBC-2</t>
        </is>
      </c>
      <c r="H5170" s="12" t="inlineStr">
        <is>
          <t xml:space="preserve">GBC-2: block GB-2 generator collector box, 480 V outdoor switchboard, </t>
        </is>
      </c>
      <c r="I5170" s="12" t="inlineStr">
        <is>
          <t>LV 600 V</t>
        </is>
      </c>
      <c r="J5170" s="12" t="inlineStr">
        <is>
          <t>XHHW-2 600 V 1/C Cu (feeder sets in tray / duct)</t>
        </is>
      </c>
      <c r="K5170" s="12" t="inlineStr">
        <is>
          <t>LV1C|1/C|500</t>
        </is>
      </c>
      <c r="L5170" s="12" t="inlineStr">
        <is>
          <t>1/C</t>
        </is>
      </c>
      <c r="M5170" s="12" t="inlineStr">
        <is>
          <t>500 kcmil</t>
        </is>
      </c>
      <c r="N5170" s="12" t="n">
        <v>2</v>
      </c>
      <c r="O5170" s="12" t="n">
        <v>4</v>
      </c>
      <c r="P5170" s="12" t="n">
        <v>480</v>
      </c>
      <c r="Q5170" s="12" t="n">
        <v>500</v>
      </c>
      <c r="R5170" s="12" t="n">
        <v>601</v>
      </c>
      <c r="S5170" s="12" t="inlineStr">
        <is>
          <t>Surface</t>
        </is>
      </c>
      <c r="T5170" s="16" t="n">
        <v>14</v>
      </c>
      <c r="U5170" s="16" t="n">
        <v>28</v>
      </c>
      <c r="V5170" s="16">
        <f>ROUNDUP((T5170+U5170+2*'Read Me'!$B$13)*(1+'Read Me'!$B$12),-1)</f>
        <v/>
      </c>
      <c r="W5170" s="16">
        <f>V5170*N5170*O5170</f>
        <v/>
      </c>
      <c r="X5170" s="12">
        <f>IF(LEFT(I5170,2)="MV",2*N5170*IF(L5170="1/C",O5170,1),0)</f>
        <v/>
      </c>
      <c r="Y5170" s="12">
        <f>IF(OR(LEFT(K5170,4)="LVAX",LEFT(K5170,6)="MV15AX",LEFT(K5170,4)="CTAX",LEFT(K5170,2)="W|"),2*N5170*O5170,0)</f>
        <v/>
      </c>
      <c r="Z5170" s="12" t="inlineStr">
        <is>
          <t>2 sets of 3 x 500 kcmil + ground (count TO VERIFY)</t>
        </is>
      </c>
      <c r="AA5170" s="12">
        <f>N5170*O5170</f>
        <v/>
      </c>
    </row>
    <row r="5171">
      <c r="A5171" s="12" t="inlineStr">
        <is>
          <t>I-P-0052</t>
        </is>
      </c>
      <c r="B5171" s="12" t="inlineStr">
        <is>
          <t>I</t>
        </is>
      </c>
      <c r="C5171" s="12" t="inlineStr">
        <is>
          <t>Modular / portable power</t>
        </is>
      </c>
      <c r="D5171" s="12" t="inlineStr">
        <is>
          <t>L1 GB-2.5 480 V generator leads to GBC-2</t>
        </is>
      </c>
      <c r="E5171" s="12" t="inlineStr">
        <is>
          <t>GB-2.5</t>
        </is>
      </c>
      <c r="F5171" s="12" t="inlineStr">
        <is>
          <t>GB-2.5: modular gas genset 500 kW, 480 V (block GB-2, unit 5 of 5)</t>
        </is>
      </c>
      <c r="G5171" s="12" t="inlineStr">
        <is>
          <t>GBC-2</t>
        </is>
      </c>
      <c r="H5171" s="12" t="inlineStr">
        <is>
          <t xml:space="preserve">GBC-2: block GB-2 generator collector box, 480 V outdoor switchboard, </t>
        </is>
      </c>
      <c r="I5171" s="12" t="inlineStr">
        <is>
          <t>LV 600 V</t>
        </is>
      </c>
      <c r="J5171" s="12" t="inlineStr">
        <is>
          <t>XHHW-2 600 V 1/C Cu (feeder sets in tray / duct)</t>
        </is>
      </c>
      <c r="K5171" s="12" t="inlineStr">
        <is>
          <t>LV1C|1/C|500</t>
        </is>
      </c>
      <c r="L5171" s="12" t="inlineStr">
        <is>
          <t>1/C</t>
        </is>
      </c>
      <c r="M5171" s="12" t="inlineStr">
        <is>
          <t>500 kcmil</t>
        </is>
      </c>
      <c r="N5171" s="12" t="n">
        <v>2</v>
      </c>
      <c r="O5171" s="12" t="n">
        <v>4</v>
      </c>
      <c r="P5171" s="12" t="n">
        <v>480</v>
      </c>
      <c r="Q5171" s="12" t="n">
        <v>500</v>
      </c>
      <c r="R5171" s="12" t="n">
        <v>601</v>
      </c>
      <c r="S5171" s="12" t="inlineStr">
        <is>
          <t>Riser</t>
        </is>
      </c>
      <c r="T5171" s="16" t="n">
        <v>2</v>
      </c>
      <c r="U5171" s="16" t="n">
        <v>28</v>
      </c>
      <c r="V5171" s="16">
        <f>ROUNDUP((T5171+U5171+2*'Read Me'!$B$13)*(1+'Read Me'!$B$12),-1)</f>
        <v/>
      </c>
      <c r="W5171" s="16">
        <f>V5171*N5171*O5171</f>
        <v/>
      </c>
      <c r="X5171" s="12">
        <f>IF(LEFT(I5171,2)="MV",2*N5171*IF(L5171="1/C",O5171,1),0)</f>
        <v/>
      </c>
      <c r="Y5171" s="12">
        <f>IF(OR(LEFT(K5171,4)="LVAX",LEFT(K5171,6)="MV15AX",LEFT(K5171,4)="CTAX",LEFT(K5171,2)="W|"),2*N5171*O5171,0)</f>
        <v/>
      </c>
      <c r="Z5171" s="12" t="inlineStr">
        <is>
          <t>2 sets of 3 x 500 kcmil + ground (count TO VERIFY)</t>
        </is>
      </c>
      <c r="AA5171" s="12">
        <f>N5171*O5171</f>
        <v/>
      </c>
    </row>
    <row r="5172">
      <c r="A5172" s="12" t="inlineStr">
        <is>
          <t>I-P-0053</t>
        </is>
      </c>
      <c r="B5172" s="12" t="inlineStr">
        <is>
          <t>I</t>
        </is>
      </c>
      <c r="C5172" s="12" t="inlineStr">
        <is>
          <t>Modular / portable power</t>
        </is>
      </c>
      <c r="D5172" s="12" t="inlineStr">
        <is>
          <t>L1 GB-3.1 480 V generator leads to GBC-3</t>
        </is>
      </c>
      <c r="E5172" s="12" t="inlineStr">
        <is>
          <t>GB-3.1</t>
        </is>
      </c>
      <c r="F5172" s="12" t="inlineStr">
        <is>
          <t>GB-3.1: modular gas genset 500 kW, 480 V (block GB-3, unit 1 of 5)</t>
        </is>
      </c>
      <c r="G5172" s="12" t="inlineStr">
        <is>
          <t>GBC-3</t>
        </is>
      </c>
      <c r="H5172" s="12" t="inlineStr">
        <is>
          <t xml:space="preserve">GBC-3: block GB-3 generator collector box, 480 V outdoor switchboard, </t>
        </is>
      </c>
      <c r="I5172" s="12" t="inlineStr">
        <is>
          <t>LV 600 V</t>
        </is>
      </c>
      <c r="J5172" s="12" t="inlineStr">
        <is>
          <t>XHHW-2 600 V 1/C Cu (feeder sets in tray / duct)</t>
        </is>
      </c>
      <c r="K5172" s="12" t="inlineStr">
        <is>
          <t>LV1C|1/C|500</t>
        </is>
      </c>
      <c r="L5172" s="12" t="inlineStr">
        <is>
          <t>1/C</t>
        </is>
      </c>
      <c r="M5172" s="12" t="inlineStr">
        <is>
          <t>500 kcmil</t>
        </is>
      </c>
      <c r="N5172" s="12" t="n">
        <v>2</v>
      </c>
      <c r="O5172" s="12" t="n">
        <v>4</v>
      </c>
      <c r="P5172" s="12" t="n">
        <v>480</v>
      </c>
      <c r="Q5172" s="12" t="n">
        <v>500</v>
      </c>
      <c r="R5172" s="12" t="n">
        <v>601</v>
      </c>
      <c r="S5172" s="12" t="inlineStr">
        <is>
          <t>Surface</t>
        </is>
      </c>
      <c r="T5172" s="16" t="n">
        <v>44</v>
      </c>
      <c r="U5172" s="16" t="n">
        <v>28</v>
      </c>
      <c r="V5172" s="16">
        <f>ROUNDUP((T5172+U5172+2*'Read Me'!$B$13)*(1+'Read Me'!$B$12),-1)</f>
        <v/>
      </c>
      <c r="W5172" s="16">
        <f>V5172*N5172*O5172</f>
        <v/>
      </c>
      <c r="X5172" s="12">
        <f>IF(LEFT(I5172,2)="MV",2*N5172*IF(L5172="1/C",O5172,1),0)</f>
        <v/>
      </c>
      <c r="Y5172" s="12">
        <f>IF(OR(LEFT(K5172,4)="LVAX",LEFT(K5172,6)="MV15AX",LEFT(K5172,4)="CTAX",LEFT(K5172,2)="W|"),2*N5172*O5172,0)</f>
        <v/>
      </c>
      <c r="Z5172" s="12" t="inlineStr">
        <is>
          <t>2 sets of 3 x 500 kcmil + ground (count TO VERIFY)</t>
        </is>
      </c>
      <c r="AA5172" s="12">
        <f>N5172*O5172</f>
        <v/>
      </c>
    </row>
    <row r="5173">
      <c r="A5173" s="12" t="inlineStr">
        <is>
          <t>I-P-0054</t>
        </is>
      </c>
      <c r="B5173" s="12" t="inlineStr">
        <is>
          <t>I</t>
        </is>
      </c>
      <c r="C5173" s="12" t="inlineStr">
        <is>
          <t>Modular / portable power</t>
        </is>
      </c>
      <c r="D5173" s="12" t="inlineStr">
        <is>
          <t>L1 GB-3.2 480 V generator leads to GBC-3</t>
        </is>
      </c>
      <c r="E5173" s="12" t="inlineStr">
        <is>
          <t>GB-3.2</t>
        </is>
      </c>
      <c r="F5173" s="12" t="inlineStr">
        <is>
          <t>GB-3.2: modular gas genset 500 kW, 480 V (block GB-3, unit 2 of 5)</t>
        </is>
      </c>
      <c r="G5173" s="12" t="inlineStr">
        <is>
          <t>GBC-3</t>
        </is>
      </c>
      <c r="H5173" s="12" t="inlineStr">
        <is>
          <t xml:space="preserve">GBC-3: block GB-3 generator collector box, 480 V outdoor switchboard, </t>
        </is>
      </c>
      <c r="I5173" s="12" t="inlineStr">
        <is>
          <t>LV 600 V</t>
        </is>
      </c>
      <c r="J5173" s="12" t="inlineStr">
        <is>
          <t>XHHW-2 600 V 1/C Cu (feeder sets in tray / duct)</t>
        </is>
      </c>
      <c r="K5173" s="12" t="inlineStr">
        <is>
          <t>LV1C|1/C|500</t>
        </is>
      </c>
      <c r="L5173" s="12" t="inlineStr">
        <is>
          <t>1/C</t>
        </is>
      </c>
      <c r="M5173" s="12" t="inlineStr">
        <is>
          <t>500 kcmil</t>
        </is>
      </c>
      <c r="N5173" s="12" t="n">
        <v>2</v>
      </c>
      <c r="O5173" s="12" t="n">
        <v>4</v>
      </c>
      <c r="P5173" s="12" t="n">
        <v>480</v>
      </c>
      <c r="Q5173" s="12" t="n">
        <v>500</v>
      </c>
      <c r="R5173" s="12" t="n">
        <v>601</v>
      </c>
      <c r="S5173" s="12" t="inlineStr">
        <is>
          <t>Surface</t>
        </is>
      </c>
      <c r="T5173" s="16" t="n">
        <v>34</v>
      </c>
      <c r="U5173" s="16" t="n">
        <v>28</v>
      </c>
      <c r="V5173" s="16">
        <f>ROUNDUP((T5173+U5173+2*'Read Me'!$B$13)*(1+'Read Me'!$B$12),-1)</f>
        <v/>
      </c>
      <c r="W5173" s="16">
        <f>V5173*N5173*O5173</f>
        <v/>
      </c>
      <c r="X5173" s="12">
        <f>IF(LEFT(I5173,2)="MV",2*N5173*IF(L5173="1/C",O5173,1),0)</f>
        <v/>
      </c>
      <c r="Y5173" s="12">
        <f>IF(OR(LEFT(K5173,4)="LVAX",LEFT(K5173,6)="MV15AX",LEFT(K5173,4)="CTAX",LEFT(K5173,2)="W|"),2*N5173*O5173,0)</f>
        <v/>
      </c>
      <c r="Z5173" s="12" t="inlineStr">
        <is>
          <t>2 sets of 3 x 500 kcmil + ground (count TO VERIFY)</t>
        </is>
      </c>
      <c r="AA5173" s="12">
        <f>N5173*O5173</f>
        <v/>
      </c>
    </row>
    <row r="5174">
      <c r="A5174" s="12" t="inlineStr">
        <is>
          <t>I-P-0055</t>
        </is>
      </c>
      <c r="B5174" s="12" t="inlineStr">
        <is>
          <t>I</t>
        </is>
      </c>
      <c r="C5174" s="12" t="inlineStr">
        <is>
          <t>Modular / portable power</t>
        </is>
      </c>
      <c r="D5174" s="12" t="inlineStr">
        <is>
          <t>L1 GB-3.3 480 V generator leads to GBC-3</t>
        </is>
      </c>
      <c r="E5174" s="12" t="inlineStr">
        <is>
          <t>GB-3.3</t>
        </is>
      </c>
      <c r="F5174" s="12" t="inlineStr">
        <is>
          <t>GB-3.3: modular gas genset 500 kW, 480 V (block GB-3, unit 3 of 5)</t>
        </is>
      </c>
      <c r="G5174" s="12" t="inlineStr">
        <is>
          <t>GBC-3</t>
        </is>
      </c>
      <c r="H5174" s="12" t="inlineStr">
        <is>
          <t xml:space="preserve">GBC-3: block GB-3 generator collector box, 480 V outdoor switchboard, </t>
        </is>
      </c>
      <c r="I5174" s="12" t="inlineStr">
        <is>
          <t>LV 600 V</t>
        </is>
      </c>
      <c r="J5174" s="12" t="inlineStr">
        <is>
          <t>XHHW-2 600 V 1/C Cu (feeder sets in tray / duct)</t>
        </is>
      </c>
      <c r="K5174" s="12" t="inlineStr">
        <is>
          <t>LV1C|1/C|500</t>
        </is>
      </c>
      <c r="L5174" s="12" t="inlineStr">
        <is>
          <t>1/C</t>
        </is>
      </c>
      <c r="M5174" s="12" t="inlineStr">
        <is>
          <t>500 kcmil</t>
        </is>
      </c>
      <c r="N5174" s="12" t="n">
        <v>2</v>
      </c>
      <c r="O5174" s="12" t="n">
        <v>4</v>
      </c>
      <c r="P5174" s="12" t="n">
        <v>480</v>
      </c>
      <c r="Q5174" s="12" t="n">
        <v>500</v>
      </c>
      <c r="R5174" s="12" t="n">
        <v>601</v>
      </c>
      <c r="S5174" s="12" t="inlineStr">
        <is>
          <t>Surface</t>
        </is>
      </c>
      <c r="T5174" s="16" t="n">
        <v>24</v>
      </c>
      <c r="U5174" s="16" t="n">
        <v>28</v>
      </c>
      <c r="V5174" s="16">
        <f>ROUNDUP((T5174+U5174+2*'Read Me'!$B$13)*(1+'Read Me'!$B$12),-1)</f>
        <v/>
      </c>
      <c r="W5174" s="16">
        <f>V5174*N5174*O5174</f>
        <v/>
      </c>
      <c r="X5174" s="12">
        <f>IF(LEFT(I5174,2)="MV",2*N5174*IF(L5174="1/C",O5174,1),0)</f>
        <v/>
      </c>
      <c r="Y5174" s="12">
        <f>IF(OR(LEFT(K5174,4)="LVAX",LEFT(K5174,6)="MV15AX",LEFT(K5174,4)="CTAX",LEFT(K5174,2)="W|"),2*N5174*O5174,0)</f>
        <v/>
      </c>
      <c r="Z5174" s="12" t="inlineStr">
        <is>
          <t>2 sets of 3 x 500 kcmil + ground (count TO VERIFY)</t>
        </is>
      </c>
      <c r="AA5174" s="12">
        <f>N5174*O5174</f>
        <v/>
      </c>
    </row>
    <row r="5175">
      <c r="A5175" s="12" t="inlineStr">
        <is>
          <t>I-P-0056</t>
        </is>
      </c>
      <c r="B5175" s="12" t="inlineStr">
        <is>
          <t>I</t>
        </is>
      </c>
      <c r="C5175" s="12" t="inlineStr">
        <is>
          <t>Modular / portable power</t>
        </is>
      </c>
      <c r="D5175" s="12" t="inlineStr">
        <is>
          <t>L1 GB-3.4 480 V generator leads to GBC-3</t>
        </is>
      </c>
      <c r="E5175" s="12" t="inlineStr">
        <is>
          <t>GB-3.4</t>
        </is>
      </c>
      <c r="F5175" s="12" t="inlineStr">
        <is>
          <t>GB-3.4: modular gas genset 500 kW, 480 V (block GB-3, unit 4 of 5)</t>
        </is>
      </c>
      <c r="G5175" s="12" t="inlineStr">
        <is>
          <t>GBC-3</t>
        </is>
      </c>
      <c r="H5175" s="12" t="inlineStr">
        <is>
          <t xml:space="preserve">GBC-3: block GB-3 generator collector box, 480 V outdoor switchboard, </t>
        </is>
      </c>
      <c r="I5175" s="12" t="inlineStr">
        <is>
          <t>LV 600 V</t>
        </is>
      </c>
      <c r="J5175" s="12" t="inlineStr">
        <is>
          <t>XHHW-2 600 V 1/C Cu (feeder sets in tray / duct)</t>
        </is>
      </c>
      <c r="K5175" s="12" t="inlineStr">
        <is>
          <t>LV1C|1/C|500</t>
        </is>
      </c>
      <c r="L5175" s="12" t="inlineStr">
        <is>
          <t>1/C</t>
        </is>
      </c>
      <c r="M5175" s="12" t="inlineStr">
        <is>
          <t>500 kcmil</t>
        </is>
      </c>
      <c r="N5175" s="12" t="n">
        <v>2</v>
      </c>
      <c r="O5175" s="12" t="n">
        <v>4</v>
      </c>
      <c r="P5175" s="12" t="n">
        <v>480</v>
      </c>
      <c r="Q5175" s="12" t="n">
        <v>500</v>
      </c>
      <c r="R5175" s="12" t="n">
        <v>601</v>
      </c>
      <c r="S5175" s="12" t="inlineStr">
        <is>
          <t>Surface</t>
        </is>
      </c>
      <c r="T5175" s="16" t="n">
        <v>14</v>
      </c>
      <c r="U5175" s="16" t="n">
        <v>28</v>
      </c>
      <c r="V5175" s="16">
        <f>ROUNDUP((T5175+U5175+2*'Read Me'!$B$13)*(1+'Read Me'!$B$12),-1)</f>
        <v/>
      </c>
      <c r="W5175" s="16">
        <f>V5175*N5175*O5175</f>
        <v/>
      </c>
      <c r="X5175" s="12">
        <f>IF(LEFT(I5175,2)="MV",2*N5175*IF(L5175="1/C",O5175,1),0)</f>
        <v/>
      </c>
      <c r="Y5175" s="12">
        <f>IF(OR(LEFT(K5175,4)="LVAX",LEFT(K5175,6)="MV15AX",LEFT(K5175,4)="CTAX",LEFT(K5175,2)="W|"),2*N5175*O5175,0)</f>
        <v/>
      </c>
      <c r="Z5175" s="12" t="inlineStr">
        <is>
          <t>2 sets of 3 x 500 kcmil + ground (count TO VERIFY)</t>
        </is>
      </c>
      <c r="AA5175" s="12">
        <f>N5175*O5175</f>
        <v/>
      </c>
    </row>
    <row r="5176">
      <c r="A5176" s="12" t="inlineStr">
        <is>
          <t>I-P-0057</t>
        </is>
      </c>
      <c r="B5176" s="12" t="inlineStr">
        <is>
          <t>I</t>
        </is>
      </c>
      <c r="C5176" s="12" t="inlineStr">
        <is>
          <t>Modular / portable power</t>
        </is>
      </c>
      <c r="D5176" s="12" t="inlineStr">
        <is>
          <t>L1 GB-3.5 480 V generator leads to GBC-3</t>
        </is>
      </c>
      <c r="E5176" s="12" t="inlineStr">
        <is>
          <t>GB-3.5</t>
        </is>
      </c>
      <c r="F5176" s="12" t="inlineStr">
        <is>
          <t>GB-3.5: modular gas genset 500 kW, 480 V (block GB-3, unit 5 of 5)</t>
        </is>
      </c>
      <c r="G5176" s="12" t="inlineStr">
        <is>
          <t>GBC-3</t>
        </is>
      </c>
      <c r="H5176" s="12" t="inlineStr">
        <is>
          <t xml:space="preserve">GBC-3: block GB-3 generator collector box, 480 V outdoor switchboard, </t>
        </is>
      </c>
      <c r="I5176" s="12" t="inlineStr">
        <is>
          <t>LV 600 V</t>
        </is>
      </c>
      <c r="J5176" s="12" t="inlineStr">
        <is>
          <t>XHHW-2 600 V 1/C Cu (feeder sets in tray / duct)</t>
        </is>
      </c>
      <c r="K5176" s="12" t="inlineStr">
        <is>
          <t>LV1C|1/C|500</t>
        </is>
      </c>
      <c r="L5176" s="12" t="inlineStr">
        <is>
          <t>1/C</t>
        </is>
      </c>
      <c r="M5176" s="12" t="inlineStr">
        <is>
          <t>500 kcmil</t>
        </is>
      </c>
      <c r="N5176" s="12" t="n">
        <v>2</v>
      </c>
      <c r="O5176" s="12" t="n">
        <v>4</v>
      </c>
      <c r="P5176" s="12" t="n">
        <v>480</v>
      </c>
      <c r="Q5176" s="12" t="n">
        <v>500</v>
      </c>
      <c r="R5176" s="12" t="n">
        <v>601</v>
      </c>
      <c r="S5176" s="12" t="inlineStr">
        <is>
          <t>Riser</t>
        </is>
      </c>
      <c r="T5176" s="16" t="n">
        <v>2</v>
      </c>
      <c r="U5176" s="16" t="n">
        <v>28</v>
      </c>
      <c r="V5176" s="16">
        <f>ROUNDUP((T5176+U5176+2*'Read Me'!$B$13)*(1+'Read Me'!$B$12),-1)</f>
        <v/>
      </c>
      <c r="W5176" s="16">
        <f>V5176*N5176*O5176</f>
        <v/>
      </c>
      <c r="X5176" s="12">
        <f>IF(LEFT(I5176,2)="MV",2*N5176*IF(L5176="1/C",O5176,1),0)</f>
        <v/>
      </c>
      <c r="Y5176" s="12">
        <f>IF(OR(LEFT(K5176,4)="LVAX",LEFT(K5176,6)="MV15AX",LEFT(K5176,4)="CTAX",LEFT(K5176,2)="W|"),2*N5176*O5176,0)</f>
        <v/>
      </c>
      <c r="Z5176" s="12" t="inlineStr">
        <is>
          <t>2 sets of 3 x 500 kcmil + ground (count TO VERIFY)</t>
        </is>
      </c>
      <c r="AA5176" s="12">
        <f>N5176*O5176</f>
        <v/>
      </c>
    </row>
    <row r="5177">
      <c r="A5177" s="12" t="inlineStr">
        <is>
          <t>I-P-0058</t>
        </is>
      </c>
      <c r="B5177" s="12" t="inlineStr">
        <is>
          <t>I</t>
        </is>
      </c>
      <c r="C5177" s="12" t="inlineStr">
        <is>
          <t>Modular / portable power</t>
        </is>
      </c>
      <c r="D5177" s="12" t="inlineStr">
        <is>
          <t>L1 GB-4.1 480 V generator leads to GBC-4</t>
        </is>
      </c>
      <c r="E5177" s="12" t="inlineStr">
        <is>
          <t>GB-4.1</t>
        </is>
      </c>
      <c r="F5177" s="12" t="inlineStr">
        <is>
          <t>GB-4.1: modular gas genset 500 kW, 480 V (block GB-4, unit 1 of 5)</t>
        </is>
      </c>
      <c r="G5177" s="12" t="inlineStr">
        <is>
          <t>GBC-4</t>
        </is>
      </c>
      <c r="H5177" s="12" t="inlineStr">
        <is>
          <t xml:space="preserve">GBC-4: block GB-4 generator collector box, 480 V outdoor switchboard, </t>
        </is>
      </c>
      <c r="I5177" s="12" t="inlineStr">
        <is>
          <t>LV 600 V</t>
        </is>
      </c>
      <c r="J5177" s="12" t="inlineStr">
        <is>
          <t>XHHW-2 600 V 1/C Cu (feeder sets in tray / duct)</t>
        </is>
      </c>
      <c r="K5177" s="12" t="inlineStr">
        <is>
          <t>LV1C|1/C|500</t>
        </is>
      </c>
      <c r="L5177" s="12" t="inlineStr">
        <is>
          <t>1/C</t>
        </is>
      </c>
      <c r="M5177" s="12" t="inlineStr">
        <is>
          <t>500 kcmil</t>
        </is>
      </c>
      <c r="N5177" s="12" t="n">
        <v>2</v>
      </c>
      <c r="O5177" s="12" t="n">
        <v>4</v>
      </c>
      <c r="P5177" s="12" t="n">
        <v>480</v>
      </c>
      <c r="Q5177" s="12" t="n">
        <v>500</v>
      </c>
      <c r="R5177" s="12" t="n">
        <v>601</v>
      </c>
      <c r="S5177" s="12" t="inlineStr">
        <is>
          <t>Surface</t>
        </is>
      </c>
      <c r="T5177" s="16" t="n">
        <v>42</v>
      </c>
      <c r="U5177" s="16" t="n">
        <v>28</v>
      </c>
      <c r="V5177" s="16">
        <f>ROUNDUP((T5177+U5177+2*'Read Me'!$B$13)*(1+'Read Me'!$B$12),-1)</f>
        <v/>
      </c>
      <c r="W5177" s="16">
        <f>V5177*N5177*O5177</f>
        <v/>
      </c>
      <c r="X5177" s="12">
        <f>IF(LEFT(I5177,2)="MV",2*N5177*IF(L5177="1/C",O5177,1),0)</f>
        <v/>
      </c>
      <c r="Y5177" s="12">
        <f>IF(OR(LEFT(K5177,4)="LVAX",LEFT(K5177,6)="MV15AX",LEFT(K5177,4)="CTAX",LEFT(K5177,2)="W|"),2*N5177*O5177,0)</f>
        <v/>
      </c>
      <c r="Z5177" s="12" t="inlineStr">
        <is>
          <t>2 sets of 3 x 500 kcmil + ground (count TO VERIFY)</t>
        </is>
      </c>
      <c r="AA5177" s="12">
        <f>N5177*O5177</f>
        <v/>
      </c>
    </row>
    <row r="5178">
      <c r="A5178" s="12" t="inlineStr">
        <is>
          <t>I-P-0059</t>
        </is>
      </c>
      <c r="B5178" s="12" t="inlineStr">
        <is>
          <t>I</t>
        </is>
      </c>
      <c r="C5178" s="12" t="inlineStr">
        <is>
          <t>Modular / portable power</t>
        </is>
      </c>
      <c r="D5178" s="12" t="inlineStr">
        <is>
          <t>L1 GB-4.2 480 V generator leads to GBC-4</t>
        </is>
      </c>
      <c r="E5178" s="12" t="inlineStr">
        <is>
          <t>GB-4.2</t>
        </is>
      </c>
      <c r="F5178" s="12" t="inlineStr">
        <is>
          <t>GB-4.2: modular gas genset 500 kW, 480 V (block GB-4, unit 2 of 5)</t>
        </is>
      </c>
      <c r="G5178" s="12" t="inlineStr">
        <is>
          <t>GBC-4</t>
        </is>
      </c>
      <c r="H5178" s="12" t="inlineStr">
        <is>
          <t xml:space="preserve">GBC-4: block GB-4 generator collector box, 480 V outdoor switchboard, </t>
        </is>
      </c>
      <c r="I5178" s="12" t="inlineStr">
        <is>
          <t>LV 600 V</t>
        </is>
      </c>
      <c r="J5178" s="12" t="inlineStr">
        <is>
          <t>XHHW-2 600 V 1/C Cu (feeder sets in tray / duct)</t>
        </is>
      </c>
      <c r="K5178" s="12" t="inlineStr">
        <is>
          <t>LV1C|1/C|500</t>
        </is>
      </c>
      <c r="L5178" s="12" t="inlineStr">
        <is>
          <t>1/C</t>
        </is>
      </c>
      <c r="M5178" s="12" t="inlineStr">
        <is>
          <t>500 kcmil</t>
        </is>
      </c>
      <c r="N5178" s="12" t="n">
        <v>2</v>
      </c>
      <c r="O5178" s="12" t="n">
        <v>4</v>
      </c>
      <c r="P5178" s="12" t="n">
        <v>480</v>
      </c>
      <c r="Q5178" s="12" t="n">
        <v>500</v>
      </c>
      <c r="R5178" s="12" t="n">
        <v>601</v>
      </c>
      <c r="S5178" s="12" t="inlineStr">
        <is>
          <t>Surface</t>
        </is>
      </c>
      <c r="T5178" s="16" t="n">
        <v>34</v>
      </c>
      <c r="U5178" s="16" t="n">
        <v>28</v>
      </c>
      <c r="V5178" s="16">
        <f>ROUNDUP((T5178+U5178+2*'Read Me'!$B$13)*(1+'Read Me'!$B$12),-1)</f>
        <v/>
      </c>
      <c r="W5178" s="16">
        <f>V5178*N5178*O5178</f>
        <v/>
      </c>
      <c r="X5178" s="12">
        <f>IF(LEFT(I5178,2)="MV",2*N5178*IF(L5178="1/C",O5178,1),0)</f>
        <v/>
      </c>
      <c r="Y5178" s="12">
        <f>IF(OR(LEFT(K5178,4)="LVAX",LEFT(K5178,6)="MV15AX",LEFT(K5178,4)="CTAX",LEFT(K5178,2)="W|"),2*N5178*O5178,0)</f>
        <v/>
      </c>
      <c r="Z5178" s="12" t="inlineStr">
        <is>
          <t>2 sets of 3 x 500 kcmil + ground (count TO VERIFY)</t>
        </is>
      </c>
      <c r="AA5178" s="12">
        <f>N5178*O5178</f>
        <v/>
      </c>
    </row>
    <row r="5179">
      <c r="A5179" s="12" t="inlineStr">
        <is>
          <t>I-P-0060</t>
        </is>
      </c>
      <c r="B5179" s="12" t="inlineStr">
        <is>
          <t>I</t>
        </is>
      </c>
      <c r="C5179" s="12" t="inlineStr">
        <is>
          <t>Modular / portable power</t>
        </is>
      </c>
      <c r="D5179" s="12" t="inlineStr">
        <is>
          <t>L1 GB-4.3 480 V generator leads to GBC-4</t>
        </is>
      </c>
      <c r="E5179" s="12" t="inlineStr">
        <is>
          <t>GB-4.3</t>
        </is>
      </c>
      <c r="F5179" s="12" t="inlineStr">
        <is>
          <t>GB-4.3: modular gas genset 500 kW, 480 V (block GB-4, unit 3 of 5)</t>
        </is>
      </c>
      <c r="G5179" s="12" t="inlineStr">
        <is>
          <t>GBC-4</t>
        </is>
      </c>
      <c r="H5179" s="12" t="inlineStr">
        <is>
          <t xml:space="preserve">GBC-4: block GB-4 generator collector box, 480 V outdoor switchboard, </t>
        </is>
      </c>
      <c r="I5179" s="12" t="inlineStr">
        <is>
          <t>LV 600 V</t>
        </is>
      </c>
      <c r="J5179" s="12" t="inlineStr">
        <is>
          <t>XHHW-2 600 V 1/C Cu (feeder sets in tray / duct)</t>
        </is>
      </c>
      <c r="K5179" s="12" t="inlineStr">
        <is>
          <t>LV1C|1/C|500</t>
        </is>
      </c>
      <c r="L5179" s="12" t="inlineStr">
        <is>
          <t>1/C</t>
        </is>
      </c>
      <c r="M5179" s="12" t="inlineStr">
        <is>
          <t>500 kcmil</t>
        </is>
      </c>
      <c r="N5179" s="12" t="n">
        <v>2</v>
      </c>
      <c r="O5179" s="12" t="n">
        <v>4</v>
      </c>
      <c r="P5179" s="12" t="n">
        <v>480</v>
      </c>
      <c r="Q5179" s="12" t="n">
        <v>500</v>
      </c>
      <c r="R5179" s="12" t="n">
        <v>601</v>
      </c>
      <c r="S5179" s="12" t="inlineStr">
        <is>
          <t>Surface</t>
        </is>
      </c>
      <c r="T5179" s="16" t="n">
        <v>24</v>
      </c>
      <c r="U5179" s="16" t="n">
        <v>28</v>
      </c>
      <c r="V5179" s="16">
        <f>ROUNDUP((T5179+U5179+2*'Read Me'!$B$13)*(1+'Read Me'!$B$12),-1)</f>
        <v/>
      </c>
      <c r="W5179" s="16">
        <f>V5179*N5179*O5179</f>
        <v/>
      </c>
      <c r="X5179" s="12">
        <f>IF(LEFT(I5179,2)="MV",2*N5179*IF(L5179="1/C",O5179,1),0)</f>
        <v/>
      </c>
      <c r="Y5179" s="12">
        <f>IF(OR(LEFT(K5179,4)="LVAX",LEFT(K5179,6)="MV15AX",LEFT(K5179,4)="CTAX",LEFT(K5179,2)="W|"),2*N5179*O5179,0)</f>
        <v/>
      </c>
      <c r="Z5179" s="12" t="inlineStr">
        <is>
          <t>2 sets of 3 x 500 kcmil + ground (count TO VERIFY)</t>
        </is>
      </c>
      <c r="AA5179" s="12">
        <f>N5179*O5179</f>
        <v/>
      </c>
    </row>
    <row r="5180">
      <c r="A5180" s="12" t="inlineStr">
        <is>
          <t>I-P-0061</t>
        </is>
      </c>
      <c r="B5180" s="12" t="inlineStr">
        <is>
          <t>I</t>
        </is>
      </c>
      <c r="C5180" s="12" t="inlineStr">
        <is>
          <t>Modular / portable power</t>
        </is>
      </c>
      <c r="D5180" s="12" t="inlineStr">
        <is>
          <t>L1 GB-4.4 480 V generator leads to GBC-4</t>
        </is>
      </c>
      <c r="E5180" s="12" t="inlineStr">
        <is>
          <t>GB-4.4</t>
        </is>
      </c>
      <c r="F5180" s="12" t="inlineStr">
        <is>
          <t>GB-4.4: modular gas genset 500 kW, 480 V (block GB-4, unit 4 of 5)</t>
        </is>
      </c>
      <c r="G5180" s="12" t="inlineStr">
        <is>
          <t>GBC-4</t>
        </is>
      </c>
      <c r="H5180" s="12" t="inlineStr">
        <is>
          <t xml:space="preserve">GBC-4: block GB-4 generator collector box, 480 V outdoor switchboard, </t>
        </is>
      </c>
      <c r="I5180" s="12" t="inlineStr">
        <is>
          <t>LV 600 V</t>
        </is>
      </c>
      <c r="J5180" s="12" t="inlineStr">
        <is>
          <t>XHHW-2 600 V 1/C Cu (feeder sets in tray / duct)</t>
        </is>
      </c>
      <c r="K5180" s="12" t="inlineStr">
        <is>
          <t>LV1C|1/C|500</t>
        </is>
      </c>
      <c r="L5180" s="12" t="inlineStr">
        <is>
          <t>1/C</t>
        </is>
      </c>
      <c r="M5180" s="12" t="inlineStr">
        <is>
          <t>500 kcmil</t>
        </is>
      </c>
      <c r="N5180" s="12" t="n">
        <v>2</v>
      </c>
      <c r="O5180" s="12" t="n">
        <v>4</v>
      </c>
      <c r="P5180" s="12" t="n">
        <v>480</v>
      </c>
      <c r="Q5180" s="12" t="n">
        <v>500</v>
      </c>
      <c r="R5180" s="12" t="n">
        <v>601</v>
      </c>
      <c r="S5180" s="12" t="inlineStr">
        <is>
          <t>Surface</t>
        </is>
      </c>
      <c r="T5180" s="16" t="n">
        <v>14</v>
      </c>
      <c r="U5180" s="16" t="n">
        <v>28</v>
      </c>
      <c r="V5180" s="16">
        <f>ROUNDUP((T5180+U5180+2*'Read Me'!$B$13)*(1+'Read Me'!$B$12),-1)</f>
        <v/>
      </c>
      <c r="W5180" s="16">
        <f>V5180*N5180*O5180</f>
        <v/>
      </c>
      <c r="X5180" s="12">
        <f>IF(LEFT(I5180,2)="MV",2*N5180*IF(L5180="1/C",O5180,1),0)</f>
        <v/>
      </c>
      <c r="Y5180" s="12">
        <f>IF(OR(LEFT(K5180,4)="LVAX",LEFT(K5180,6)="MV15AX",LEFT(K5180,4)="CTAX",LEFT(K5180,2)="W|"),2*N5180*O5180,0)</f>
        <v/>
      </c>
      <c r="Z5180" s="12" t="inlineStr">
        <is>
          <t>2 sets of 3 x 500 kcmil + ground (count TO VERIFY)</t>
        </is>
      </c>
      <c r="AA5180" s="12">
        <f>N5180*O5180</f>
        <v/>
      </c>
    </row>
    <row r="5181">
      <c r="A5181" s="12" t="inlineStr">
        <is>
          <t>I-P-0062</t>
        </is>
      </c>
      <c r="B5181" s="12" t="inlineStr">
        <is>
          <t>I</t>
        </is>
      </c>
      <c r="C5181" s="12" t="inlineStr">
        <is>
          <t>Modular / portable power</t>
        </is>
      </c>
      <c r="D5181" s="12" t="inlineStr">
        <is>
          <t>L1 GB-4.5 480 V generator leads to GBC-4</t>
        </is>
      </c>
      <c r="E5181" s="12" t="inlineStr">
        <is>
          <t>GB-4.5</t>
        </is>
      </c>
      <c r="F5181" s="12" t="inlineStr">
        <is>
          <t>GB-4.5: modular gas genset 500 kW, 480 V (block GB-4, unit 5 of 5)</t>
        </is>
      </c>
      <c r="G5181" s="12" t="inlineStr">
        <is>
          <t>GBC-4</t>
        </is>
      </c>
      <c r="H5181" s="12" t="inlineStr">
        <is>
          <t xml:space="preserve">GBC-4: block GB-4 generator collector box, 480 V outdoor switchboard, </t>
        </is>
      </c>
      <c r="I5181" s="12" t="inlineStr">
        <is>
          <t>LV 600 V</t>
        </is>
      </c>
      <c r="J5181" s="12" t="inlineStr">
        <is>
          <t>XHHW-2 600 V 1/C Cu (feeder sets in tray / duct)</t>
        </is>
      </c>
      <c r="K5181" s="12" t="inlineStr">
        <is>
          <t>LV1C|1/C|500</t>
        </is>
      </c>
      <c r="L5181" s="12" t="inlineStr">
        <is>
          <t>1/C</t>
        </is>
      </c>
      <c r="M5181" s="12" t="inlineStr">
        <is>
          <t>500 kcmil</t>
        </is>
      </c>
      <c r="N5181" s="12" t="n">
        <v>2</v>
      </c>
      <c r="O5181" s="12" t="n">
        <v>4</v>
      </c>
      <c r="P5181" s="12" t="n">
        <v>480</v>
      </c>
      <c r="Q5181" s="12" t="n">
        <v>500</v>
      </c>
      <c r="R5181" s="12" t="n">
        <v>601</v>
      </c>
      <c r="S5181" s="12" t="inlineStr">
        <is>
          <t>Riser</t>
        </is>
      </c>
      <c r="T5181" s="16" t="n">
        <v>2</v>
      </c>
      <c r="U5181" s="16" t="n">
        <v>28</v>
      </c>
      <c r="V5181" s="16">
        <f>ROUNDUP((T5181+U5181+2*'Read Me'!$B$13)*(1+'Read Me'!$B$12),-1)</f>
        <v/>
      </c>
      <c r="W5181" s="16">
        <f>V5181*N5181*O5181</f>
        <v/>
      </c>
      <c r="X5181" s="12">
        <f>IF(LEFT(I5181,2)="MV",2*N5181*IF(L5181="1/C",O5181,1),0)</f>
        <v/>
      </c>
      <c r="Y5181" s="12">
        <f>IF(OR(LEFT(K5181,4)="LVAX",LEFT(K5181,6)="MV15AX",LEFT(K5181,4)="CTAX",LEFT(K5181,2)="W|"),2*N5181*O5181,0)</f>
        <v/>
      </c>
      <c r="Z5181" s="12" t="inlineStr">
        <is>
          <t>2 sets of 3 x 500 kcmil + ground (count TO VERIFY)</t>
        </is>
      </c>
      <c r="AA5181" s="12">
        <f>N5181*O5181</f>
        <v/>
      </c>
    </row>
    <row r="5182">
      <c r="A5182" s="12" t="inlineStr">
        <is>
          <t>I-P-0063</t>
        </is>
      </c>
      <c r="B5182" s="12" t="inlineStr">
        <is>
          <t>I</t>
        </is>
      </c>
      <c r="C5182" s="12" t="inlineStr">
        <is>
          <t>Modular / portable power</t>
        </is>
      </c>
      <c r="D5182" s="12" t="inlineStr">
        <is>
          <t>L2 GBC-1 to GBT-1 480 V block feed</t>
        </is>
      </c>
      <c r="E5182" s="12" t="inlineStr">
        <is>
          <t>GBC-1</t>
        </is>
      </c>
      <c r="F5182" s="12" t="inlineStr">
        <is>
          <t xml:space="preserve">GBC-1: block GB-1 generator collector box, 480 V outdoor switchboard, </t>
        </is>
      </c>
      <c r="G5182" s="12" t="inlineStr">
        <is>
          <t>GBT-1</t>
        </is>
      </c>
      <c r="H5182" s="12" t="inlineStr">
        <is>
          <t>GBT-1: block GB-1 step-up 480 V : 34.5 kV, ~3 MVA pad-mount (on the 35</t>
        </is>
      </c>
      <c r="I5182" s="12" t="inlineStr">
        <is>
          <t>LV 600 V</t>
        </is>
      </c>
      <c r="J5182" s="12" t="inlineStr">
        <is>
          <t>XHHW-2 600 V 1/C Cu (feeder sets in tray / duct)</t>
        </is>
      </c>
      <c r="K5182" s="12" t="inlineStr">
        <is>
          <t>LV1C|1/C|600</t>
        </is>
      </c>
      <c r="L5182" s="12" t="inlineStr">
        <is>
          <t>1/C</t>
        </is>
      </c>
      <c r="M5182" s="12" t="inlineStr">
        <is>
          <t>600 kcmil</t>
        </is>
      </c>
      <c r="N5182" s="12" t="n">
        <v>8</v>
      </c>
      <c r="O5182" s="12" t="n">
        <v>4</v>
      </c>
      <c r="P5182" s="12" t="n">
        <v>480</v>
      </c>
      <c r="Q5182" s="12" t="n">
        <v>2500</v>
      </c>
      <c r="R5182" s="12" t="n">
        <v>3007</v>
      </c>
      <c r="S5182" s="12" t="inlineStr">
        <is>
          <t>Riser</t>
        </is>
      </c>
      <c r="T5182" s="16" t="n">
        <v>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8 sets of 4 x 1/C (or bus duct, TO VERIFY)</t>
        </is>
      </c>
      <c r="AA5182" s="12">
        <f>N5182*O5182</f>
        <v/>
      </c>
    </row>
    <row r="5183">
      <c r="A5183" s="12" t="inlineStr">
        <is>
          <t>I-P-0064</t>
        </is>
      </c>
      <c r="B5183" s="12" t="inlineStr">
        <is>
          <t>I</t>
        </is>
      </c>
      <c r="C5183" s="12" t="inlineStr">
        <is>
          <t>Modular / portable power</t>
        </is>
      </c>
      <c r="D5183" s="12" t="inlineStr">
        <is>
          <t>L2 GBC-2 to GBT-2 480 V block feed</t>
        </is>
      </c>
      <c r="E5183" s="12" t="inlineStr">
        <is>
          <t>GBC-2</t>
        </is>
      </c>
      <c r="F5183" s="12" t="inlineStr">
        <is>
          <t xml:space="preserve">GBC-2: block GB-2 generator collector box, 480 V outdoor switchboard, </t>
        </is>
      </c>
      <c r="G5183" s="12" t="inlineStr">
        <is>
          <t>GBT-2</t>
        </is>
      </c>
      <c r="H5183" s="12" t="inlineStr">
        <is>
          <t>GBT-2: block GB-2 step-up 480 V : 34.5 kV, ~3 MVA pad-mount (on the 35</t>
        </is>
      </c>
      <c r="I5183" s="12" t="inlineStr">
        <is>
          <t>LV 600 V</t>
        </is>
      </c>
      <c r="J5183" s="12" t="inlineStr">
        <is>
          <t>XHHW-2 600 V 1/C Cu (feeder sets in tray / duct)</t>
        </is>
      </c>
      <c r="K5183" s="12" t="inlineStr">
        <is>
          <t>LV1C|1/C|600</t>
        </is>
      </c>
      <c r="L5183" s="12" t="inlineStr">
        <is>
          <t>1/C</t>
        </is>
      </c>
      <c r="M5183" s="12" t="inlineStr">
        <is>
          <t>600 kcmil</t>
        </is>
      </c>
      <c r="N5183" s="12" t="n">
        <v>8</v>
      </c>
      <c r="O5183" s="12" t="n">
        <v>4</v>
      </c>
      <c r="P5183" s="12" t="n">
        <v>480</v>
      </c>
      <c r="Q5183" s="12" t="n">
        <v>2500</v>
      </c>
      <c r="R5183" s="12" t="n">
        <v>3007</v>
      </c>
      <c r="S5183" s="12" t="inlineStr">
        <is>
          <t>Riser</t>
        </is>
      </c>
      <c r="T5183" s="16" t="n">
        <v>2</v>
      </c>
      <c r="U5183" s="16" t="n">
        <v>27</v>
      </c>
      <c r="V5183" s="16">
        <f>ROUNDUP((T5183+U5183+2*'Read Me'!$B$13)*(1+'Read Me'!$B$12),-1)</f>
        <v/>
      </c>
      <c r="W5183" s="16">
        <f>V5183*N5183*O5183</f>
        <v/>
      </c>
      <c r="X5183" s="12">
        <f>IF(LEFT(I5183,2)="MV",2*N5183*IF(L5183="1/C",O5183,1),0)</f>
        <v/>
      </c>
      <c r="Y5183" s="12">
        <f>IF(OR(LEFT(K5183,4)="LVAX",LEFT(K5183,6)="MV15AX",LEFT(K5183,4)="CTAX",LEFT(K5183,2)="W|"),2*N5183*O5183,0)</f>
        <v/>
      </c>
      <c r="Z5183" s="12" t="inlineStr">
        <is>
          <t>8 sets of 4 x 1/C (or bus duct, TO VERIFY)</t>
        </is>
      </c>
      <c r="AA5183" s="12">
        <f>N5183*O5183</f>
        <v/>
      </c>
    </row>
    <row r="5184">
      <c r="A5184" s="12" t="inlineStr">
        <is>
          <t>I-P-0065</t>
        </is>
      </c>
      <c r="B5184" s="12" t="inlineStr">
        <is>
          <t>I</t>
        </is>
      </c>
      <c r="C5184" s="12" t="inlineStr">
        <is>
          <t>Modular / portable power</t>
        </is>
      </c>
      <c r="D5184" s="12" t="inlineStr">
        <is>
          <t>L2 GBC-3 to GBT-3 480 V block feed</t>
        </is>
      </c>
      <c r="E5184" s="12" t="inlineStr">
        <is>
          <t>GBC-3</t>
        </is>
      </c>
      <c r="F5184" s="12" t="inlineStr">
        <is>
          <t xml:space="preserve">GBC-3: block GB-3 generator collector box, 480 V outdoor switchboard, </t>
        </is>
      </c>
      <c r="G5184" s="12" t="inlineStr">
        <is>
          <t>GBT-3</t>
        </is>
      </c>
      <c r="H5184" s="12" t="inlineStr">
        <is>
          <t>GBT-3: block GB-3 step-up 480 V : 34.5 kV, ~3 MVA pad-mount (on the 35</t>
        </is>
      </c>
      <c r="I5184" s="12" t="inlineStr">
        <is>
          <t>LV 600 V</t>
        </is>
      </c>
      <c r="J5184" s="12" t="inlineStr">
        <is>
          <t>XHHW-2 600 V 1/C Cu (feeder sets in tray / duct)</t>
        </is>
      </c>
      <c r="K5184" s="12" t="inlineStr">
        <is>
          <t>LV1C|1/C|600</t>
        </is>
      </c>
      <c r="L5184" s="12" t="inlineStr">
        <is>
          <t>1/C</t>
        </is>
      </c>
      <c r="M5184" s="12" t="inlineStr">
        <is>
          <t>600 kcmil</t>
        </is>
      </c>
      <c r="N5184" s="12" t="n">
        <v>8</v>
      </c>
      <c r="O5184" s="12" t="n">
        <v>4</v>
      </c>
      <c r="P5184" s="12" t="n">
        <v>480</v>
      </c>
      <c r="Q5184" s="12" t="n">
        <v>2500</v>
      </c>
      <c r="R5184" s="12" t="n">
        <v>3007</v>
      </c>
      <c r="S5184" s="12" t="inlineStr">
        <is>
          <t>Riser</t>
        </is>
      </c>
      <c r="T5184" s="16" t="n">
        <v>2</v>
      </c>
      <c r="U5184" s="16" t="n">
        <v>27</v>
      </c>
      <c r="V5184" s="16">
        <f>ROUNDUP((T5184+U5184+2*'Read Me'!$B$13)*(1+'Read Me'!$B$12),-1)</f>
        <v/>
      </c>
      <c r="W5184" s="16">
        <f>V5184*N5184*O5184</f>
        <v/>
      </c>
      <c r="X5184" s="12">
        <f>IF(LEFT(I5184,2)="MV",2*N5184*IF(L5184="1/C",O5184,1),0)</f>
        <v/>
      </c>
      <c r="Y5184" s="12">
        <f>IF(OR(LEFT(K5184,4)="LVAX",LEFT(K5184,6)="MV15AX",LEFT(K5184,4)="CTAX",LEFT(K5184,2)="W|"),2*N5184*O5184,0)</f>
        <v/>
      </c>
      <c r="Z5184" s="12" t="inlineStr">
        <is>
          <t>8 sets of 4 x 1/C (or bus duct, TO VERIFY)</t>
        </is>
      </c>
      <c r="AA5184" s="12">
        <f>N5184*O5184</f>
        <v/>
      </c>
    </row>
    <row r="5185">
      <c r="A5185" s="12" t="inlineStr">
        <is>
          <t>I-P-0066</t>
        </is>
      </c>
      <c r="B5185" s="12" t="inlineStr">
        <is>
          <t>I</t>
        </is>
      </c>
      <c r="C5185" s="12" t="inlineStr">
        <is>
          <t>Modular / portable power</t>
        </is>
      </c>
      <c r="D5185" s="12" t="inlineStr">
        <is>
          <t>L2 GBC-4 to GBT-4 480 V block feed</t>
        </is>
      </c>
      <c r="E5185" s="12" t="inlineStr">
        <is>
          <t>GBC-4</t>
        </is>
      </c>
      <c r="F5185" s="12" t="inlineStr">
        <is>
          <t xml:space="preserve">GBC-4: block GB-4 generator collector box, 480 V outdoor switchboard, </t>
        </is>
      </c>
      <c r="G5185" s="12" t="inlineStr">
        <is>
          <t>GBT-4</t>
        </is>
      </c>
      <c r="H5185" s="12" t="inlineStr">
        <is>
          <t>GBT-4: block GB-4 step-up 480 V : 34.5 kV, ~3 MVA pad-mount (on the 35</t>
        </is>
      </c>
      <c r="I5185" s="12" t="inlineStr">
        <is>
          <t>LV 600 V</t>
        </is>
      </c>
      <c r="J5185" s="12" t="inlineStr">
        <is>
          <t>XHHW-2 600 V 1/C Cu (feeder sets in tray / duct)</t>
        </is>
      </c>
      <c r="K5185" s="12" t="inlineStr">
        <is>
          <t>LV1C|1/C|600</t>
        </is>
      </c>
      <c r="L5185" s="12" t="inlineStr">
        <is>
          <t>1/C</t>
        </is>
      </c>
      <c r="M5185" s="12" t="inlineStr">
        <is>
          <t>600 kcmil</t>
        </is>
      </c>
      <c r="N5185" s="12" t="n">
        <v>8</v>
      </c>
      <c r="O5185" s="12" t="n">
        <v>4</v>
      </c>
      <c r="P5185" s="12" t="n">
        <v>480</v>
      </c>
      <c r="Q5185" s="12" t="n">
        <v>2500</v>
      </c>
      <c r="R5185" s="12" t="n">
        <v>3007</v>
      </c>
      <c r="S5185" s="12" t="inlineStr">
        <is>
          <t>Riser</t>
        </is>
      </c>
      <c r="T5185" s="16" t="n">
        <v>2</v>
      </c>
      <c r="U5185" s="16" t="n">
        <v>27</v>
      </c>
      <c r="V5185" s="16">
        <f>ROUNDUP((T5185+U5185+2*'Read Me'!$B$13)*(1+'Read Me'!$B$12),-1)</f>
        <v/>
      </c>
      <c r="W5185" s="16">
        <f>V5185*N5185*O5185</f>
        <v/>
      </c>
      <c r="X5185" s="12">
        <f>IF(LEFT(I5185,2)="MV",2*N5185*IF(L5185="1/C",O5185,1),0)</f>
        <v/>
      </c>
      <c r="Y5185" s="12">
        <f>IF(OR(LEFT(K5185,4)="LVAX",LEFT(K5185,6)="MV15AX",LEFT(K5185,4)="CTAX",LEFT(K5185,2)="W|"),2*N5185*O5185,0)</f>
        <v/>
      </c>
      <c r="Z5185" s="12" t="inlineStr">
        <is>
          <t>8 sets of 4 x 1/C (or bus duct, TO VERIFY)</t>
        </is>
      </c>
      <c r="AA5185" s="12">
        <f>N5185*O5185</f>
        <v/>
      </c>
    </row>
    <row r="5186">
      <c r="A5186" s="12" t="inlineStr">
        <is>
          <t>I-P-0067</t>
        </is>
      </c>
      <c r="B5186" s="12" t="inlineStr">
        <is>
          <t>I</t>
        </is>
      </c>
      <c r="C5186" s="12" t="inlineStr">
        <is>
          <t>Modular / portable power</t>
        </is>
      </c>
      <c r="D5186" s="12" t="inlineStr">
        <is>
          <t>LV power feeder</t>
        </is>
      </c>
      <c r="E5186" s="12" t="inlineStr"/>
      <c r="F5186" s="12" t="inlineStr">
        <is>
          <t>PCM: power control module</t>
        </is>
      </c>
      <c r="G5186" s="12" t="inlineStr"/>
      <c r="H5186" s="12" t="inlineStr">
        <is>
          <t>Gas conditioning skid</t>
        </is>
      </c>
      <c r="I5186" s="12" t="inlineStr">
        <is>
          <t>LV 600 V</t>
        </is>
      </c>
      <c r="J5186" s="12" t="inlineStr">
        <is>
          <t>ARMOR-X MC-HL 600 V 3/C Cu XHHW-2 + ground, CWA, black PVC (Class I Div 2)</t>
        </is>
      </c>
      <c r="K5186" s="12" t="inlineStr">
        <is>
          <t>LVAX|3/C+G|6</t>
        </is>
      </c>
      <c r="L5186" s="12" t="inlineStr">
        <is>
          <t>3/C+G</t>
        </is>
      </c>
      <c r="M5186" s="12" t="inlineStr">
        <is>
          <t>6</t>
        </is>
      </c>
      <c r="N5186" s="12" t="n">
        <v>1</v>
      </c>
      <c r="O5186" s="12" t="n">
        <v>1</v>
      </c>
      <c r="P5186" s="12" t="n">
        <v>480</v>
      </c>
      <c r="Q5186" s="12" t="n">
        <v>30</v>
      </c>
      <c r="R5186" s="12" t="n">
        <v>42.5</v>
      </c>
      <c r="S5186" s="12" t="inlineStr">
        <is>
          <t>Tray</t>
        </is>
      </c>
      <c r="T5186" s="16" t="n">
        <v>40</v>
      </c>
      <c r="U5186" s="16" t="n">
        <v>94</v>
      </c>
      <c r="V5186" s="16">
        <f>ROUNDUP((T5186+U5186+2*'Read Me'!$B$13)*(1+'Read Me'!$B$12),-1)</f>
        <v/>
      </c>
      <c r="W5186" s="16">
        <f>V5186*N5186*O5186</f>
        <v/>
      </c>
      <c r="X5186" s="12">
        <f>IF(LEFT(I5186,2)="MV",2*N5186*IF(L5186="1/C",O5186,1),0)</f>
        <v/>
      </c>
      <c r="Y5186" s="12">
        <f>IF(OR(LEFT(K5186,4)="LVAX",LEFT(K5186,6)="MV15AX",LEFT(K5186,4)="CTAX",LEFT(K5186,2)="W|"),2*N5186*O5186,0)</f>
        <v/>
      </c>
      <c r="Z5186" s="12" t="inlineStr">
        <is>
          <t>VD 1.1 %</t>
        </is>
      </c>
      <c r="AA5186" s="12">
        <f>N5186*O5186</f>
        <v/>
      </c>
    </row>
    <row r="5187">
      <c r="A5187" s="12" t="inlineStr">
        <is>
          <t>I-P-0068</t>
        </is>
      </c>
      <c r="B5187" s="12" t="inlineStr">
        <is>
          <t>I</t>
        </is>
      </c>
      <c r="C5187" s="12" t="inlineStr">
        <is>
          <t>Modular / portable power</t>
        </is>
      </c>
      <c r="D5187" s="12" t="inlineStr">
        <is>
          <t>LV panel / distribution feeder</t>
        </is>
      </c>
      <c r="E5187" s="12" t="inlineStr"/>
      <c r="F5187" s="12" t="inlineStr">
        <is>
          <t>PCM: power control module</t>
        </is>
      </c>
      <c r="G5187" s="12" t="inlineStr"/>
      <c r="H5187" s="12" t="inlineStr">
        <is>
          <t>Lube oil / starting air / oily water building</t>
        </is>
      </c>
      <c r="I5187" s="12" t="inlineStr">
        <is>
          <t>LV 600 V</t>
        </is>
      </c>
      <c r="J5187" s="12" t="inlineStr">
        <is>
          <t>Type TC-ER 600 V 3/C Cu XHHW-2 + ground, PVC jacket</t>
        </is>
      </c>
      <c r="K5187" s="12" t="inlineStr">
        <is>
          <t>LV|3/C+G|1/0</t>
        </is>
      </c>
      <c r="L5187" s="12" t="inlineStr">
        <is>
          <t>3/C+G</t>
        </is>
      </c>
      <c r="M5187" s="12" t="inlineStr">
        <is>
          <t>1/0</t>
        </is>
      </c>
      <c r="N5187" s="12" t="n">
        <v>1</v>
      </c>
      <c r="O5187" s="12" t="n">
        <v>1</v>
      </c>
      <c r="P5187" s="12" t="n">
        <v>480</v>
      </c>
      <c r="Q5187" s="12" t="n">
        <v>79</v>
      </c>
      <c r="R5187" s="12" t="n">
        <v>111.8</v>
      </c>
      <c r="S5187" s="12" t="inlineStr">
        <is>
          <t>Tray</t>
        </is>
      </c>
      <c r="T5187" s="16" t="n">
        <v>40</v>
      </c>
      <c r="U5187" s="16" t="n">
        <v>164</v>
      </c>
      <c r="V5187" s="16">
        <f>ROUNDUP((T5187+U5187+2*'Read Me'!$B$13)*(1+'Read Me'!$B$12),-1)</f>
        <v/>
      </c>
      <c r="W5187" s="16">
        <f>V5187*N5187*O5187</f>
        <v/>
      </c>
      <c r="X5187" s="12">
        <f>IF(LEFT(I5187,2)="MV",2*N5187*IF(L5187="1/C",O5187,1),0)</f>
        <v/>
      </c>
      <c r="Y5187" s="12">
        <f>IF(OR(LEFT(K5187,4)="LVAX",LEFT(K5187,6)="MV15AX",LEFT(K5187,4)="CTAX",LEFT(K5187,2)="W|"),2*N5187*O5187,0)</f>
        <v/>
      </c>
      <c r="Z5187" s="12" t="inlineStr">
        <is>
          <t>VD 1.1 %</t>
        </is>
      </c>
      <c r="AA5187" s="12">
        <f>N5187*O5187</f>
        <v/>
      </c>
    </row>
    <row r="5188">
      <c r="A5188" s="12" t="inlineStr">
        <is>
          <t>I-P-0069</t>
        </is>
      </c>
      <c r="B5188" s="12" t="inlineStr">
        <is>
          <t>I</t>
        </is>
      </c>
      <c r="C5188" s="12" t="inlineStr">
        <is>
          <t>Modular / portable power</t>
        </is>
      </c>
      <c r="D5188" s="12" t="inlineStr">
        <is>
          <t>LV panel / distribution feeder</t>
        </is>
      </c>
      <c r="E5188" s="12" t="inlineStr"/>
      <c r="F5188" s="12" t="inlineStr">
        <is>
          <t>MOD-LV 480 V board + 480 V : 13.8 kV step-up</t>
        </is>
      </c>
      <c r="G5188" s="12" t="inlineStr">
        <is>
          <t>MOD-EH</t>
        </is>
      </c>
      <c r="H5188" s="12" t="inlineStr">
        <is>
          <t>MOD-EH: 13.8 kV modular collector e-house</t>
        </is>
      </c>
      <c r="I5188" s="12" t="inlineStr">
        <is>
          <t>LV 600 V</t>
        </is>
      </c>
      <c r="J5188" s="12" t="inlineStr">
        <is>
          <t>Type TC-ER 600 V 3/C Cu XHHW-2 + ground, PVC jacket</t>
        </is>
      </c>
      <c r="K5188" s="12" t="inlineStr">
        <is>
          <t>LV|3/C+G|4</t>
        </is>
      </c>
      <c r="L5188" s="12" t="inlineStr">
        <is>
          <t>3/C+G</t>
        </is>
      </c>
      <c r="M5188" s="12" t="inlineStr">
        <is>
          <t>4</t>
        </is>
      </c>
      <c r="N5188" s="12" t="n">
        <v>1</v>
      </c>
      <c r="O5188" s="12" t="n">
        <v>1</v>
      </c>
      <c r="P5188" s="12" t="n">
        <v>480</v>
      </c>
      <c r="Q5188" s="12" t="n">
        <v>30</v>
      </c>
      <c r="R5188" s="12" t="n">
        <v>42.5</v>
      </c>
      <c r="S5188" s="12" t="inlineStr">
        <is>
          <t>Duct bank</t>
        </is>
      </c>
      <c r="T5188" s="16" t="n">
        <v>350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is>
          <t>VD 2.0 %</t>
        </is>
      </c>
      <c r="AA5188" s="12">
        <f>N5188*O5188</f>
        <v/>
      </c>
    </row>
    <row r="5189">
      <c r="A5189" s="12" t="inlineStr">
        <is>
          <t>I-P-0070</t>
        </is>
      </c>
      <c r="B5189" s="12" t="inlineStr">
        <is>
          <t>I</t>
        </is>
      </c>
      <c r="C5189" s="12" t="inlineStr">
        <is>
          <t>Modular / portable power</t>
        </is>
      </c>
      <c r="D5189" s="12" t="inlineStr">
        <is>
          <t>Fuel-cell AC cabinet to MOD-LV</t>
        </is>
      </c>
      <c r="E5189" s="12" t="inlineStr"/>
      <c r="F5189" s="12" t="inlineStr">
        <is>
          <t>FC-5..12 inverter / AC cabinet / desulfurizer</t>
        </is>
      </c>
      <c r="G5189" s="12" t="inlineStr"/>
      <c r="H5189" s="12" t="inlineStr">
        <is>
          <t>MOD-LV 480 V board + 480 V : 13.8 kV step-up</t>
        </is>
      </c>
      <c r="I5189" s="12" t="inlineStr">
        <is>
          <t>LV 600 V</t>
        </is>
      </c>
      <c r="J5189" s="12" t="inlineStr">
        <is>
          <t>Type TC-ER 600 V 3/C Cu XHHW-2 + ground, PVC jacket</t>
        </is>
      </c>
      <c r="K5189" s="12" t="inlineStr">
        <is>
          <t>LV|3/C+G|500</t>
        </is>
      </c>
      <c r="L5189" s="12" t="inlineStr">
        <is>
          <t>3/C+G</t>
        </is>
      </c>
      <c r="M5189" s="12" t="inlineStr">
        <is>
          <t>500 kcmil</t>
        </is>
      </c>
      <c r="N5189" s="12" t="n">
        <v>12</v>
      </c>
      <c r="O5189" s="12" t="n">
        <v>1</v>
      </c>
      <c r="P5189" s="12" t="n">
        <v>480</v>
      </c>
      <c r="Q5189" s="12" t="n">
        <v>2000</v>
      </c>
      <c r="R5189" s="12" t="n">
        <v>2532.3</v>
      </c>
      <c r="S5189" s="12" t="inlineStr">
        <is>
          <t>Duct bank</t>
        </is>
      </c>
      <c r="T5189" s="16" t="n">
        <v>1240</v>
      </c>
      <c r="U5189" s="16" t="n">
        <v>46</v>
      </c>
      <c r="V5189" s="16">
        <f>ROUNDUP((T5189+U5189+2*'Read Me'!$B$13)*(1+'Read Me'!$B$12),-1)</f>
        <v/>
      </c>
      <c r="W5189" s="16">
        <f>V5189*N5189*O5189</f>
        <v/>
      </c>
      <c r="X5189" s="12">
        <f>IF(LEFT(I5189,2)="MV",2*N5189*IF(L5189="1/C",O5189,1),0)</f>
        <v/>
      </c>
      <c r="Y5189" s="12">
        <f>IF(OR(LEFT(K5189,4)="LVAX",LEFT(K5189,6)="MV15AX",LEFT(K5189,4)="CTAX",LEFT(K5189,2)="W|"),2*N5189*O5189,0)</f>
        <v/>
      </c>
      <c r="Z5189" s="12" t="inlineStr">
        <is>
          <t>VD 2.8 %</t>
        </is>
      </c>
      <c r="AA5189" s="12">
        <f>N5189*O5189</f>
        <v/>
      </c>
    </row>
    <row r="5190">
      <c r="A5190" s="12" t="inlineStr">
        <is>
          <t>I-P-0071</t>
        </is>
      </c>
      <c r="B5190" s="12" t="inlineStr">
        <is>
          <t>I</t>
        </is>
      </c>
      <c r="C5190" s="12" t="inlineStr">
        <is>
          <t>Modular / portable power</t>
        </is>
      </c>
      <c r="D5190" s="12" t="inlineStr">
        <is>
          <t>MT-4 microturbine output</t>
        </is>
      </c>
      <c r="E5190" s="12" t="inlineStr">
        <is>
          <t>MT-4</t>
        </is>
      </c>
      <c r="F5190" s="12" t="inlineStr">
        <is>
          <t>MT-4: microturbine 1 MW (Capstone C1000 class)</t>
        </is>
      </c>
      <c r="G5190" s="12" t="inlineStr"/>
      <c r="H5190" s="12" t="inlineStr">
        <is>
          <t>MOD-LV 480 V board + 480 V : 13.8 kV step-up</t>
        </is>
      </c>
      <c r="I5190" s="12" t="inlineStr">
        <is>
          <t>LV 600 V</t>
        </is>
      </c>
      <c r="J5190" s="12" t="inlineStr">
        <is>
          <t>Type TC-ER 600 V 3/C Cu XHHW-2 + ground, PVC jacket</t>
        </is>
      </c>
      <c r="K5190" s="12" t="inlineStr">
        <is>
          <t>LV|3/C+G|500</t>
        </is>
      </c>
      <c r="L5190" s="12" t="inlineStr">
        <is>
          <t>3/C+G</t>
        </is>
      </c>
      <c r="M5190" s="12" t="inlineStr">
        <is>
          <t>500 kcmil</t>
        </is>
      </c>
      <c r="N5190" s="12" t="n">
        <v>6</v>
      </c>
      <c r="O5190" s="12" t="n">
        <v>1</v>
      </c>
      <c r="P5190" s="12" t="n">
        <v>480</v>
      </c>
      <c r="Q5190" s="12" t="n">
        <v>1000</v>
      </c>
      <c r="R5190" s="12" t="n">
        <v>1266.2</v>
      </c>
      <c r="S5190" s="12" t="inlineStr">
        <is>
          <t>Duct bank</t>
        </is>
      </c>
      <c r="T5190" s="16" t="n">
        <v>1233</v>
      </c>
      <c r="U5190" s="16" t="n">
        <v>56</v>
      </c>
      <c r="V5190" s="16">
        <f>ROUNDUP((T5190+U5190+2*'Read Me'!$B$13)*(1+'Read Me'!$B$12),-1)</f>
        <v/>
      </c>
      <c r="W5190" s="16">
        <f>V5190*N5190*O5190</f>
        <v/>
      </c>
      <c r="X5190" s="12">
        <f>IF(LEFT(I5190,2)="MV",2*N5190*IF(L5190="1/C",O5190,1),0)</f>
        <v/>
      </c>
      <c r="Y5190" s="12">
        <f>IF(OR(LEFT(K5190,4)="LVAX",LEFT(K5190,6)="MV15AX",LEFT(K5190,4)="CTAX",LEFT(K5190,2)="W|"),2*N5190*O5190,0)</f>
        <v/>
      </c>
      <c r="Z5190" s="12" t="inlineStr">
        <is>
          <t>VD 2.8 %</t>
        </is>
      </c>
      <c r="AA5190" s="12">
        <f>N5190*O5190</f>
        <v/>
      </c>
    </row>
    <row r="5191">
      <c r="A5191" s="12" t="inlineStr">
        <is>
          <t>I-P-0072</t>
        </is>
      </c>
      <c r="B5191" s="12" t="inlineStr">
        <is>
          <t>I</t>
        </is>
      </c>
      <c r="C5191" s="12" t="inlineStr">
        <is>
          <t>Modular / portable power</t>
        </is>
      </c>
      <c r="D5191" s="12" t="inlineStr">
        <is>
          <t>MT-5 microturbine output</t>
        </is>
      </c>
      <c r="E5191" s="12" t="inlineStr">
        <is>
          <t>MT-5</t>
        </is>
      </c>
      <c r="F5191" s="12" t="inlineStr">
        <is>
          <t>MT-5: microturbine 1 MW (Capstone C1000 class)</t>
        </is>
      </c>
      <c r="G5191" s="12" t="inlineStr"/>
      <c r="H5191" s="12" t="inlineStr">
        <is>
          <t>MOD-LV 480 V board + 480 V : 13.8 kV step-up</t>
        </is>
      </c>
      <c r="I5191" s="12" t="inlineStr">
        <is>
          <t>LV 600 V</t>
        </is>
      </c>
      <c r="J5191" s="12" t="inlineStr">
        <is>
          <t>Type TC-ER 600 V 3/C Cu XHHW-2 + ground, PVC jacket</t>
        </is>
      </c>
      <c r="K5191" s="12" t="inlineStr">
        <is>
          <t>LV|3/C+G|500</t>
        </is>
      </c>
      <c r="L5191" s="12" t="inlineStr">
        <is>
          <t>3/C+G</t>
        </is>
      </c>
      <c r="M5191" s="12" t="inlineStr">
        <is>
          <t>500 kcmil</t>
        </is>
      </c>
      <c r="N5191" s="12" t="n">
        <v>6</v>
      </c>
      <c r="O5191" s="12" t="n">
        <v>1</v>
      </c>
      <c r="P5191" s="12" t="n">
        <v>480</v>
      </c>
      <c r="Q5191" s="12" t="n">
        <v>1000</v>
      </c>
      <c r="R5191" s="12" t="n">
        <v>1266.2</v>
      </c>
      <c r="S5191" s="12" t="inlineStr">
        <is>
          <t>Duct bank</t>
        </is>
      </c>
      <c r="T5191" s="16" t="n">
        <v>1233</v>
      </c>
      <c r="U5191" s="16" t="n">
        <v>46</v>
      </c>
      <c r="V5191" s="16">
        <f>ROUNDUP((T5191+U5191+2*'Read Me'!$B$13)*(1+'Read Me'!$B$12),-1)</f>
        <v/>
      </c>
      <c r="W5191" s="16">
        <f>V5191*N5191*O5191</f>
        <v/>
      </c>
      <c r="X5191" s="12">
        <f>IF(LEFT(I5191,2)="MV",2*N5191*IF(L5191="1/C",O5191,1),0)</f>
        <v/>
      </c>
      <c r="Y5191" s="12">
        <f>IF(OR(LEFT(K5191,4)="LVAX",LEFT(K5191,6)="MV15AX",LEFT(K5191,4)="CTAX",LEFT(K5191,2)="W|"),2*N5191*O5191,0)</f>
        <v/>
      </c>
      <c r="Z5191" s="12" t="inlineStr">
        <is>
          <t>VD 2.8 %</t>
        </is>
      </c>
      <c r="AA5191" s="12">
        <f>N5191*O5191</f>
        <v/>
      </c>
    </row>
    <row r="5192">
      <c r="A5192" s="12" t="inlineStr">
        <is>
          <t>I-P-0073</t>
        </is>
      </c>
      <c r="B5192" s="12" t="inlineStr">
        <is>
          <t>I</t>
        </is>
      </c>
      <c r="C5192" s="12" t="inlineStr">
        <is>
          <t>Modular / portable power</t>
        </is>
      </c>
      <c r="D5192" s="12" t="inlineStr">
        <is>
          <t>MT-6 microturbine output</t>
        </is>
      </c>
      <c r="E5192" s="12" t="inlineStr">
        <is>
          <t>MT-6</t>
        </is>
      </c>
      <c r="F5192" s="12" t="inlineStr">
        <is>
          <t>MT-6: microturbine 1 MW (Capstone C1000 class)</t>
        </is>
      </c>
      <c r="G5192" s="12" t="inlineStr"/>
      <c r="H5192" s="12" t="inlineStr">
        <is>
          <t>MOD-LV 480 V board + 480 V : 13.8 kV step-up</t>
        </is>
      </c>
      <c r="I5192" s="12" t="inlineStr">
        <is>
          <t>LV 600 V</t>
        </is>
      </c>
      <c r="J5192" s="12" t="inlineStr">
        <is>
          <t>Type TC-ER 600 V 3/C Cu XHHW-2 + ground, PVC jacket</t>
        </is>
      </c>
      <c r="K5192" s="12" t="inlineStr">
        <is>
          <t>LV|3/C+G|500</t>
        </is>
      </c>
      <c r="L5192" s="12" t="inlineStr">
        <is>
          <t>3/C+G</t>
        </is>
      </c>
      <c r="M5192" s="12" t="inlineStr">
        <is>
          <t>500 kcmil</t>
        </is>
      </c>
      <c r="N5192" s="12" t="n">
        <v>6</v>
      </c>
      <c r="O5192" s="12" t="n">
        <v>1</v>
      </c>
      <c r="P5192" s="12" t="n">
        <v>480</v>
      </c>
      <c r="Q5192" s="12" t="n">
        <v>1000</v>
      </c>
      <c r="R5192" s="12" t="n">
        <v>1266.2</v>
      </c>
      <c r="S5192" s="12" t="inlineStr">
        <is>
          <t>Duct bank</t>
        </is>
      </c>
      <c r="T5192" s="16" t="n">
        <v>1150</v>
      </c>
      <c r="U5192" s="16" t="n">
        <v>51</v>
      </c>
      <c r="V5192" s="16">
        <f>ROUNDUP((T5192+U5192+2*'Read Me'!$B$13)*(1+'Read Me'!$B$12),-1)</f>
        <v/>
      </c>
      <c r="W5192" s="16">
        <f>V5192*N5192*O5192</f>
        <v/>
      </c>
      <c r="X5192" s="12">
        <f>IF(LEFT(I5192,2)="MV",2*N5192*IF(L5192="1/C",O5192,1),0)</f>
        <v/>
      </c>
      <c r="Y5192" s="12">
        <f>IF(OR(LEFT(K5192,4)="LVAX",LEFT(K5192,6)="MV15AX",LEFT(K5192,4)="CTAX",LEFT(K5192,2)="W|"),2*N5192*O5192,0)</f>
        <v/>
      </c>
      <c r="Z5192" s="12" t="inlineStr">
        <is>
          <t>VD 2.6 %</t>
        </is>
      </c>
      <c r="AA5192" s="12">
        <f>N5192*O5192</f>
        <v/>
      </c>
    </row>
    <row r="5193">
      <c r="A5193" s="12" t="inlineStr">
        <is>
          <t>I-P-0074</t>
        </is>
      </c>
      <c r="B5193" s="12" t="inlineStr">
        <is>
          <t>I</t>
        </is>
      </c>
      <c r="C5193" s="12" t="inlineStr">
        <is>
          <t>Modular / portable power</t>
        </is>
      </c>
      <c r="D5193" s="12" t="inlineStr">
        <is>
          <t>PAD-LV to PAD-TX</t>
        </is>
      </c>
      <c r="E5193" s="12" t="inlineStr">
        <is>
          <t>PAD-LV</t>
        </is>
      </c>
      <c r="F5193" s="12" t="inlineStr">
        <is>
          <t>PAD-LV 480 V paralleling switchboard</t>
        </is>
      </c>
      <c r="G5193" s="12" t="inlineStr">
        <is>
          <t>PAD-TX</t>
        </is>
      </c>
      <c r="H5193" s="12" t="inlineStr">
        <is>
          <t>PAD-TX 480 V : 13.8 kV</t>
        </is>
      </c>
      <c r="I5193" s="12" t="inlineStr">
        <is>
          <t>LV 600 V</t>
        </is>
      </c>
      <c r="J5193" s="12" t="inlineStr">
        <is>
          <t>XHHW-2 600 V 1/C Cu (feeder sets in tray / duct)</t>
        </is>
      </c>
      <c r="K5193" s="12" t="inlineStr">
        <is>
          <t>LV1C|1/C|500</t>
        </is>
      </c>
      <c r="L5193" s="12" t="inlineStr">
        <is>
          <t>1/C</t>
        </is>
      </c>
      <c r="M5193" s="12" t="inlineStr">
        <is>
          <t>500 kcmil</t>
        </is>
      </c>
      <c r="N5193" s="12" t="n">
        <v>12</v>
      </c>
      <c r="O5193" s="12" t="n">
        <v>4</v>
      </c>
      <c r="P5193" s="12" t="n">
        <v>480</v>
      </c>
      <c r="Q5193" s="12" t="n">
        <v>3000</v>
      </c>
      <c r="R5193" s="12" t="n">
        <v>3600</v>
      </c>
      <c r="S5193" s="12" t="inlineStr">
        <is>
          <t>Duct bank</t>
        </is>
      </c>
      <c r="T5193" s="16" t="n">
        <v>55</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is>
          <t>12 sets of 4 x 1/C (or bus duct)</t>
        </is>
      </c>
      <c r="AA5193" s="12">
        <f>N5193*O5193</f>
        <v/>
      </c>
    </row>
    <row r="5194">
      <c r="A5194" s="12" t="inlineStr">
        <is>
          <t>I-P-0075</t>
        </is>
      </c>
      <c r="B5194" s="12" t="inlineStr">
        <is>
          <t>I</t>
        </is>
      </c>
      <c r="C5194" s="12" t="inlineStr">
        <is>
          <t>Modular / portable power</t>
        </is>
      </c>
      <c r="D5194" s="12" t="inlineStr">
        <is>
          <t>LV panel / distribution feeder</t>
        </is>
      </c>
      <c r="E5194" s="12" t="inlineStr"/>
      <c r="F5194" s="12" t="inlineStr">
        <is>
          <t>PCM: power control module</t>
        </is>
      </c>
      <c r="G5194" s="12" t="inlineStr"/>
      <c r="H5194" s="12" t="inlineStr">
        <is>
          <t>PCM: power control module</t>
        </is>
      </c>
      <c r="I5194" s="12" t="inlineStr">
        <is>
          <t>LV 600 V</t>
        </is>
      </c>
      <c r="J5194" s="12" t="inlineStr">
        <is>
          <t>Type TC-ER 600 V 3/C Cu XHHW-2 + ground, PVC jacket</t>
        </is>
      </c>
      <c r="K5194" s="12" t="inlineStr">
        <is>
          <t>LV|3/C+G|4</t>
        </is>
      </c>
      <c r="L5194" s="12" t="inlineStr">
        <is>
          <t>3/C+G</t>
        </is>
      </c>
      <c r="M5194" s="12" t="inlineStr">
        <is>
          <t>4</t>
        </is>
      </c>
      <c r="N5194" s="12" t="n">
        <v>1</v>
      </c>
      <c r="O5194" s="12" t="n">
        <v>1</v>
      </c>
      <c r="P5194" s="12" t="n">
        <v>480</v>
      </c>
      <c r="Q5194" s="12" t="n">
        <v>38</v>
      </c>
      <c r="R5194" s="12" t="n">
        <v>53.8</v>
      </c>
      <c r="S5194" s="12" t="inlineStr">
        <is>
          <t>Tray</t>
        </is>
      </c>
      <c r="T5194" s="16" t="n">
        <v>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is>
          <t>VD 0.2 %</t>
        </is>
      </c>
      <c r="AA5194" s="12">
        <f>N5194*O5194</f>
        <v/>
      </c>
    </row>
    <row r="5195">
      <c r="A5195" s="12" t="inlineStr">
        <is>
          <t>I-P-0076</t>
        </is>
      </c>
      <c r="B5195" s="12" t="inlineStr">
        <is>
          <t>I</t>
        </is>
      </c>
      <c r="C5195" s="12" t="inlineStr">
        <is>
          <t>Modular / portable power</t>
        </is>
      </c>
      <c r="D5195" s="12" t="inlineStr">
        <is>
          <t>Motor 1 of 1, 15 kW</t>
        </is>
      </c>
      <c r="E5195" s="12" t="inlineStr"/>
      <c r="F5195" s="12" t="inlineStr">
        <is>
          <t>PCM: power control module</t>
        </is>
      </c>
      <c r="G5195" s="12" t="inlineStr"/>
      <c r="H5195" s="12" t="inlineStr">
        <is>
          <t>RICE 1 SCR + oxidation catalyst and stack</t>
        </is>
      </c>
      <c r="I5195" s="12" t="inlineStr">
        <is>
          <t>LV 600 V</t>
        </is>
      </c>
      <c r="J5195" s="12" t="inlineStr">
        <is>
          <t>Type TC-ER 600 V 3/C Cu XHHW-2 + ground, PVC jacket</t>
        </is>
      </c>
      <c r="K5195" s="12" t="inlineStr">
        <is>
          <t>LV|3/C+G|6</t>
        </is>
      </c>
      <c r="L5195" s="12" t="inlineStr">
        <is>
          <t>3/C+G</t>
        </is>
      </c>
      <c r="M5195" s="12" t="inlineStr">
        <is>
          <t>6</t>
        </is>
      </c>
      <c r="N5195" s="12" t="n">
        <v>1</v>
      </c>
      <c r="O5195" s="12" t="n">
        <v>1</v>
      </c>
      <c r="P5195" s="12" t="n">
        <v>480</v>
      </c>
      <c r="Q5195" s="12" t="n">
        <v>15</v>
      </c>
      <c r="R5195" s="12" t="n">
        <v>21.2</v>
      </c>
      <c r="S5195" s="12" t="inlineStr">
        <is>
          <t>Duct bank</t>
        </is>
      </c>
      <c r="T5195" s="16" t="n">
        <v>470</v>
      </c>
      <c r="U5195" s="16" t="n">
        <v>160</v>
      </c>
      <c r="V5195" s="16">
        <f>ROUNDUP((T5195+U5195+2*'Read Me'!$B$13)*(1+'Read Me'!$B$12),-1)</f>
        <v/>
      </c>
      <c r="W5195" s="16">
        <f>V5195*N5195*O5195</f>
        <v/>
      </c>
      <c r="X5195" s="12">
        <f>IF(LEFT(I5195,2)="MV",2*N5195*IF(L5195="1/C",O5195,1),0)</f>
        <v/>
      </c>
      <c r="Y5195" s="12">
        <f>IF(OR(LEFT(K5195,4)="LVAX",LEFT(K5195,6)="MV15AX",LEFT(K5195,4)="CTAX",LEFT(K5195,2)="W|"),2*N5195*O5195,0)</f>
        <v/>
      </c>
      <c r="Z5195" s="12" t="inlineStr">
        <is>
          <t>VD 2.6 %</t>
        </is>
      </c>
      <c r="AA5195" s="12">
        <f>N5195*O5195</f>
        <v/>
      </c>
    </row>
    <row r="5196">
      <c r="A5196" s="12" t="inlineStr">
        <is>
          <t>I-P-0077</t>
        </is>
      </c>
      <c r="B5196" s="12" t="inlineStr">
        <is>
          <t>I</t>
        </is>
      </c>
      <c r="C5196" s="12" t="inlineStr">
        <is>
          <t>Modular / portable power</t>
        </is>
      </c>
      <c r="D5196" s="12" t="inlineStr">
        <is>
          <t>Area / platform lighting circuit 1 (6 fixtures)</t>
        </is>
      </c>
      <c r="E5196" s="12" t="inlineStr"/>
      <c r="F5196" s="12" t="inlineStr">
        <is>
          <t>PCM: power control module</t>
        </is>
      </c>
      <c r="G5196" s="12" t="inlineStr"/>
      <c r="H5196" s="12" t="inlineStr">
        <is>
          <t>RICE 1 SCR + oxidation catalyst and stack</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3</v>
      </c>
      <c r="R5196" s="12" t="n">
        <v>5</v>
      </c>
      <c r="S5196" s="12" t="inlineStr">
        <is>
          <t>Duct bank</t>
        </is>
      </c>
      <c r="T5196" s="16" t="n">
        <v>770</v>
      </c>
      <c r="U5196" s="16" t="n">
        <v>160</v>
      </c>
      <c r="V5196" s="16">
        <f>ROUNDUP((T5196+U5196+2*'Read Me'!$B$13)*(1+'Read Me'!$B$12),-1)</f>
        <v/>
      </c>
      <c r="W5196" s="16">
        <f>V5196*N5196*O5196</f>
        <v/>
      </c>
      <c r="X5196" s="12">
        <f>IF(LEFT(I5196,2)="MV",2*N5196*IF(L5196="1/C",O5196,1),0)</f>
        <v/>
      </c>
      <c r="Y5196" s="12">
        <f>IF(OR(LEFT(K5196,4)="LVAX",LEFT(K5196,6)="MV15AX",LEFT(K5196,4)="CTAX",LEFT(K5196,2)="W|"),2*N5196*O5196,0)</f>
        <v/>
      </c>
      <c r="Z5196" s="12" t="inlineStr">
        <is>
          <t>fixture-to-fixture run included</t>
        </is>
      </c>
      <c r="AA5196" s="12">
        <f>N5196*O5196</f>
        <v/>
      </c>
    </row>
    <row r="5197">
      <c r="A5197" s="12" t="inlineStr">
        <is>
          <t>I-P-0078</t>
        </is>
      </c>
      <c r="B5197" s="12" t="inlineStr">
        <is>
          <t>I</t>
        </is>
      </c>
      <c r="C5197" s="12" t="inlineStr">
        <is>
          <t>Modular / portable power</t>
        </is>
      </c>
      <c r="D5197" s="12" t="inlineStr">
        <is>
          <t>Motor 1 of 5, 30 kW (VFD output)</t>
        </is>
      </c>
      <c r="E5197" s="12" t="inlineStr"/>
      <c r="F5197" s="12" t="inlineStr">
        <is>
          <t>PCM: power control module</t>
        </is>
      </c>
      <c r="G5197" s="12" t="inlineStr"/>
      <c r="H5197" s="12" t="inlineStr">
        <is>
          <t>RICE 1 radiators (5)</t>
        </is>
      </c>
      <c r="I5197" s="12" t="inlineStr">
        <is>
          <t>LV 600 V</t>
        </is>
      </c>
      <c r="J5197" s="12" t="inlineStr">
        <is>
          <t>VFD cable 600 V 3/C Cu XHHW-2, 3 symmetrical grounds, overall Cu tape shield, TC-ER</t>
        </is>
      </c>
      <c r="K5197" s="12" t="inlineStr">
        <is>
          <t>VFD|3/C+3G|1</t>
        </is>
      </c>
      <c r="L5197" s="12" t="inlineStr">
        <is>
          <t>3/C+3G</t>
        </is>
      </c>
      <c r="M5197" s="12" t="inlineStr">
        <is>
          <t>1</t>
        </is>
      </c>
      <c r="N5197" s="12" t="n">
        <v>1</v>
      </c>
      <c r="O5197" s="12" t="n">
        <v>1</v>
      </c>
      <c r="P5197" s="12" t="n">
        <v>480</v>
      </c>
      <c r="Q5197" s="12" t="n">
        <v>30</v>
      </c>
      <c r="R5197" s="12" t="n">
        <v>42</v>
      </c>
      <c r="S5197" s="12" t="inlineStr">
        <is>
          <t>Duct bank</t>
        </is>
      </c>
      <c r="T5197" s="16" t="n">
        <v>825</v>
      </c>
      <c r="U5197" s="16" t="n">
        <v>139</v>
      </c>
      <c r="V5197" s="16">
        <f>ROUNDUP((T5197+U5197+2*'Read Me'!$B$13)*(1+'Read Me'!$B$12),-1)</f>
        <v/>
      </c>
      <c r="W5197" s="16">
        <f>V5197*N5197*O5197</f>
        <v/>
      </c>
      <c r="X5197" s="12">
        <f>IF(LEFT(I5197,2)="MV",2*N5197*IF(L5197="1/C",O5197,1),0)</f>
        <v/>
      </c>
      <c r="Y5197" s="12">
        <f>IF(OR(LEFT(K5197,4)="LVAX",LEFT(K5197,6)="MV15AX",LEFT(K5197,4)="CTAX",LEFT(K5197,2)="W|"),2*N5197*O5197,0)</f>
        <v/>
      </c>
      <c r="Z5197" s="12" t="inlineStr">
        <is>
          <t>VD 2.5 %</t>
        </is>
      </c>
      <c r="AA5197" s="12">
        <f>N5197*O5197</f>
        <v/>
      </c>
    </row>
    <row r="5198">
      <c r="A5198" s="12" t="inlineStr">
        <is>
          <t>I-P-0079</t>
        </is>
      </c>
      <c r="B5198" s="12" t="inlineStr">
        <is>
          <t>I</t>
        </is>
      </c>
      <c r="C5198" s="12" t="inlineStr">
        <is>
          <t>Modular / portable power</t>
        </is>
      </c>
      <c r="D5198" s="12" t="inlineStr">
        <is>
          <t>Motor 2 of 5, 30 kW (VFD output)</t>
        </is>
      </c>
      <c r="E5198" s="12" t="inlineStr"/>
      <c r="F5198" s="12" t="inlineStr">
        <is>
          <t>PCM: power control module</t>
        </is>
      </c>
      <c r="G5198" s="12" t="inlineStr"/>
      <c r="H5198" s="12" t="inlineStr">
        <is>
          <t>RICE 1 radiators (5)</t>
        </is>
      </c>
      <c r="I5198" s="12" t="inlineStr">
        <is>
          <t>LV 600 V</t>
        </is>
      </c>
      <c r="J5198" s="12" t="inlineStr">
        <is>
          <t>VFD cable 600 V 3/C Cu XHHW-2, 3 symmetrical grounds, overall Cu tape shield, TC-ER</t>
        </is>
      </c>
      <c r="K5198" s="12" t="inlineStr">
        <is>
          <t>VFD|3/C+3G|1</t>
        </is>
      </c>
      <c r="L5198" s="12" t="inlineStr">
        <is>
          <t>3/C+3G</t>
        </is>
      </c>
      <c r="M5198" s="12" t="inlineStr">
        <is>
          <t>1</t>
        </is>
      </c>
      <c r="N5198" s="12" t="n">
        <v>1</v>
      </c>
      <c r="O5198" s="12" t="n">
        <v>1</v>
      </c>
      <c r="P5198" s="12" t="n">
        <v>480</v>
      </c>
      <c r="Q5198" s="12" t="n">
        <v>30</v>
      </c>
      <c r="R5198" s="12" t="n">
        <v>42</v>
      </c>
      <c r="S5198" s="12" t="inlineStr">
        <is>
          <t>Duct bank</t>
        </is>
      </c>
      <c r="T5198" s="16" t="n">
        <v>825</v>
      </c>
      <c r="U5198" s="16" t="n">
        <v>139</v>
      </c>
      <c r="V5198" s="16">
        <f>ROUNDUP((T5198+U5198+2*'Read Me'!$B$13)*(1+'Read Me'!$B$12),-1)</f>
        <v/>
      </c>
      <c r="W5198" s="16">
        <f>V5198*N5198*O5198</f>
        <v/>
      </c>
      <c r="X5198" s="12">
        <f>IF(LEFT(I5198,2)="MV",2*N5198*IF(L5198="1/C",O5198,1),0)</f>
        <v/>
      </c>
      <c r="Y5198" s="12">
        <f>IF(OR(LEFT(K5198,4)="LVAX",LEFT(K5198,6)="MV15AX",LEFT(K5198,4)="CTAX",LEFT(K5198,2)="W|"),2*N5198*O5198,0)</f>
        <v/>
      </c>
      <c r="Z5198" s="12" t="inlineStr">
        <is>
          <t>VD 2.5 %</t>
        </is>
      </c>
      <c r="AA5198" s="12">
        <f>N5198*O5198</f>
        <v/>
      </c>
    </row>
    <row r="5199">
      <c r="A5199" s="12" t="inlineStr">
        <is>
          <t>I-P-0080</t>
        </is>
      </c>
      <c r="B5199" s="12" t="inlineStr">
        <is>
          <t>I</t>
        </is>
      </c>
      <c r="C5199" s="12" t="inlineStr">
        <is>
          <t>Modular / portable power</t>
        </is>
      </c>
      <c r="D5199" s="12" t="inlineStr">
        <is>
          <t>Motor 3 of 5, 30 kW (VFD output)</t>
        </is>
      </c>
      <c r="E5199" s="12" t="inlineStr"/>
      <c r="F5199" s="12" t="inlineStr">
        <is>
          <t>PCM: power control module</t>
        </is>
      </c>
      <c r="G5199" s="12" t="inlineStr"/>
      <c r="H5199" s="12" t="inlineStr">
        <is>
          <t>RICE 1 radiators (5)</t>
        </is>
      </c>
      <c r="I5199" s="12" t="inlineStr">
        <is>
          <t>LV 600 V</t>
        </is>
      </c>
      <c r="J5199" s="12" t="inlineStr">
        <is>
          <t>VFD cable 600 V 3/C Cu XHHW-2, 3 symmetrical grounds, overall Cu tape shield, TC-ER</t>
        </is>
      </c>
      <c r="K5199" s="12" t="inlineStr">
        <is>
          <t>VFD|3/C+3G|1</t>
        </is>
      </c>
      <c r="L5199" s="12" t="inlineStr">
        <is>
          <t>3/C+3G</t>
        </is>
      </c>
      <c r="M5199" s="12" t="inlineStr">
        <is>
          <t>1</t>
        </is>
      </c>
      <c r="N5199" s="12" t="n">
        <v>1</v>
      </c>
      <c r="O5199" s="12" t="n">
        <v>1</v>
      </c>
      <c r="P5199" s="12" t="n">
        <v>480</v>
      </c>
      <c r="Q5199" s="12" t="n">
        <v>30</v>
      </c>
      <c r="R5199" s="12" t="n">
        <v>42</v>
      </c>
      <c r="S5199" s="12" t="inlineStr">
        <is>
          <t>Duct bank</t>
        </is>
      </c>
      <c r="T5199" s="16" t="n">
        <v>825</v>
      </c>
      <c r="U5199" s="16" t="n">
        <v>139</v>
      </c>
      <c r="V5199" s="16">
        <f>ROUNDUP((T5199+U5199+2*'Read Me'!$B$13)*(1+'Read Me'!$B$12),-1)</f>
        <v/>
      </c>
      <c r="W5199" s="16">
        <f>V5199*N5199*O5199</f>
        <v/>
      </c>
      <c r="X5199" s="12">
        <f>IF(LEFT(I5199,2)="MV",2*N5199*IF(L5199="1/C",O5199,1),0)</f>
        <v/>
      </c>
      <c r="Y5199" s="12">
        <f>IF(OR(LEFT(K5199,4)="LVAX",LEFT(K5199,6)="MV15AX",LEFT(K5199,4)="CTAX",LEFT(K5199,2)="W|"),2*N5199*O5199,0)</f>
        <v/>
      </c>
      <c r="Z5199" s="12" t="inlineStr">
        <is>
          <t>VD 2.5 %</t>
        </is>
      </c>
      <c r="AA5199" s="12">
        <f>N5199*O5199</f>
        <v/>
      </c>
    </row>
    <row r="5200">
      <c r="A5200" s="12" t="inlineStr">
        <is>
          <t>I-P-0081</t>
        </is>
      </c>
      <c r="B5200" s="12" t="inlineStr">
        <is>
          <t>I</t>
        </is>
      </c>
      <c r="C5200" s="12" t="inlineStr">
        <is>
          <t>Modular / portable power</t>
        </is>
      </c>
      <c r="D5200" s="12" t="inlineStr">
        <is>
          <t>Motor 4 of 5, 30 kW (VFD output)</t>
        </is>
      </c>
      <c r="E5200" s="12" t="inlineStr"/>
      <c r="F5200" s="12" t="inlineStr">
        <is>
          <t>PCM: power control module</t>
        </is>
      </c>
      <c r="G5200" s="12" t="inlineStr"/>
      <c r="H5200" s="12" t="inlineStr">
        <is>
          <t>RICE 1 radiators (5)</t>
        </is>
      </c>
      <c r="I5200" s="12" t="inlineStr">
        <is>
          <t>LV 600 V</t>
        </is>
      </c>
      <c r="J5200" s="12" t="inlineStr">
        <is>
          <t>VFD cable 600 V 3/C Cu XHHW-2, 3 symmetrical grounds, overall Cu tape shield, TC-ER</t>
        </is>
      </c>
      <c r="K5200" s="12" t="inlineStr">
        <is>
          <t>VFD|3/C+3G|1</t>
        </is>
      </c>
      <c r="L5200" s="12" t="inlineStr">
        <is>
          <t>3/C+3G</t>
        </is>
      </c>
      <c r="M5200" s="12" t="inlineStr">
        <is>
          <t>1</t>
        </is>
      </c>
      <c r="N5200" s="12" t="n">
        <v>1</v>
      </c>
      <c r="O5200" s="12" t="n">
        <v>1</v>
      </c>
      <c r="P5200" s="12" t="n">
        <v>480</v>
      </c>
      <c r="Q5200" s="12" t="n">
        <v>30</v>
      </c>
      <c r="R5200" s="12" t="n">
        <v>42</v>
      </c>
      <c r="S5200" s="12" t="inlineStr">
        <is>
          <t>Duct bank</t>
        </is>
      </c>
      <c r="T5200" s="16" t="n">
        <v>825</v>
      </c>
      <c r="U5200" s="16" t="n">
        <v>139</v>
      </c>
      <c r="V5200" s="16">
        <f>ROUNDUP((T5200+U5200+2*'Read Me'!$B$13)*(1+'Read Me'!$B$12),-1)</f>
        <v/>
      </c>
      <c r="W5200" s="16">
        <f>V5200*N5200*O5200</f>
        <v/>
      </c>
      <c r="X5200" s="12">
        <f>IF(LEFT(I5200,2)="MV",2*N5200*IF(L5200="1/C",O5200,1),0)</f>
        <v/>
      </c>
      <c r="Y5200" s="12">
        <f>IF(OR(LEFT(K5200,4)="LVAX",LEFT(K5200,6)="MV15AX",LEFT(K5200,4)="CTAX",LEFT(K5200,2)="W|"),2*N5200*O5200,0)</f>
        <v/>
      </c>
      <c r="Z5200" s="12" t="inlineStr">
        <is>
          <t>VD 2.5 %</t>
        </is>
      </c>
      <c r="AA5200" s="12">
        <f>N5200*O5200</f>
        <v/>
      </c>
    </row>
    <row r="5201">
      <c r="A5201" s="12" t="inlineStr">
        <is>
          <t>I-P-0082</t>
        </is>
      </c>
      <c r="B5201" s="12" t="inlineStr">
        <is>
          <t>I</t>
        </is>
      </c>
      <c r="C5201" s="12" t="inlineStr">
        <is>
          <t>Modular / portable power</t>
        </is>
      </c>
      <c r="D5201" s="12" t="inlineStr">
        <is>
          <t>Motor 5 of 5, 30 kW (VFD output)</t>
        </is>
      </c>
      <c r="E5201" s="12" t="inlineStr"/>
      <c r="F5201" s="12" t="inlineStr">
        <is>
          <t>PCM: power control module</t>
        </is>
      </c>
      <c r="G5201" s="12" t="inlineStr"/>
      <c r="H5201" s="12" t="inlineStr">
        <is>
          <t>RICE 1 radiators (5)</t>
        </is>
      </c>
      <c r="I5201" s="12" t="inlineStr">
        <is>
          <t>LV 600 V</t>
        </is>
      </c>
      <c r="J5201" s="12" t="inlineStr">
        <is>
          <t>VFD cable 600 V 3/C Cu XHHW-2, 3 symmetrical grounds, overall Cu tape shield, TC-ER</t>
        </is>
      </c>
      <c r="K5201" s="12" t="inlineStr">
        <is>
          <t>VFD|3/C+3G|1</t>
        </is>
      </c>
      <c r="L5201" s="12" t="inlineStr">
        <is>
          <t>3/C+3G</t>
        </is>
      </c>
      <c r="M5201" s="12" t="inlineStr">
        <is>
          <t>1</t>
        </is>
      </c>
      <c r="N5201" s="12" t="n">
        <v>1</v>
      </c>
      <c r="O5201" s="12" t="n">
        <v>1</v>
      </c>
      <c r="P5201" s="12" t="n">
        <v>480</v>
      </c>
      <c r="Q5201" s="12" t="n">
        <v>30</v>
      </c>
      <c r="R5201" s="12" t="n">
        <v>42</v>
      </c>
      <c r="S5201" s="12" t="inlineStr">
        <is>
          <t>Duct bank</t>
        </is>
      </c>
      <c r="T5201" s="16" t="n">
        <v>825</v>
      </c>
      <c r="U5201" s="16" t="n">
        <v>139</v>
      </c>
      <c r="V5201" s="16">
        <f>ROUNDUP((T5201+U5201+2*'Read Me'!$B$13)*(1+'Read Me'!$B$12),-1)</f>
        <v/>
      </c>
      <c r="W5201" s="16">
        <f>V5201*N5201*O5201</f>
        <v/>
      </c>
      <c r="X5201" s="12">
        <f>IF(LEFT(I5201,2)="MV",2*N5201*IF(L5201="1/C",O5201,1),0)</f>
        <v/>
      </c>
      <c r="Y5201" s="12">
        <f>IF(OR(LEFT(K5201,4)="LVAX",LEFT(K5201,6)="MV15AX",LEFT(K5201,4)="CTAX",LEFT(K5201,2)="W|"),2*N5201*O5201,0)</f>
        <v/>
      </c>
      <c r="Z5201" s="12" t="inlineStr">
        <is>
          <t>VD 2.5 %</t>
        </is>
      </c>
      <c r="AA5201" s="12">
        <f>N5201*O5201</f>
        <v/>
      </c>
    </row>
    <row r="5202">
      <c r="A5202" s="12" t="inlineStr">
        <is>
          <t>I-P-0083</t>
        </is>
      </c>
      <c r="B5202" s="12" t="inlineStr">
        <is>
          <t>I</t>
        </is>
      </c>
      <c r="C5202" s="12" t="inlineStr">
        <is>
          <t>Modular / portable power</t>
        </is>
      </c>
      <c r="D5202" s="12" t="inlineStr">
        <is>
          <t>Motor 1 of 1, 15 kW</t>
        </is>
      </c>
      <c r="E5202" s="12" t="inlineStr"/>
      <c r="F5202" s="12" t="inlineStr">
        <is>
          <t>PCM: power control module</t>
        </is>
      </c>
      <c r="G5202" s="12" t="inlineStr"/>
      <c r="H5202" s="12" t="inlineStr">
        <is>
          <t>RICE 2 SCR + oxidation catalyst and stack</t>
        </is>
      </c>
      <c r="I5202" s="12" t="inlineStr">
        <is>
          <t>LV 600 V</t>
        </is>
      </c>
      <c r="J5202" s="12" t="inlineStr">
        <is>
          <t>Type TC-ER 600 V 3/C Cu XHHW-2 + ground, PVC jacket</t>
        </is>
      </c>
      <c r="K5202" s="12" t="inlineStr">
        <is>
          <t>LV|3/C+G|6</t>
        </is>
      </c>
      <c r="L5202" s="12" t="inlineStr">
        <is>
          <t>3/C+G</t>
        </is>
      </c>
      <c r="M5202" s="12" t="inlineStr">
        <is>
          <t>6</t>
        </is>
      </c>
      <c r="N5202" s="12" t="n">
        <v>1</v>
      </c>
      <c r="O5202" s="12" t="n">
        <v>1</v>
      </c>
      <c r="P5202" s="12" t="n">
        <v>480</v>
      </c>
      <c r="Q5202" s="12" t="n">
        <v>15</v>
      </c>
      <c r="R5202" s="12" t="n">
        <v>21.2</v>
      </c>
      <c r="S5202" s="12" t="inlineStr">
        <is>
          <t>Duct bank</t>
        </is>
      </c>
      <c r="T5202" s="16" t="n">
        <v>470</v>
      </c>
      <c r="U5202" s="16" t="n">
        <v>132</v>
      </c>
      <c r="V5202" s="16">
        <f>ROUNDUP((T5202+U5202+2*'Read Me'!$B$13)*(1+'Read Me'!$B$12),-1)</f>
        <v/>
      </c>
      <c r="W5202" s="16">
        <f>V5202*N5202*O5202</f>
        <v/>
      </c>
      <c r="X5202" s="12">
        <f>IF(LEFT(I5202,2)="MV",2*N5202*IF(L5202="1/C",O5202,1),0)</f>
        <v/>
      </c>
      <c r="Y5202" s="12">
        <f>IF(OR(LEFT(K5202,4)="LVAX",LEFT(K5202,6)="MV15AX",LEFT(K5202,4)="CTAX",LEFT(K5202,2)="W|"),2*N5202*O5202,0)</f>
        <v/>
      </c>
      <c r="Z5202" s="12" t="inlineStr">
        <is>
          <t>VD 2.5 %</t>
        </is>
      </c>
      <c r="AA5202" s="12">
        <f>N5202*O5202</f>
        <v/>
      </c>
    </row>
    <row r="5203">
      <c r="A5203" s="12" t="inlineStr">
        <is>
          <t>I-P-0084</t>
        </is>
      </c>
      <c r="B5203" s="12" t="inlineStr">
        <is>
          <t>I</t>
        </is>
      </c>
      <c r="C5203" s="12" t="inlineStr">
        <is>
          <t>Modular / portable power</t>
        </is>
      </c>
      <c r="D5203" s="12" t="inlineStr">
        <is>
          <t>Area / platform lighting circuit 1 (6 fixtures)</t>
        </is>
      </c>
      <c r="E5203" s="12" t="inlineStr"/>
      <c r="F5203" s="12" t="inlineStr">
        <is>
          <t>PCM: power control module</t>
        </is>
      </c>
      <c r="G5203" s="12" t="inlineStr"/>
      <c r="H5203" s="12" t="inlineStr">
        <is>
          <t>RICE 2 SCR + oxidation catalyst and stack</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3</v>
      </c>
      <c r="R5203" s="12" t="n">
        <v>5</v>
      </c>
      <c r="S5203" s="12" t="inlineStr">
        <is>
          <t>Duct bank</t>
        </is>
      </c>
      <c r="T5203" s="16" t="n">
        <v>770</v>
      </c>
      <c r="U5203" s="16" t="n">
        <v>132</v>
      </c>
      <c r="V5203" s="16">
        <f>ROUNDUP((T5203+U5203+2*'Read Me'!$B$13)*(1+'Read Me'!$B$12),-1)</f>
        <v/>
      </c>
      <c r="W5203" s="16">
        <f>V5203*N5203*O5203</f>
        <v/>
      </c>
      <c r="X5203" s="12">
        <f>IF(LEFT(I5203,2)="MV",2*N5203*IF(L5203="1/C",O5203,1),0)</f>
        <v/>
      </c>
      <c r="Y5203" s="12">
        <f>IF(OR(LEFT(K5203,4)="LVAX",LEFT(K5203,6)="MV15AX",LEFT(K5203,4)="CTAX",LEFT(K5203,2)="W|"),2*N5203*O5203,0)</f>
        <v/>
      </c>
      <c r="Z5203" s="12" t="inlineStr">
        <is>
          <t>fixture-to-fixture run included</t>
        </is>
      </c>
      <c r="AA5203" s="12">
        <f>N5203*O5203</f>
        <v/>
      </c>
    </row>
    <row r="5204">
      <c r="A5204" s="12" t="inlineStr">
        <is>
          <t>I-P-0085</t>
        </is>
      </c>
      <c r="B5204" s="12" t="inlineStr">
        <is>
          <t>I</t>
        </is>
      </c>
      <c r="C5204" s="12" t="inlineStr">
        <is>
          <t>Modular / portable power</t>
        </is>
      </c>
      <c r="D5204" s="12" t="inlineStr">
        <is>
          <t>Motor 1 of 5, 30 kW (VFD output)</t>
        </is>
      </c>
      <c r="E5204" s="12" t="inlineStr"/>
      <c r="F5204" s="12" t="inlineStr">
        <is>
          <t>PCM: power control module</t>
        </is>
      </c>
      <c r="G5204" s="12" t="inlineStr"/>
      <c r="H5204" s="12" t="inlineStr">
        <is>
          <t>RICE 2 radiators (5)</t>
        </is>
      </c>
      <c r="I5204" s="12" t="inlineStr">
        <is>
          <t>LV 600 V</t>
        </is>
      </c>
      <c r="J5204" s="12" t="inlineStr">
        <is>
          <t>VFD cable 600 V 3/C Cu XHHW-2, 3 symmetrical grounds, overall Cu tape shield, TC-ER</t>
        </is>
      </c>
      <c r="K5204" s="12" t="inlineStr">
        <is>
          <t>VFD|3/C+3G|2</t>
        </is>
      </c>
      <c r="L5204" s="12" t="inlineStr">
        <is>
          <t>3/C+3G</t>
        </is>
      </c>
      <c r="M5204" s="12" t="inlineStr">
        <is>
          <t>2</t>
        </is>
      </c>
      <c r="N5204" s="12" t="n">
        <v>1</v>
      </c>
      <c r="O5204" s="12" t="n">
        <v>1</v>
      </c>
      <c r="P5204" s="12" t="n">
        <v>480</v>
      </c>
      <c r="Q5204" s="12" t="n">
        <v>30</v>
      </c>
      <c r="R5204" s="12" t="n">
        <v>42</v>
      </c>
      <c r="S5204" s="12" t="inlineStr">
        <is>
          <t>Duct bank</t>
        </is>
      </c>
      <c r="T5204" s="16" t="n">
        <v>630</v>
      </c>
      <c r="U5204" s="16" t="n">
        <v>192</v>
      </c>
      <c r="V5204" s="16">
        <f>ROUNDUP((T5204+U5204+2*'Read Me'!$B$13)*(1+'Read Me'!$B$12),-1)</f>
        <v/>
      </c>
      <c r="W5204" s="16">
        <f>V5204*N5204*O5204</f>
        <v/>
      </c>
      <c r="X5204" s="12">
        <f>IF(LEFT(I5204,2)="MV",2*N5204*IF(L5204="1/C",O5204,1),0)</f>
        <v/>
      </c>
      <c r="Y5204" s="12">
        <f>IF(OR(LEFT(K5204,4)="LVAX",LEFT(K5204,6)="MV15AX",LEFT(K5204,4)="CTAX",LEFT(K5204,2)="W|"),2*N5204*O5204,0)</f>
        <v/>
      </c>
      <c r="Z5204" s="12" t="inlineStr">
        <is>
          <t>VD 2.7 %</t>
        </is>
      </c>
      <c r="AA5204" s="12">
        <f>N5204*O5204</f>
        <v/>
      </c>
    </row>
    <row r="5205">
      <c r="A5205" s="12" t="inlineStr">
        <is>
          <t>I-P-0086</t>
        </is>
      </c>
      <c r="B5205" s="12" t="inlineStr">
        <is>
          <t>I</t>
        </is>
      </c>
      <c r="C5205" s="12" t="inlineStr">
        <is>
          <t>Modular / portable power</t>
        </is>
      </c>
      <c r="D5205" s="12" t="inlineStr">
        <is>
          <t>Motor 2 of 5, 30 kW (VFD output)</t>
        </is>
      </c>
      <c r="E5205" s="12" t="inlineStr"/>
      <c r="F5205" s="12" t="inlineStr">
        <is>
          <t>PCM: power control module</t>
        </is>
      </c>
      <c r="G5205" s="12" t="inlineStr"/>
      <c r="H5205" s="12" t="inlineStr">
        <is>
          <t>RICE 2 radiators (5)</t>
        </is>
      </c>
      <c r="I5205" s="12" t="inlineStr">
        <is>
          <t>LV 600 V</t>
        </is>
      </c>
      <c r="J5205" s="12" t="inlineStr">
        <is>
          <t>VFD cable 600 V 3/C Cu XHHW-2, 3 symmetrical grounds, overall Cu tape shield, TC-ER</t>
        </is>
      </c>
      <c r="K5205" s="12" t="inlineStr">
        <is>
          <t>VFD|3/C+3G|2</t>
        </is>
      </c>
      <c r="L5205" s="12" t="inlineStr">
        <is>
          <t>3/C+3G</t>
        </is>
      </c>
      <c r="M5205" s="12" t="inlineStr">
        <is>
          <t>2</t>
        </is>
      </c>
      <c r="N5205" s="12" t="n">
        <v>1</v>
      </c>
      <c r="O5205" s="12" t="n">
        <v>1</v>
      </c>
      <c r="P5205" s="12" t="n">
        <v>480</v>
      </c>
      <c r="Q5205" s="12" t="n">
        <v>30</v>
      </c>
      <c r="R5205" s="12" t="n">
        <v>42</v>
      </c>
      <c r="S5205" s="12" t="inlineStr">
        <is>
          <t>Duct bank</t>
        </is>
      </c>
      <c r="T5205" s="16" t="n">
        <v>630</v>
      </c>
      <c r="U5205" s="16" t="n">
        <v>192</v>
      </c>
      <c r="V5205" s="16">
        <f>ROUNDUP((T5205+U5205+2*'Read Me'!$B$13)*(1+'Read Me'!$B$12),-1)</f>
        <v/>
      </c>
      <c r="W5205" s="16">
        <f>V5205*N5205*O5205</f>
        <v/>
      </c>
      <c r="X5205" s="12">
        <f>IF(LEFT(I5205,2)="MV",2*N5205*IF(L5205="1/C",O5205,1),0)</f>
        <v/>
      </c>
      <c r="Y5205" s="12">
        <f>IF(OR(LEFT(K5205,4)="LVAX",LEFT(K5205,6)="MV15AX",LEFT(K5205,4)="CTAX",LEFT(K5205,2)="W|"),2*N5205*O5205,0)</f>
        <v/>
      </c>
      <c r="Z5205" s="12" t="inlineStr">
        <is>
          <t>VD 2.7 %</t>
        </is>
      </c>
      <c r="AA5205" s="12">
        <f>N5205*O5205</f>
        <v/>
      </c>
    </row>
    <row r="5206">
      <c r="A5206" s="12" t="inlineStr">
        <is>
          <t>I-P-0087</t>
        </is>
      </c>
      <c r="B5206" s="12" t="inlineStr">
        <is>
          <t>I</t>
        </is>
      </c>
      <c r="C5206" s="12" t="inlineStr">
        <is>
          <t>Modular / portable power</t>
        </is>
      </c>
      <c r="D5206" s="12" t="inlineStr">
        <is>
          <t>Motor 3 of 5, 30 kW (VFD output)</t>
        </is>
      </c>
      <c r="E5206" s="12" t="inlineStr"/>
      <c r="F5206" s="12" t="inlineStr">
        <is>
          <t>PCM: power control module</t>
        </is>
      </c>
      <c r="G5206" s="12" t="inlineStr"/>
      <c r="H5206" s="12" t="inlineStr">
        <is>
          <t>RICE 2 radiators (5)</t>
        </is>
      </c>
      <c r="I5206" s="12" t="inlineStr">
        <is>
          <t>LV 600 V</t>
        </is>
      </c>
      <c r="J5206" s="12" t="inlineStr">
        <is>
          <t>VFD cable 600 V 3/C Cu XHHW-2, 3 symmetrical grounds, overall Cu tape shield, TC-ER</t>
        </is>
      </c>
      <c r="K5206" s="12" t="inlineStr">
        <is>
          <t>VFD|3/C+3G|2</t>
        </is>
      </c>
      <c r="L5206" s="12" t="inlineStr">
        <is>
          <t>3/C+3G</t>
        </is>
      </c>
      <c r="M5206" s="12" t="inlineStr">
        <is>
          <t>2</t>
        </is>
      </c>
      <c r="N5206" s="12" t="n">
        <v>1</v>
      </c>
      <c r="O5206" s="12" t="n">
        <v>1</v>
      </c>
      <c r="P5206" s="12" t="n">
        <v>480</v>
      </c>
      <c r="Q5206" s="12" t="n">
        <v>30</v>
      </c>
      <c r="R5206" s="12" t="n">
        <v>42</v>
      </c>
      <c r="S5206" s="12" t="inlineStr">
        <is>
          <t>Duct bank</t>
        </is>
      </c>
      <c r="T5206" s="16" t="n">
        <v>630</v>
      </c>
      <c r="U5206" s="16" t="n">
        <v>192</v>
      </c>
      <c r="V5206" s="16">
        <f>ROUNDUP((T5206+U5206+2*'Read Me'!$B$13)*(1+'Read Me'!$B$12),-1)</f>
        <v/>
      </c>
      <c r="W5206" s="16">
        <f>V5206*N5206*O5206</f>
        <v/>
      </c>
      <c r="X5206" s="12">
        <f>IF(LEFT(I5206,2)="MV",2*N5206*IF(L5206="1/C",O5206,1),0)</f>
        <v/>
      </c>
      <c r="Y5206" s="12">
        <f>IF(OR(LEFT(K5206,4)="LVAX",LEFT(K5206,6)="MV15AX",LEFT(K5206,4)="CTAX",LEFT(K5206,2)="W|"),2*N5206*O5206,0)</f>
        <v/>
      </c>
      <c r="Z5206" s="12" t="inlineStr">
        <is>
          <t>VD 2.7 %</t>
        </is>
      </c>
      <c r="AA5206" s="12">
        <f>N5206*O5206</f>
        <v/>
      </c>
    </row>
    <row r="5207">
      <c r="A5207" s="12" t="inlineStr">
        <is>
          <t>I-P-0088</t>
        </is>
      </c>
      <c r="B5207" s="12" t="inlineStr">
        <is>
          <t>I</t>
        </is>
      </c>
      <c r="C5207" s="12" t="inlineStr">
        <is>
          <t>Modular / portable power</t>
        </is>
      </c>
      <c r="D5207" s="12" t="inlineStr">
        <is>
          <t>Motor 4 of 5, 30 kW (VFD output)</t>
        </is>
      </c>
      <c r="E5207" s="12" t="inlineStr"/>
      <c r="F5207" s="12" t="inlineStr">
        <is>
          <t>PCM: power control module</t>
        </is>
      </c>
      <c r="G5207" s="12" t="inlineStr"/>
      <c r="H5207" s="12" t="inlineStr">
        <is>
          <t>RICE 2 radiators (5)</t>
        </is>
      </c>
      <c r="I5207" s="12" t="inlineStr">
        <is>
          <t>LV 600 V</t>
        </is>
      </c>
      <c r="J5207" s="12" t="inlineStr">
        <is>
          <t>VFD cable 600 V 3/C Cu XHHW-2, 3 symmetrical grounds, overall Cu tape shield, TC-ER</t>
        </is>
      </c>
      <c r="K5207" s="12" t="inlineStr">
        <is>
          <t>VFD|3/C+3G|2</t>
        </is>
      </c>
      <c r="L5207" s="12" t="inlineStr">
        <is>
          <t>3/C+3G</t>
        </is>
      </c>
      <c r="M5207" s="12" t="inlineStr">
        <is>
          <t>2</t>
        </is>
      </c>
      <c r="N5207" s="12" t="n">
        <v>1</v>
      </c>
      <c r="O5207" s="12" t="n">
        <v>1</v>
      </c>
      <c r="P5207" s="12" t="n">
        <v>480</v>
      </c>
      <c r="Q5207" s="12" t="n">
        <v>30</v>
      </c>
      <c r="R5207" s="12" t="n">
        <v>42</v>
      </c>
      <c r="S5207" s="12" t="inlineStr">
        <is>
          <t>Duct bank</t>
        </is>
      </c>
      <c r="T5207" s="16" t="n">
        <v>630</v>
      </c>
      <c r="U5207" s="16" t="n">
        <v>192</v>
      </c>
      <c r="V5207" s="16">
        <f>ROUNDUP((T5207+U5207+2*'Read Me'!$B$13)*(1+'Read Me'!$B$12),-1)</f>
        <v/>
      </c>
      <c r="W5207" s="16">
        <f>V5207*N5207*O5207</f>
        <v/>
      </c>
      <c r="X5207" s="12">
        <f>IF(LEFT(I5207,2)="MV",2*N5207*IF(L5207="1/C",O5207,1),0)</f>
        <v/>
      </c>
      <c r="Y5207" s="12">
        <f>IF(OR(LEFT(K5207,4)="LVAX",LEFT(K5207,6)="MV15AX",LEFT(K5207,4)="CTAX",LEFT(K5207,2)="W|"),2*N5207*O5207,0)</f>
        <v/>
      </c>
      <c r="Z5207" s="12" t="inlineStr">
        <is>
          <t>VD 2.7 %</t>
        </is>
      </c>
      <c r="AA5207" s="12">
        <f>N5207*O5207</f>
        <v/>
      </c>
    </row>
    <row r="5208">
      <c r="A5208" s="12" t="inlineStr">
        <is>
          <t>I-P-0089</t>
        </is>
      </c>
      <c r="B5208" s="12" t="inlineStr">
        <is>
          <t>I</t>
        </is>
      </c>
      <c r="C5208" s="12" t="inlineStr">
        <is>
          <t>Modular / portable power</t>
        </is>
      </c>
      <c r="D5208" s="12" t="inlineStr">
        <is>
          <t>Motor 5 of 5, 30 kW (VFD output)</t>
        </is>
      </c>
      <c r="E5208" s="12" t="inlineStr"/>
      <c r="F5208" s="12" t="inlineStr">
        <is>
          <t>PCM: power control module</t>
        </is>
      </c>
      <c r="G5208" s="12" t="inlineStr"/>
      <c r="H5208" s="12" t="inlineStr">
        <is>
          <t>RICE 2 radiators (5)</t>
        </is>
      </c>
      <c r="I5208" s="12" t="inlineStr">
        <is>
          <t>LV 600 V</t>
        </is>
      </c>
      <c r="J5208" s="12" t="inlineStr">
        <is>
          <t>VFD cable 600 V 3/C Cu XHHW-2, 3 symmetrical grounds, overall Cu tape shield, TC-ER</t>
        </is>
      </c>
      <c r="K5208" s="12" t="inlineStr">
        <is>
          <t>VFD|3/C+3G|2</t>
        </is>
      </c>
      <c r="L5208" s="12" t="inlineStr">
        <is>
          <t>3/C+3G</t>
        </is>
      </c>
      <c r="M5208" s="12" t="inlineStr">
        <is>
          <t>2</t>
        </is>
      </c>
      <c r="N5208" s="12" t="n">
        <v>1</v>
      </c>
      <c r="O5208" s="12" t="n">
        <v>1</v>
      </c>
      <c r="P5208" s="12" t="n">
        <v>480</v>
      </c>
      <c r="Q5208" s="12" t="n">
        <v>30</v>
      </c>
      <c r="R5208" s="12" t="n">
        <v>42</v>
      </c>
      <c r="S5208" s="12" t="inlineStr">
        <is>
          <t>Duct bank</t>
        </is>
      </c>
      <c r="T5208" s="16" t="n">
        <v>630</v>
      </c>
      <c r="U5208" s="16" t="n">
        <v>192</v>
      </c>
      <c r="V5208" s="16">
        <f>ROUNDUP((T5208+U5208+2*'Read Me'!$B$13)*(1+'Read Me'!$B$12),-1)</f>
        <v/>
      </c>
      <c r="W5208" s="16">
        <f>V5208*N5208*O5208</f>
        <v/>
      </c>
      <c r="X5208" s="12">
        <f>IF(LEFT(I5208,2)="MV",2*N5208*IF(L5208="1/C",O5208,1),0)</f>
        <v/>
      </c>
      <c r="Y5208" s="12">
        <f>IF(OR(LEFT(K5208,4)="LVAX",LEFT(K5208,6)="MV15AX",LEFT(K5208,4)="CTAX",LEFT(K5208,2)="W|"),2*N5208*O5208,0)</f>
        <v/>
      </c>
      <c r="Z5208" s="12" t="inlineStr">
        <is>
          <t>VD 2.7 %</t>
        </is>
      </c>
      <c r="AA5208" s="12">
        <f>N5208*O5208</f>
        <v/>
      </c>
    </row>
    <row r="5209">
      <c r="A5209" s="12" t="inlineStr">
        <is>
          <t>I-P-0090</t>
        </is>
      </c>
      <c r="B5209" s="12" t="inlineStr">
        <is>
          <t>I</t>
        </is>
      </c>
      <c r="C5209" s="12" t="inlineStr">
        <is>
          <t>Modular / portable power</t>
        </is>
      </c>
      <c r="D5209" s="12" t="inlineStr">
        <is>
          <t>Motor 1 of 1, 15 kW</t>
        </is>
      </c>
      <c r="E5209" s="12" t="inlineStr"/>
      <c r="F5209" s="12" t="inlineStr">
        <is>
          <t>PCM: power control module</t>
        </is>
      </c>
      <c r="G5209" s="12" t="inlineStr"/>
      <c r="H5209" s="12" t="inlineStr">
        <is>
          <t>RICE 3 SCR + oxidation catalyst and stack</t>
        </is>
      </c>
      <c r="I5209" s="12" t="inlineStr">
        <is>
          <t>LV 600 V</t>
        </is>
      </c>
      <c r="J5209" s="12" t="inlineStr">
        <is>
          <t>Type TC-ER 600 V 3/C Cu XHHW-2 + ground, PVC jacket</t>
        </is>
      </c>
      <c r="K5209" s="12" t="inlineStr">
        <is>
          <t>LV|3/C+G|6</t>
        </is>
      </c>
      <c r="L5209" s="12" t="inlineStr">
        <is>
          <t>3/C+G</t>
        </is>
      </c>
      <c r="M5209" s="12" t="inlineStr">
        <is>
          <t>6</t>
        </is>
      </c>
      <c r="N5209" s="12" t="n">
        <v>1</v>
      </c>
      <c r="O5209" s="12" t="n">
        <v>1</v>
      </c>
      <c r="P5209" s="12" t="n">
        <v>480</v>
      </c>
      <c r="Q5209" s="12" t="n">
        <v>15</v>
      </c>
      <c r="R5209" s="12" t="n">
        <v>21.2</v>
      </c>
      <c r="S5209" s="12" t="inlineStr">
        <is>
          <t>Duct bank</t>
        </is>
      </c>
      <c r="T5209" s="16" t="n">
        <v>470</v>
      </c>
      <c r="U5209" s="16" t="n">
        <v>104</v>
      </c>
      <c r="V5209" s="16">
        <f>ROUNDUP((T5209+U5209+2*'Read Me'!$B$13)*(1+'Read Me'!$B$12),-1)</f>
        <v/>
      </c>
      <c r="W5209" s="16">
        <f>V5209*N5209*O5209</f>
        <v/>
      </c>
      <c r="X5209" s="12">
        <f>IF(LEFT(I5209,2)="MV",2*N5209*IF(L5209="1/C",O5209,1),0)</f>
        <v/>
      </c>
      <c r="Y5209" s="12">
        <f>IF(OR(LEFT(K5209,4)="LVAX",LEFT(K5209,6)="MV15AX",LEFT(K5209,4)="CTAX",LEFT(K5209,2)="W|"),2*N5209*O5209,0)</f>
        <v/>
      </c>
      <c r="Z5209" s="12" t="inlineStr">
        <is>
          <t>VD 2.4 %</t>
        </is>
      </c>
      <c r="AA5209" s="12">
        <f>N5209*O5209</f>
        <v/>
      </c>
    </row>
    <row r="5210">
      <c r="A5210" s="12" t="inlineStr">
        <is>
          <t>I-P-0091</t>
        </is>
      </c>
      <c r="B5210" s="12" t="inlineStr">
        <is>
          <t>I</t>
        </is>
      </c>
      <c r="C5210" s="12" t="inlineStr">
        <is>
          <t>Modular / portable power</t>
        </is>
      </c>
      <c r="D5210" s="12" t="inlineStr">
        <is>
          <t>Area / platform lighting circuit 1 (6 fixtures)</t>
        </is>
      </c>
      <c r="E5210" s="12" t="inlineStr"/>
      <c r="F5210" s="12" t="inlineStr">
        <is>
          <t>PCM: power control module</t>
        </is>
      </c>
      <c r="G5210" s="12" t="inlineStr"/>
      <c r="H5210" s="12" t="inlineStr">
        <is>
          <t>RICE 3 SCR + oxidation catalyst and stack</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3</v>
      </c>
      <c r="R5210" s="12" t="n">
        <v>5</v>
      </c>
      <c r="S5210" s="12" t="inlineStr">
        <is>
          <t>Duct bank</t>
        </is>
      </c>
      <c r="T5210" s="16" t="n">
        <v>770</v>
      </c>
      <c r="U5210" s="16" t="n">
        <v>104</v>
      </c>
      <c r="V5210" s="16">
        <f>ROUNDUP((T5210+U5210+2*'Read Me'!$B$13)*(1+'Read Me'!$B$12),-1)</f>
        <v/>
      </c>
      <c r="W5210" s="16">
        <f>V5210*N5210*O5210</f>
        <v/>
      </c>
      <c r="X5210" s="12">
        <f>IF(LEFT(I5210,2)="MV",2*N5210*IF(L5210="1/C",O5210,1),0)</f>
        <v/>
      </c>
      <c r="Y5210" s="12">
        <f>IF(OR(LEFT(K5210,4)="LVAX",LEFT(K5210,6)="MV15AX",LEFT(K5210,4)="CTAX",LEFT(K5210,2)="W|"),2*N5210*O5210,0)</f>
        <v/>
      </c>
      <c r="Z5210" s="12" t="inlineStr">
        <is>
          <t>fixture-to-fixture run included</t>
        </is>
      </c>
      <c r="AA5210" s="12">
        <f>N5210*O5210</f>
        <v/>
      </c>
    </row>
    <row r="5211">
      <c r="A5211" s="12" t="inlineStr">
        <is>
          <t>I-P-0092</t>
        </is>
      </c>
      <c r="B5211" s="12" t="inlineStr">
        <is>
          <t>I</t>
        </is>
      </c>
      <c r="C5211" s="12" t="inlineStr">
        <is>
          <t>Modular / portable power</t>
        </is>
      </c>
      <c r="D5211" s="12" t="inlineStr">
        <is>
          <t>Motor 1 of 5, 30 kW (VFD output)</t>
        </is>
      </c>
      <c r="E5211" s="12" t="inlineStr"/>
      <c r="F5211" s="12" t="inlineStr">
        <is>
          <t>PCM: power control module</t>
        </is>
      </c>
      <c r="G5211" s="12" t="inlineStr"/>
      <c r="H5211" s="12" t="inlineStr">
        <is>
          <t>RICE 3 radiators (5)</t>
        </is>
      </c>
      <c r="I5211" s="12" t="inlineStr">
        <is>
          <t>LV 600 V</t>
        </is>
      </c>
      <c r="J5211" s="12" t="inlineStr">
        <is>
          <t>VFD cable 600 V 3/C Cu XHHW-2, 3 symmetrical grounds, overall Cu tape shield, TC-ER</t>
        </is>
      </c>
      <c r="K5211" s="12" t="inlineStr">
        <is>
          <t>VFD|3/C+3G|6</t>
        </is>
      </c>
      <c r="L5211" s="12" t="inlineStr">
        <is>
          <t>3/C+3G</t>
        </is>
      </c>
      <c r="M5211" s="12" t="inlineStr">
        <is>
          <t>6</t>
        </is>
      </c>
      <c r="N5211" s="12" t="n">
        <v>1</v>
      </c>
      <c r="O5211" s="12" t="n">
        <v>1</v>
      </c>
      <c r="P5211" s="12" t="n">
        <v>480</v>
      </c>
      <c r="Q5211" s="12" t="n">
        <v>30</v>
      </c>
      <c r="R5211" s="12" t="n">
        <v>42</v>
      </c>
      <c r="S5211" s="12" t="inlineStr">
        <is>
          <t>Tray</t>
        </is>
      </c>
      <c r="T5211" s="16" t="n">
        <v>120</v>
      </c>
      <c r="U5211" s="16" t="n">
        <v>240</v>
      </c>
      <c r="V5211" s="16">
        <f>ROUNDUP((T5211+U5211+2*'Read Me'!$B$13)*(1+'Read Me'!$B$12),-1)</f>
        <v/>
      </c>
      <c r="W5211" s="16">
        <f>V5211*N5211*O5211</f>
        <v/>
      </c>
      <c r="X5211" s="12">
        <f>IF(LEFT(I5211,2)="MV",2*N5211*IF(L5211="1/C",O5211,1),0)</f>
        <v/>
      </c>
      <c r="Y5211" s="12">
        <f>IF(OR(LEFT(K5211,4)="LVAX",LEFT(K5211,6)="MV15AX",LEFT(K5211,4)="CTAX",LEFT(K5211,2)="W|"),2*N5211*O5211,0)</f>
        <v/>
      </c>
      <c r="Z5211" s="12" t="inlineStr">
        <is>
          <t>VD 3.0 %</t>
        </is>
      </c>
      <c r="AA5211" s="12">
        <f>N5211*O5211</f>
        <v/>
      </c>
    </row>
    <row r="5212">
      <c r="A5212" s="12" t="inlineStr">
        <is>
          <t>I-P-0093</t>
        </is>
      </c>
      <c r="B5212" s="12" t="inlineStr">
        <is>
          <t>I</t>
        </is>
      </c>
      <c r="C5212" s="12" t="inlineStr">
        <is>
          <t>Modular / portable power</t>
        </is>
      </c>
      <c r="D5212" s="12" t="inlineStr">
        <is>
          <t>Motor 2 of 5, 30 kW (VFD output)</t>
        </is>
      </c>
      <c r="E5212" s="12" t="inlineStr"/>
      <c r="F5212" s="12" t="inlineStr">
        <is>
          <t>PCM: power control module</t>
        </is>
      </c>
      <c r="G5212" s="12" t="inlineStr"/>
      <c r="H5212" s="12" t="inlineStr">
        <is>
          <t>RICE 3 radiators (5)</t>
        </is>
      </c>
      <c r="I5212" s="12" t="inlineStr">
        <is>
          <t>LV 600 V</t>
        </is>
      </c>
      <c r="J5212" s="12" t="inlineStr">
        <is>
          <t>VFD cable 600 V 3/C Cu XHHW-2, 3 symmetrical grounds, overall Cu tape shield, TC-ER</t>
        </is>
      </c>
      <c r="K5212" s="12" t="inlineStr">
        <is>
          <t>VFD|3/C+3G|6</t>
        </is>
      </c>
      <c r="L5212" s="12" t="inlineStr">
        <is>
          <t>3/C+3G</t>
        </is>
      </c>
      <c r="M5212" s="12" t="inlineStr">
        <is>
          <t>6</t>
        </is>
      </c>
      <c r="N5212" s="12" t="n">
        <v>1</v>
      </c>
      <c r="O5212" s="12" t="n">
        <v>1</v>
      </c>
      <c r="P5212" s="12" t="n">
        <v>480</v>
      </c>
      <c r="Q5212" s="12" t="n">
        <v>30</v>
      </c>
      <c r="R5212" s="12" t="n">
        <v>42</v>
      </c>
      <c r="S5212" s="12" t="inlineStr">
        <is>
          <t>Tray</t>
        </is>
      </c>
      <c r="T5212" s="16" t="n">
        <v>120</v>
      </c>
      <c r="U5212" s="16" t="n">
        <v>240</v>
      </c>
      <c r="V5212" s="16">
        <f>ROUNDUP((T5212+U5212+2*'Read Me'!$B$13)*(1+'Read Me'!$B$12),-1)</f>
        <v/>
      </c>
      <c r="W5212" s="16">
        <f>V5212*N5212*O5212</f>
        <v/>
      </c>
      <c r="X5212" s="12">
        <f>IF(LEFT(I5212,2)="MV",2*N5212*IF(L5212="1/C",O5212,1),0)</f>
        <v/>
      </c>
      <c r="Y5212" s="12">
        <f>IF(OR(LEFT(K5212,4)="LVAX",LEFT(K5212,6)="MV15AX",LEFT(K5212,4)="CTAX",LEFT(K5212,2)="W|"),2*N5212*O5212,0)</f>
        <v/>
      </c>
      <c r="Z5212" s="12" t="inlineStr">
        <is>
          <t>VD 3.0 %</t>
        </is>
      </c>
      <c r="AA5212" s="12">
        <f>N5212*O5212</f>
        <v/>
      </c>
    </row>
    <row r="5213">
      <c r="A5213" s="12" t="inlineStr">
        <is>
          <t>I-P-0094</t>
        </is>
      </c>
      <c r="B5213" s="12" t="inlineStr">
        <is>
          <t>I</t>
        </is>
      </c>
      <c r="C5213" s="12" t="inlineStr">
        <is>
          <t>Modular / portable power</t>
        </is>
      </c>
      <c r="D5213" s="12" t="inlineStr">
        <is>
          <t>Motor 3 of 5, 30 kW (VFD output)</t>
        </is>
      </c>
      <c r="E5213" s="12" t="inlineStr"/>
      <c r="F5213" s="12" t="inlineStr">
        <is>
          <t>PCM: power control module</t>
        </is>
      </c>
      <c r="G5213" s="12" t="inlineStr"/>
      <c r="H5213" s="12" t="inlineStr">
        <is>
          <t>RICE 3 radiators (5)</t>
        </is>
      </c>
      <c r="I5213" s="12" t="inlineStr">
        <is>
          <t>LV 600 V</t>
        </is>
      </c>
      <c r="J5213" s="12" t="inlineStr">
        <is>
          <t>VFD cable 600 V 3/C Cu XHHW-2, 3 symmetrical grounds, overall Cu tape shield, TC-ER</t>
        </is>
      </c>
      <c r="K5213" s="12" t="inlineStr">
        <is>
          <t>VFD|3/C+3G|6</t>
        </is>
      </c>
      <c r="L5213" s="12" t="inlineStr">
        <is>
          <t>3/C+3G</t>
        </is>
      </c>
      <c r="M5213" s="12" t="inlineStr">
        <is>
          <t>6</t>
        </is>
      </c>
      <c r="N5213" s="12" t="n">
        <v>1</v>
      </c>
      <c r="O5213" s="12" t="n">
        <v>1</v>
      </c>
      <c r="P5213" s="12" t="n">
        <v>480</v>
      </c>
      <c r="Q5213" s="12" t="n">
        <v>30</v>
      </c>
      <c r="R5213" s="12" t="n">
        <v>42</v>
      </c>
      <c r="S5213" s="12" t="inlineStr">
        <is>
          <t>Tray</t>
        </is>
      </c>
      <c r="T5213" s="16" t="n">
        <v>120</v>
      </c>
      <c r="U5213" s="16" t="n">
        <v>240</v>
      </c>
      <c r="V5213" s="16">
        <f>ROUNDUP((T5213+U5213+2*'Read Me'!$B$13)*(1+'Read Me'!$B$12),-1)</f>
        <v/>
      </c>
      <c r="W5213" s="16">
        <f>V5213*N5213*O5213</f>
        <v/>
      </c>
      <c r="X5213" s="12">
        <f>IF(LEFT(I5213,2)="MV",2*N5213*IF(L5213="1/C",O5213,1),0)</f>
        <v/>
      </c>
      <c r="Y5213" s="12">
        <f>IF(OR(LEFT(K5213,4)="LVAX",LEFT(K5213,6)="MV15AX",LEFT(K5213,4)="CTAX",LEFT(K5213,2)="W|"),2*N5213*O5213,0)</f>
        <v/>
      </c>
      <c r="Z5213" s="12" t="inlineStr">
        <is>
          <t>VD 3.0 %</t>
        </is>
      </c>
      <c r="AA5213" s="12">
        <f>N5213*O5213</f>
        <v/>
      </c>
    </row>
    <row r="5214">
      <c r="A5214" s="12" t="inlineStr">
        <is>
          <t>I-P-0095</t>
        </is>
      </c>
      <c r="B5214" s="12" t="inlineStr">
        <is>
          <t>I</t>
        </is>
      </c>
      <c r="C5214" s="12" t="inlineStr">
        <is>
          <t>Modular / portable power</t>
        </is>
      </c>
      <c r="D5214" s="12" t="inlineStr">
        <is>
          <t>Motor 4 of 5, 30 kW (VFD output)</t>
        </is>
      </c>
      <c r="E5214" s="12" t="inlineStr"/>
      <c r="F5214" s="12" t="inlineStr">
        <is>
          <t>PCM: power control module</t>
        </is>
      </c>
      <c r="G5214" s="12" t="inlineStr"/>
      <c r="H5214" s="12" t="inlineStr">
        <is>
          <t>RICE 3 radiators (5)</t>
        </is>
      </c>
      <c r="I5214" s="12" t="inlineStr">
        <is>
          <t>LV 600 V</t>
        </is>
      </c>
      <c r="J5214" s="12" t="inlineStr">
        <is>
          <t>VFD cable 600 V 3/C Cu XHHW-2, 3 symmetrical grounds, overall Cu tape shield, TC-ER</t>
        </is>
      </c>
      <c r="K5214" s="12" t="inlineStr">
        <is>
          <t>VFD|3/C+3G|6</t>
        </is>
      </c>
      <c r="L5214" s="12" t="inlineStr">
        <is>
          <t>3/C+3G</t>
        </is>
      </c>
      <c r="M5214" s="12" t="inlineStr">
        <is>
          <t>6</t>
        </is>
      </c>
      <c r="N5214" s="12" t="n">
        <v>1</v>
      </c>
      <c r="O5214" s="12" t="n">
        <v>1</v>
      </c>
      <c r="P5214" s="12" t="n">
        <v>480</v>
      </c>
      <c r="Q5214" s="12" t="n">
        <v>30</v>
      </c>
      <c r="R5214" s="12" t="n">
        <v>42</v>
      </c>
      <c r="S5214" s="12" t="inlineStr">
        <is>
          <t>Tray</t>
        </is>
      </c>
      <c r="T5214" s="16" t="n">
        <v>120</v>
      </c>
      <c r="U5214" s="16" t="n">
        <v>240</v>
      </c>
      <c r="V5214" s="16">
        <f>ROUNDUP((T5214+U5214+2*'Read Me'!$B$13)*(1+'Read Me'!$B$12),-1)</f>
        <v/>
      </c>
      <c r="W5214" s="16">
        <f>V5214*N5214*O5214</f>
        <v/>
      </c>
      <c r="X5214" s="12">
        <f>IF(LEFT(I5214,2)="MV",2*N5214*IF(L5214="1/C",O5214,1),0)</f>
        <v/>
      </c>
      <c r="Y5214" s="12">
        <f>IF(OR(LEFT(K5214,4)="LVAX",LEFT(K5214,6)="MV15AX",LEFT(K5214,4)="CTAX",LEFT(K5214,2)="W|"),2*N5214*O5214,0)</f>
        <v/>
      </c>
      <c r="Z5214" s="12" t="inlineStr">
        <is>
          <t>VD 3.0 %</t>
        </is>
      </c>
      <c r="AA5214" s="12">
        <f>N5214*O5214</f>
        <v/>
      </c>
    </row>
    <row r="5215">
      <c r="A5215" s="12" t="inlineStr">
        <is>
          <t>I-P-0096</t>
        </is>
      </c>
      <c r="B5215" s="12" t="inlineStr">
        <is>
          <t>I</t>
        </is>
      </c>
      <c r="C5215" s="12" t="inlineStr">
        <is>
          <t>Modular / portable power</t>
        </is>
      </c>
      <c r="D5215" s="12" t="inlineStr">
        <is>
          <t>Motor 5 of 5, 30 kW (VFD output)</t>
        </is>
      </c>
      <c r="E5215" s="12" t="inlineStr"/>
      <c r="F5215" s="12" t="inlineStr">
        <is>
          <t>PCM: power control module</t>
        </is>
      </c>
      <c r="G5215" s="12" t="inlineStr"/>
      <c r="H5215" s="12" t="inlineStr">
        <is>
          <t>RICE 3 radiators (5)</t>
        </is>
      </c>
      <c r="I5215" s="12" t="inlineStr">
        <is>
          <t>LV 600 V</t>
        </is>
      </c>
      <c r="J5215" s="12" t="inlineStr">
        <is>
          <t>VFD cable 600 V 3/C Cu XHHW-2, 3 symmetrical grounds, overall Cu tape shield, TC-ER</t>
        </is>
      </c>
      <c r="K5215" s="12" t="inlineStr">
        <is>
          <t>VFD|3/C+3G|6</t>
        </is>
      </c>
      <c r="L5215" s="12" t="inlineStr">
        <is>
          <t>3/C+3G</t>
        </is>
      </c>
      <c r="M5215" s="12" t="inlineStr">
        <is>
          <t>6</t>
        </is>
      </c>
      <c r="N5215" s="12" t="n">
        <v>1</v>
      </c>
      <c r="O5215" s="12" t="n">
        <v>1</v>
      </c>
      <c r="P5215" s="12" t="n">
        <v>480</v>
      </c>
      <c r="Q5215" s="12" t="n">
        <v>30</v>
      </c>
      <c r="R5215" s="12" t="n">
        <v>42</v>
      </c>
      <c r="S5215" s="12" t="inlineStr">
        <is>
          <t>Tray</t>
        </is>
      </c>
      <c r="T5215" s="16" t="n">
        <v>120</v>
      </c>
      <c r="U5215" s="16" t="n">
        <v>240</v>
      </c>
      <c r="V5215" s="16">
        <f>ROUNDUP((T5215+U5215+2*'Read Me'!$B$13)*(1+'Read Me'!$B$12),-1)</f>
        <v/>
      </c>
      <c r="W5215" s="16">
        <f>V5215*N5215*O5215</f>
        <v/>
      </c>
      <c r="X5215" s="12">
        <f>IF(LEFT(I5215,2)="MV",2*N5215*IF(L5215="1/C",O5215,1),0)</f>
        <v/>
      </c>
      <c r="Y5215" s="12">
        <f>IF(OR(LEFT(K5215,4)="LVAX",LEFT(K5215,6)="MV15AX",LEFT(K5215,4)="CTAX",LEFT(K5215,2)="W|"),2*N5215*O5215,0)</f>
        <v/>
      </c>
      <c r="Z5215" s="12" t="inlineStr">
        <is>
          <t>VD 3.0 %</t>
        </is>
      </c>
      <c r="AA5215" s="12">
        <f>N5215*O5215</f>
        <v/>
      </c>
    </row>
    <row r="5216">
      <c r="A5216" s="12" t="inlineStr">
        <is>
          <t>I-P-0097</t>
        </is>
      </c>
      <c r="B5216" s="12" t="inlineStr">
        <is>
          <t>I</t>
        </is>
      </c>
      <c r="C5216" s="12" t="inlineStr">
        <is>
          <t>Modular / portable power</t>
        </is>
      </c>
      <c r="D5216" s="12" t="inlineStr">
        <is>
          <t>Motor 1 of 1, 15 kW</t>
        </is>
      </c>
      <c r="E5216" s="12" t="inlineStr"/>
      <c r="F5216" s="12" t="inlineStr">
        <is>
          <t>PCM: power control module</t>
        </is>
      </c>
      <c r="G5216" s="12" t="inlineStr"/>
      <c r="H5216" s="12" t="inlineStr">
        <is>
          <t>RICE 4 SCR + oxidation catalyst and stack</t>
        </is>
      </c>
      <c r="I5216" s="12" t="inlineStr">
        <is>
          <t>LV 600 V</t>
        </is>
      </c>
      <c r="J5216" s="12" t="inlineStr">
        <is>
          <t>Type TC-ER 600 V 3/C Cu XHHW-2 + ground, PVC jacket</t>
        </is>
      </c>
      <c r="K5216" s="12" t="inlineStr">
        <is>
          <t>LV|3/C+G|6</t>
        </is>
      </c>
      <c r="L5216" s="12" t="inlineStr">
        <is>
          <t>3/C+G</t>
        </is>
      </c>
      <c r="M5216" s="12" t="inlineStr">
        <is>
          <t>6</t>
        </is>
      </c>
      <c r="N5216" s="12" t="n">
        <v>1</v>
      </c>
      <c r="O5216" s="12" t="n">
        <v>1</v>
      </c>
      <c r="P5216" s="12" t="n">
        <v>480</v>
      </c>
      <c r="Q5216" s="12" t="n">
        <v>15</v>
      </c>
      <c r="R5216" s="12" t="n">
        <v>21.2</v>
      </c>
      <c r="S5216" s="12" t="inlineStr">
        <is>
          <t>Duct bank</t>
        </is>
      </c>
      <c r="T5216" s="16" t="n">
        <v>470</v>
      </c>
      <c r="U5216" s="16" t="n">
        <v>76</v>
      </c>
      <c r="V5216" s="16">
        <f>ROUNDUP((T5216+U5216+2*'Read Me'!$B$13)*(1+'Read Me'!$B$12),-1)</f>
        <v/>
      </c>
      <c r="W5216" s="16">
        <f>V5216*N5216*O5216</f>
        <v/>
      </c>
      <c r="X5216" s="12">
        <f>IF(LEFT(I5216,2)="MV",2*N5216*IF(L5216="1/C",O5216,1),0)</f>
        <v/>
      </c>
      <c r="Y5216" s="12">
        <f>IF(OR(LEFT(K5216,4)="LVAX",LEFT(K5216,6)="MV15AX",LEFT(K5216,4)="CTAX",LEFT(K5216,2)="W|"),2*N5216*O5216,0)</f>
        <v/>
      </c>
      <c r="Z5216" s="12" t="inlineStr">
        <is>
          <t>VD 2.3 %</t>
        </is>
      </c>
      <c r="AA5216" s="12">
        <f>N5216*O5216</f>
        <v/>
      </c>
    </row>
    <row r="5217">
      <c r="A5217" s="12" t="inlineStr">
        <is>
          <t>I-P-0098</t>
        </is>
      </c>
      <c r="B5217" s="12" t="inlineStr">
        <is>
          <t>I</t>
        </is>
      </c>
      <c r="C5217" s="12" t="inlineStr">
        <is>
          <t>Modular / portable power</t>
        </is>
      </c>
      <c r="D5217" s="12" t="inlineStr">
        <is>
          <t>Area / platform lighting circuit 1 (6 fixtures)</t>
        </is>
      </c>
      <c r="E5217" s="12" t="inlineStr"/>
      <c r="F5217" s="12" t="inlineStr">
        <is>
          <t>PCM: power control module</t>
        </is>
      </c>
      <c r="G5217" s="12" t="inlineStr"/>
      <c r="H5217" s="12" t="inlineStr">
        <is>
          <t>RICE 4 SCR + oxidation catalyst and stack</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3</v>
      </c>
      <c r="R5217" s="12" t="n">
        <v>5</v>
      </c>
      <c r="S5217" s="12" t="inlineStr">
        <is>
          <t>Duct bank</t>
        </is>
      </c>
      <c r="T5217" s="16" t="n">
        <v>770</v>
      </c>
      <c r="U5217" s="16" t="n">
        <v>76</v>
      </c>
      <c r="V5217" s="16">
        <f>ROUNDUP((T5217+U5217+2*'Read Me'!$B$13)*(1+'Read Me'!$B$12),-1)</f>
        <v/>
      </c>
      <c r="W5217" s="16">
        <f>V5217*N5217*O5217</f>
        <v/>
      </c>
      <c r="X5217" s="12">
        <f>IF(LEFT(I5217,2)="MV",2*N5217*IF(L5217="1/C",O5217,1),0)</f>
        <v/>
      </c>
      <c r="Y5217" s="12">
        <f>IF(OR(LEFT(K5217,4)="LVAX",LEFT(K5217,6)="MV15AX",LEFT(K5217,4)="CTAX",LEFT(K5217,2)="W|"),2*N5217*O5217,0)</f>
        <v/>
      </c>
      <c r="Z5217" s="12" t="inlineStr">
        <is>
          <t>fixture-to-fixture run included</t>
        </is>
      </c>
      <c r="AA5217" s="12">
        <f>N5217*O5217</f>
        <v/>
      </c>
    </row>
    <row r="5218">
      <c r="A5218" s="12" t="inlineStr">
        <is>
          <t>I-P-0099</t>
        </is>
      </c>
      <c r="B5218" s="12" t="inlineStr">
        <is>
          <t>I</t>
        </is>
      </c>
      <c r="C5218" s="12" t="inlineStr">
        <is>
          <t>Modular / portable power</t>
        </is>
      </c>
      <c r="D5218" s="12" t="inlineStr">
        <is>
          <t>Motor 1 of 5, 30 kW (VFD output)</t>
        </is>
      </c>
      <c r="E5218" s="12" t="inlineStr"/>
      <c r="F5218" s="12" t="inlineStr">
        <is>
          <t>PCM: power control module</t>
        </is>
      </c>
      <c r="G5218" s="12" t="inlineStr"/>
      <c r="H5218" s="12" t="inlineStr">
        <is>
          <t>RICE 4 radiators (5)</t>
        </is>
      </c>
      <c r="I5218" s="12" t="inlineStr">
        <is>
          <t>LV 600 V</t>
        </is>
      </c>
      <c r="J5218" s="12" t="inlineStr">
        <is>
          <t>VFD cable 600 V 3/C Cu XHHW-2, 3 symmetrical grounds, overall Cu tape shield, TC-ER</t>
        </is>
      </c>
      <c r="K5218" s="12" t="inlineStr">
        <is>
          <t>VFD|3/C+3G|6</t>
        </is>
      </c>
      <c r="L5218" s="12" t="inlineStr">
        <is>
          <t>3/C+3G</t>
        </is>
      </c>
      <c r="M5218" s="12" t="inlineStr">
        <is>
          <t>6</t>
        </is>
      </c>
      <c r="N5218" s="12" t="n">
        <v>1</v>
      </c>
      <c r="O5218" s="12" t="n">
        <v>1</v>
      </c>
      <c r="P5218" s="12" t="n">
        <v>480</v>
      </c>
      <c r="Q5218" s="12" t="n">
        <v>30</v>
      </c>
      <c r="R5218" s="12" t="n">
        <v>42</v>
      </c>
      <c r="S5218" s="12" t="inlineStr">
        <is>
          <t>Tray</t>
        </is>
      </c>
      <c r="T5218" s="16" t="n">
        <v>80</v>
      </c>
      <c r="U5218" s="16" t="n">
        <v>206</v>
      </c>
      <c r="V5218" s="16">
        <f>ROUNDUP((T5218+U5218+2*'Read Me'!$B$13)*(1+'Read Me'!$B$12),-1)</f>
        <v/>
      </c>
      <c r="W5218" s="16">
        <f>V5218*N5218*O5218</f>
        <v/>
      </c>
      <c r="X5218" s="12">
        <f>IF(LEFT(I5218,2)="MV",2*N5218*IF(L5218="1/C",O5218,1),0)</f>
        <v/>
      </c>
      <c r="Y5218" s="12">
        <f>IF(OR(LEFT(K5218,4)="LVAX",LEFT(K5218,6)="MV15AX",LEFT(K5218,4)="CTAX",LEFT(K5218,2)="W|"),2*N5218*O5218,0)</f>
        <v/>
      </c>
      <c r="Z5218" s="12" t="inlineStr">
        <is>
          <t>VD 2.4 %</t>
        </is>
      </c>
      <c r="AA5218" s="12">
        <f>N5218*O5218</f>
        <v/>
      </c>
    </row>
    <row r="5219">
      <c r="A5219" s="12" t="inlineStr">
        <is>
          <t>I-P-0100</t>
        </is>
      </c>
      <c r="B5219" s="12" t="inlineStr">
        <is>
          <t>I</t>
        </is>
      </c>
      <c r="C5219" s="12" t="inlineStr">
        <is>
          <t>Modular / portable power</t>
        </is>
      </c>
      <c r="D5219" s="12" t="inlineStr">
        <is>
          <t>Motor 2 of 5, 30 kW (VFD output)</t>
        </is>
      </c>
      <c r="E5219" s="12" t="inlineStr"/>
      <c r="F5219" s="12" t="inlineStr">
        <is>
          <t>PCM: power control module</t>
        </is>
      </c>
      <c r="G5219" s="12" t="inlineStr"/>
      <c r="H5219" s="12" t="inlineStr">
        <is>
          <t>RICE 4 radiators (5)</t>
        </is>
      </c>
      <c r="I5219" s="12" t="inlineStr">
        <is>
          <t>LV 600 V</t>
        </is>
      </c>
      <c r="J5219" s="12" t="inlineStr">
        <is>
          <t>VFD cable 600 V 3/C Cu XHHW-2, 3 symmetrical grounds, overall Cu tape shield, TC-ER</t>
        </is>
      </c>
      <c r="K5219" s="12" t="inlineStr">
        <is>
          <t>VFD|3/C+3G|6</t>
        </is>
      </c>
      <c r="L5219" s="12" t="inlineStr">
        <is>
          <t>3/C+3G</t>
        </is>
      </c>
      <c r="M5219" s="12" t="inlineStr">
        <is>
          <t>6</t>
        </is>
      </c>
      <c r="N5219" s="12" t="n">
        <v>1</v>
      </c>
      <c r="O5219" s="12" t="n">
        <v>1</v>
      </c>
      <c r="P5219" s="12" t="n">
        <v>480</v>
      </c>
      <c r="Q5219" s="12" t="n">
        <v>30</v>
      </c>
      <c r="R5219" s="12" t="n">
        <v>42</v>
      </c>
      <c r="S5219" s="12" t="inlineStr">
        <is>
          <t>Tray</t>
        </is>
      </c>
      <c r="T5219" s="16" t="n">
        <v>80</v>
      </c>
      <c r="U5219" s="16" t="n">
        <v>206</v>
      </c>
      <c r="V5219" s="16">
        <f>ROUNDUP((T5219+U5219+2*'Read Me'!$B$13)*(1+'Read Me'!$B$12),-1)</f>
        <v/>
      </c>
      <c r="W5219" s="16">
        <f>V5219*N5219*O5219</f>
        <v/>
      </c>
      <c r="X5219" s="12">
        <f>IF(LEFT(I5219,2)="MV",2*N5219*IF(L5219="1/C",O5219,1),0)</f>
        <v/>
      </c>
      <c r="Y5219" s="12">
        <f>IF(OR(LEFT(K5219,4)="LVAX",LEFT(K5219,6)="MV15AX",LEFT(K5219,4)="CTAX",LEFT(K5219,2)="W|"),2*N5219*O5219,0)</f>
        <v/>
      </c>
      <c r="Z5219" s="12" t="inlineStr">
        <is>
          <t>VD 2.4 %</t>
        </is>
      </c>
      <c r="AA5219" s="12">
        <f>N5219*O5219</f>
        <v/>
      </c>
    </row>
    <row r="5220">
      <c r="A5220" s="12" t="inlineStr">
        <is>
          <t>I-P-0101</t>
        </is>
      </c>
      <c r="B5220" s="12" t="inlineStr">
        <is>
          <t>I</t>
        </is>
      </c>
      <c r="C5220" s="12" t="inlineStr">
        <is>
          <t>Modular / portable power</t>
        </is>
      </c>
      <c r="D5220" s="12" t="inlineStr">
        <is>
          <t>Motor 3 of 5, 30 kW (VFD output)</t>
        </is>
      </c>
      <c r="E5220" s="12" t="inlineStr"/>
      <c r="F5220" s="12" t="inlineStr">
        <is>
          <t>PCM: power control module</t>
        </is>
      </c>
      <c r="G5220" s="12" t="inlineStr"/>
      <c r="H5220" s="12" t="inlineStr">
        <is>
          <t>RICE 4 radiators (5)</t>
        </is>
      </c>
      <c r="I5220" s="12" t="inlineStr">
        <is>
          <t>LV 600 V</t>
        </is>
      </c>
      <c r="J5220" s="12" t="inlineStr">
        <is>
          <t>VFD cable 600 V 3/C Cu XHHW-2, 3 symmetrical grounds, overall Cu tape shield, TC-ER</t>
        </is>
      </c>
      <c r="K5220" s="12" t="inlineStr">
        <is>
          <t>VFD|3/C+3G|6</t>
        </is>
      </c>
      <c r="L5220" s="12" t="inlineStr">
        <is>
          <t>3/C+3G</t>
        </is>
      </c>
      <c r="M5220" s="12" t="inlineStr">
        <is>
          <t>6</t>
        </is>
      </c>
      <c r="N5220" s="12" t="n">
        <v>1</v>
      </c>
      <c r="O5220" s="12" t="n">
        <v>1</v>
      </c>
      <c r="P5220" s="12" t="n">
        <v>480</v>
      </c>
      <c r="Q5220" s="12" t="n">
        <v>30</v>
      </c>
      <c r="R5220" s="12" t="n">
        <v>42</v>
      </c>
      <c r="S5220" s="12" t="inlineStr">
        <is>
          <t>Tray</t>
        </is>
      </c>
      <c r="T5220" s="16" t="n">
        <v>80</v>
      </c>
      <c r="U5220" s="16" t="n">
        <v>206</v>
      </c>
      <c r="V5220" s="16">
        <f>ROUNDUP((T5220+U5220+2*'Read Me'!$B$13)*(1+'Read Me'!$B$12),-1)</f>
        <v/>
      </c>
      <c r="W5220" s="16">
        <f>V5220*N5220*O5220</f>
        <v/>
      </c>
      <c r="X5220" s="12">
        <f>IF(LEFT(I5220,2)="MV",2*N5220*IF(L5220="1/C",O5220,1),0)</f>
        <v/>
      </c>
      <c r="Y5220" s="12">
        <f>IF(OR(LEFT(K5220,4)="LVAX",LEFT(K5220,6)="MV15AX",LEFT(K5220,4)="CTAX",LEFT(K5220,2)="W|"),2*N5220*O5220,0)</f>
        <v/>
      </c>
      <c r="Z5220" s="12" t="inlineStr">
        <is>
          <t>VD 2.4 %</t>
        </is>
      </c>
      <c r="AA5220" s="12">
        <f>N5220*O5220</f>
        <v/>
      </c>
    </row>
    <row r="5221">
      <c r="A5221" s="12" t="inlineStr">
        <is>
          <t>I-P-0102</t>
        </is>
      </c>
      <c r="B5221" s="12" t="inlineStr">
        <is>
          <t>I</t>
        </is>
      </c>
      <c r="C5221" s="12" t="inlineStr">
        <is>
          <t>Modular / portable power</t>
        </is>
      </c>
      <c r="D5221" s="12" t="inlineStr">
        <is>
          <t>Motor 4 of 5, 30 kW (VFD output)</t>
        </is>
      </c>
      <c r="E5221" s="12" t="inlineStr"/>
      <c r="F5221" s="12" t="inlineStr">
        <is>
          <t>PCM: power control module</t>
        </is>
      </c>
      <c r="G5221" s="12" t="inlineStr"/>
      <c r="H5221" s="12" t="inlineStr">
        <is>
          <t>RICE 4 radiators (5)</t>
        </is>
      </c>
      <c r="I5221" s="12" t="inlineStr">
        <is>
          <t>LV 600 V</t>
        </is>
      </c>
      <c r="J5221" s="12" t="inlineStr">
        <is>
          <t>VFD cable 600 V 3/C Cu XHHW-2, 3 symmetrical grounds, overall Cu tape shield, TC-ER</t>
        </is>
      </c>
      <c r="K5221" s="12" t="inlineStr">
        <is>
          <t>VFD|3/C+3G|6</t>
        </is>
      </c>
      <c r="L5221" s="12" t="inlineStr">
        <is>
          <t>3/C+3G</t>
        </is>
      </c>
      <c r="M5221" s="12" t="inlineStr">
        <is>
          <t>6</t>
        </is>
      </c>
      <c r="N5221" s="12" t="n">
        <v>1</v>
      </c>
      <c r="O5221" s="12" t="n">
        <v>1</v>
      </c>
      <c r="P5221" s="12" t="n">
        <v>480</v>
      </c>
      <c r="Q5221" s="12" t="n">
        <v>30</v>
      </c>
      <c r="R5221" s="12" t="n">
        <v>42</v>
      </c>
      <c r="S5221" s="12" t="inlineStr">
        <is>
          <t>Tray</t>
        </is>
      </c>
      <c r="T5221" s="16" t="n">
        <v>80</v>
      </c>
      <c r="U5221" s="16" t="n">
        <v>206</v>
      </c>
      <c r="V5221" s="16">
        <f>ROUNDUP((T5221+U5221+2*'Read Me'!$B$13)*(1+'Read Me'!$B$12),-1)</f>
        <v/>
      </c>
      <c r="W5221" s="16">
        <f>V5221*N5221*O5221</f>
        <v/>
      </c>
      <c r="X5221" s="12">
        <f>IF(LEFT(I5221,2)="MV",2*N5221*IF(L5221="1/C",O5221,1),0)</f>
        <v/>
      </c>
      <c r="Y5221" s="12">
        <f>IF(OR(LEFT(K5221,4)="LVAX",LEFT(K5221,6)="MV15AX",LEFT(K5221,4)="CTAX",LEFT(K5221,2)="W|"),2*N5221*O5221,0)</f>
        <v/>
      </c>
      <c r="Z5221" s="12" t="inlineStr">
        <is>
          <t>VD 2.4 %</t>
        </is>
      </c>
      <c r="AA5221" s="12">
        <f>N5221*O5221</f>
        <v/>
      </c>
    </row>
    <row r="5222">
      <c r="A5222" s="12" t="inlineStr">
        <is>
          <t>I-P-0103</t>
        </is>
      </c>
      <c r="B5222" s="12" t="inlineStr">
        <is>
          <t>I</t>
        </is>
      </c>
      <c r="C5222" s="12" t="inlineStr">
        <is>
          <t>Modular / portable power</t>
        </is>
      </c>
      <c r="D5222" s="12" t="inlineStr">
        <is>
          <t>Motor 5 of 5, 30 kW (VFD output)</t>
        </is>
      </c>
      <c r="E5222" s="12" t="inlineStr"/>
      <c r="F5222" s="12" t="inlineStr">
        <is>
          <t>PCM: power control module</t>
        </is>
      </c>
      <c r="G5222" s="12" t="inlineStr"/>
      <c r="H5222" s="12" t="inlineStr">
        <is>
          <t>RICE 4 radiators (5)</t>
        </is>
      </c>
      <c r="I5222" s="12" t="inlineStr">
        <is>
          <t>LV 600 V</t>
        </is>
      </c>
      <c r="J5222" s="12" t="inlineStr">
        <is>
          <t>VFD cable 600 V 3/C Cu XHHW-2, 3 symmetrical grounds, overall Cu tape shield, TC-ER</t>
        </is>
      </c>
      <c r="K5222" s="12" t="inlineStr">
        <is>
          <t>VFD|3/C+3G|6</t>
        </is>
      </c>
      <c r="L5222" s="12" t="inlineStr">
        <is>
          <t>3/C+3G</t>
        </is>
      </c>
      <c r="M5222" s="12" t="inlineStr">
        <is>
          <t>6</t>
        </is>
      </c>
      <c r="N5222" s="12" t="n">
        <v>1</v>
      </c>
      <c r="O5222" s="12" t="n">
        <v>1</v>
      </c>
      <c r="P5222" s="12" t="n">
        <v>480</v>
      </c>
      <c r="Q5222" s="12" t="n">
        <v>30</v>
      </c>
      <c r="R5222" s="12" t="n">
        <v>42</v>
      </c>
      <c r="S5222" s="12" t="inlineStr">
        <is>
          <t>Tray</t>
        </is>
      </c>
      <c r="T5222" s="16" t="n">
        <v>80</v>
      </c>
      <c r="U5222" s="16" t="n">
        <v>206</v>
      </c>
      <c r="V5222" s="16">
        <f>ROUNDUP((T5222+U5222+2*'Read Me'!$B$13)*(1+'Read Me'!$B$12),-1)</f>
        <v/>
      </c>
      <c r="W5222" s="16">
        <f>V5222*N5222*O5222</f>
        <v/>
      </c>
      <c r="X5222" s="12">
        <f>IF(LEFT(I5222,2)="MV",2*N5222*IF(L5222="1/C",O5222,1),0)</f>
        <v/>
      </c>
      <c r="Y5222" s="12">
        <f>IF(OR(LEFT(K5222,4)="LVAX",LEFT(K5222,6)="MV15AX",LEFT(K5222,4)="CTAX",LEFT(K5222,2)="W|"),2*N5222*O5222,0)</f>
        <v/>
      </c>
      <c r="Z5222" s="12" t="inlineStr">
        <is>
          <t>VD 2.4 %</t>
        </is>
      </c>
      <c r="AA5222" s="12">
        <f>N5222*O5222</f>
        <v/>
      </c>
    </row>
    <row r="5223">
      <c r="A5223" s="12" t="inlineStr">
        <is>
          <t>I-P-0104</t>
        </is>
      </c>
      <c r="B5223" s="12" t="inlineStr">
        <is>
          <t>I</t>
        </is>
      </c>
      <c r="C5223" s="12" t="inlineStr">
        <is>
          <t>Modular / portable power</t>
        </is>
      </c>
      <c r="D5223" s="12" t="inlineStr">
        <is>
          <t>Motor 1 of 1, 15 kW</t>
        </is>
      </c>
      <c r="E5223" s="12" t="inlineStr"/>
      <c r="F5223" s="12" t="inlineStr">
        <is>
          <t>PCM: power control module</t>
        </is>
      </c>
      <c r="G5223" s="12" t="inlineStr"/>
      <c r="H5223" s="12" t="inlineStr">
        <is>
          <t>RICE 5 SCR + oxidation catalyst and stack</t>
        </is>
      </c>
      <c r="I5223" s="12" t="inlineStr">
        <is>
          <t>LV 600 V</t>
        </is>
      </c>
      <c r="J5223" s="12" t="inlineStr">
        <is>
          <t>Type TC-ER 600 V 3/C Cu XHHW-2 + ground, PVC jacket</t>
        </is>
      </c>
      <c r="K5223" s="12" t="inlineStr">
        <is>
          <t>LV|3/C+G|6</t>
        </is>
      </c>
      <c r="L5223" s="12" t="inlineStr">
        <is>
          <t>3/C+G</t>
        </is>
      </c>
      <c r="M5223" s="12" t="inlineStr">
        <is>
          <t>6</t>
        </is>
      </c>
      <c r="N5223" s="12" t="n">
        <v>1</v>
      </c>
      <c r="O5223" s="12" t="n">
        <v>1</v>
      </c>
      <c r="P5223" s="12" t="n">
        <v>480</v>
      </c>
      <c r="Q5223" s="12" t="n">
        <v>15</v>
      </c>
      <c r="R5223" s="12" t="n">
        <v>21.2</v>
      </c>
      <c r="S5223" s="12" t="inlineStr">
        <is>
          <t>Duct bank</t>
        </is>
      </c>
      <c r="T5223" s="16" t="n">
        <v>322</v>
      </c>
      <c r="U5223" s="16" t="n">
        <v>196</v>
      </c>
      <c r="V5223" s="16">
        <f>ROUNDUP((T5223+U5223+2*'Read Me'!$B$13)*(1+'Read Me'!$B$12),-1)</f>
        <v/>
      </c>
      <c r="W5223" s="16">
        <f>V5223*N5223*O5223</f>
        <v/>
      </c>
      <c r="X5223" s="12">
        <f>IF(LEFT(I5223,2)="MV",2*N5223*IF(L5223="1/C",O5223,1),0)</f>
        <v/>
      </c>
      <c r="Y5223" s="12">
        <f>IF(OR(LEFT(K5223,4)="LVAX",LEFT(K5223,6)="MV15AX",LEFT(K5223,4)="CTAX",LEFT(K5223,2)="W|"),2*N5223*O5223,0)</f>
        <v/>
      </c>
      <c r="Z5223" s="12" t="inlineStr">
        <is>
          <t>VD 2.1 %</t>
        </is>
      </c>
      <c r="AA5223" s="12">
        <f>N5223*O5223</f>
        <v/>
      </c>
    </row>
    <row r="5224">
      <c r="A5224" s="12" t="inlineStr">
        <is>
          <t>I-P-0105</t>
        </is>
      </c>
      <c r="B5224" s="12" t="inlineStr">
        <is>
          <t>I</t>
        </is>
      </c>
      <c r="C5224" s="12" t="inlineStr">
        <is>
          <t>Modular / portable power</t>
        </is>
      </c>
      <c r="D5224" s="12" t="inlineStr">
        <is>
          <t>Area / platform lighting circuit 1 (6 fixtures)</t>
        </is>
      </c>
      <c r="E5224" s="12" t="inlineStr"/>
      <c r="F5224" s="12" t="inlineStr">
        <is>
          <t>PCM: power control module</t>
        </is>
      </c>
      <c r="G5224" s="12" t="inlineStr"/>
      <c r="H5224" s="12" t="inlineStr">
        <is>
          <t>RICE 5 SCR + oxidation catalyst and stack</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3</v>
      </c>
      <c r="R5224" s="12" t="n">
        <v>5</v>
      </c>
      <c r="S5224" s="12" t="inlineStr">
        <is>
          <t>Duct bank</t>
        </is>
      </c>
      <c r="T5224" s="16" t="n">
        <v>622</v>
      </c>
      <c r="U5224" s="16" t="n">
        <v>196</v>
      </c>
      <c r="V5224" s="16">
        <f>ROUNDUP((T5224+U5224+2*'Read Me'!$B$13)*(1+'Read Me'!$B$12),-1)</f>
        <v/>
      </c>
      <c r="W5224" s="16">
        <f>V5224*N5224*O5224</f>
        <v/>
      </c>
      <c r="X5224" s="12">
        <f>IF(LEFT(I5224,2)="MV",2*N5224*IF(L5224="1/C",O5224,1),0)</f>
        <v/>
      </c>
      <c r="Y5224" s="12">
        <f>IF(OR(LEFT(K5224,4)="LVAX",LEFT(K5224,6)="MV15AX",LEFT(K5224,4)="CTAX",LEFT(K5224,2)="W|"),2*N5224*O5224,0)</f>
        <v/>
      </c>
      <c r="Z5224" s="12" t="inlineStr">
        <is>
          <t>fixture-to-fixture run included</t>
        </is>
      </c>
      <c r="AA5224" s="12">
        <f>N5224*O5224</f>
        <v/>
      </c>
    </row>
    <row r="5225">
      <c r="A5225" s="12" t="inlineStr">
        <is>
          <t>I-P-0106</t>
        </is>
      </c>
      <c r="B5225" s="12" t="inlineStr">
        <is>
          <t>I</t>
        </is>
      </c>
      <c r="C5225" s="12" t="inlineStr">
        <is>
          <t>Modular / portable power</t>
        </is>
      </c>
      <c r="D5225" s="12" t="inlineStr">
        <is>
          <t>Motor 1 of 5, 30 kW (VFD output)</t>
        </is>
      </c>
      <c r="E5225" s="12" t="inlineStr"/>
      <c r="F5225" s="12" t="inlineStr">
        <is>
          <t>PCM: power control module</t>
        </is>
      </c>
      <c r="G5225" s="12" t="inlineStr"/>
      <c r="H5225" s="12" t="inlineStr">
        <is>
          <t>RICE 5 radiators (5)</t>
        </is>
      </c>
      <c r="I5225" s="12" t="inlineStr">
        <is>
          <t>LV 600 V</t>
        </is>
      </c>
      <c r="J5225" s="12" t="inlineStr">
        <is>
          <t>VFD cable 600 V 3/C Cu XHHW-2, 3 symmetrical grounds, overall Cu tape shield, TC-ER</t>
        </is>
      </c>
      <c r="K5225" s="12" t="inlineStr">
        <is>
          <t>VFD|3/C+3G|6</t>
        </is>
      </c>
      <c r="L5225" s="12" t="inlineStr">
        <is>
          <t>3/C+3G</t>
        </is>
      </c>
      <c r="M5225" s="12" t="inlineStr">
        <is>
          <t>6</t>
        </is>
      </c>
      <c r="N5225" s="12" t="n">
        <v>1</v>
      </c>
      <c r="O5225" s="12" t="n">
        <v>1</v>
      </c>
      <c r="P5225" s="12" t="n">
        <v>480</v>
      </c>
      <c r="Q5225" s="12" t="n">
        <v>30</v>
      </c>
      <c r="R5225" s="12" t="n">
        <v>42</v>
      </c>
      <c r="S5225" s="12" t="inlineStr">
        <is>
          <t>Tray</t>
        </is>
      </c>
      <c r="T5225" s="16" t="n">
        <v>80</v>
      </c>
      <c r="U5225" s="16" t="n">
        <v>178</v>
      </c>
      <c r="V5225" s="16">
        <f>ROUNDUP((T5225+U5225+2*'Read Me'!$B$13)*(1+'Read Me'!$B$12),-1)</f>
        <v/>
      </c>
      <c r="W5225" s="16">
        <f>V5225*N5225*O5225</f>
        <v/>
      </c>
      <c r="X5225" s="12">
        <f>IF(LEFT(I5225,2)="MV",2*N5225*IF(L5225="1/C",O5225,1),0)</f>
        <v/>
      </c>
      <c r="Y5225" s="12">
        <f>IF(OR(LEFT(K5225,4)="LVAX",LEFT(K5225,6)="MV15AX",LEFT(K5225,4)="CTAX",LEFT(K5225,2)="W|"),2*N5225*O5225,0)</f>
        <v/>
      </c>
      <c r="Z5225" s="12" t="inlineStr">
        <is>
          <t>VD 2.1 %</t>
        </is>
      </c>
      <c r="AA5225" s="12">
        <f>N5225*O5225</f>
        <v/>
      </c>
    </row>
    <row r="5226">
      <c r="A5226" s="12" t="inlineStr">
        <is>
          <t>I-P-0107</t>
        </is>
      </c>
      <c r="B5226" s="12" t="inlineStr">
        <is>
          <t>I</t>
        </is>
      </c>
      <c r="C5226" s="12" t="inlineStr">
        <is>
          <t>Modular / portable power</t>
        </is>
      </c>
      <c r="D5226" s="12" t="inlineStr">
        <is>
          <t>Motor 2 of 5, 30 kW (VFD output)</t>
        </is>
      </c>
      <c r="E5226" s="12" t="inlineStr"/>
      <c r="F5226" s="12" t="inlineStr">
        <is>
          <t>PCM: power control module</t>
        </is>
      </c>
      <c r="G5226" s="12" t="inlineStr"/>
      <c r="H5226" s="12" t="inlineStr">
        <is>
          <t>RICE 5 radiators (5)</t>
        </is>
      </c>
      <c r="I5226" s="12" t="inlineStr">
        <is>
          <t>LV 600 V</t>
        </is>
      </c>
      <c r="J5226" s="12" t="inlineStr">
        <is>
          <t>VFD cable 600 V 3/C Cu XHHW-2, 3 symmetrical grounds, overall Cu tape shield, TC-ER</t>
        </is>
      </c>
      <c r="K5226" s="12" t="inlineStr">
        <is>
          <t>VFD|3/C+3G|6</t>
        </is>
      </c>
      <c r="L5226" s="12" t="inlineStr">
        <is>
          <t>3/C+3G</t>
        </is>
      </c>
      <c r="M5226" s="12" t="inlineStr">
        <is>
          <t>6</t>
        </is>
      </c>
      <c r="N5226" s="12" t="n">
        <v>1</v>
      </c>
      <c r="O5226" s="12" t="n">
        <v>1</v>
      </c>
      <c r="P5226" s="12" t="n">
        <v>480</v>
      </c>
      <c r="Q5226" s="12" t="n">
        <v>30</v>
      </c>
      <c r="R5226" s="12" t="n">
        <v>42</v>
      </c>
      <c r="S5226" s="12" t="inlineStr">
        <is>
          <t>Tray</t>
        </is>
      </c>
      <c r="T5226" s="16" t="n">
        <v>80</v>
      </c>
      <c r="U5226" s="16" t="n">
        <v>178</v>
      </c>
      <c r="V5226" s="16">
        <f>ROUNDUP((T5226+U5226+2*'Read Me'!$B$13)*(1+'Read Me'!$B$12),-1)</f>
        <v/>
      </c>
      <c r="W5226" s="16">
        <f>V5226*N5226*O5226</f>
        <v/>
      </c>
      <c r="X5226" s="12">
        <f>IF(LEFT(I5226,2)="MV",2*N5226*IF(L5226="1/C",O5226,1),0)</f>
        <v/>
      </c>
      <c r="Y5226" s="12">
        <f>IF(OR(LEFT(K5226,4)="LVAX",LEFT(K5226,6)="MV15AX",LEFT(K5226,4)="CTAX",LEFT(K5226,2)="W|"),2*N5226*O5226,0)</f>
        <v/>
      </c>
      <c r="Z5226" s="12" t="inlineStr">
        <is>
          <t>VD 2.1 %</t>
        </is>
      </c>
      <c r="AA5226" s="12">
        <f>N5226*O5226</f>
        <v/>
      </c>
    </row>
    <row r="5227">
      <c r="A5227" s="12" t="inlineStr">
        <is>
          <t>I-P-0108</t>
        </is>
      </c>
      <c r="B5227" s="12" t="inlineStr">
        <is>
          <t>I</t>
        </is>
      </c>
      <c r="C5227" s="12" t="inlineStr">
        <is>
          <t>Modular / portable power</t>
        </is>
      </c>
      <c r="D5227" s="12" t="inlineStr">
        <is>
          <t>Motor 3 of 5, 30 kW (VFD output)</t>
        </is>
      </c>
      <c r="E5227" s="12" t="inlineStr"/>
      <c r="F5227" s="12" t="inlineStr">
        <is>
          <t>PCM: power control module</t>
        </is>
      </c>
      <c r="G5227" s="12" t="inlineStr"/>
      <c r="H5227" s="12" t="inlineStr">
        <is>
          <t>RICE 5 radiators (5)</t>
        </is>
      </c>
      <c r="I5227" s="12" t="inlineStr">
        <is>
          <t>LV 600 V</t>
        </is>
      </c>
      <c r="J5227" s="12" t="inlineStr">
        <is>
          <t>VFD cable 600 V 3/C Cu XHHW-2, 3 symmetrical grounds, overall Cu tape shield, TC-ER</t>
        </is>
      </c>
      <c r="K5227" s="12" t="inlineStr">
        <is>
          <t>VFD|3/C+3G|6</t>
        </is>
      </c>
      <c r="L5227" s="12" t="inlineStr">
        <is>
          <t>3/C+3G</t>
        </is>
      </c>
      <c r="M5227" s="12" t="inlineStr">
        <is>
          <t>6</t>
        </is>
      </c>
      <c r="N5227" s="12" t="n">
        <v>1</v>
      </c>
      <c r="O5227" s="12" t="n">
        <v>1</v>
      </c>
      <c r="P5227" s="12" t="n">
        <v>480</v>
      </c>
      <c r="Q5227" s="12" t="n">
        <v>30</v>
      </c>
      <c r="R5227" s="12" t="n">
        <v>42</v>
      </c>
      <c r="S5227" s="12" t="inlineStr">
        <is>
          <t>Tray</t>
        </is>
      </c>
      <c r="T5227" s="16" t="n">
        <v>80</v>
      </c>
      <c r="U5227" s="16" t="n">
        <v>178</v>
      </c>
      <c r="V5227" s="16">
        <f>ROUNDUP((T5227+U5227+2*'Read Me'!$B$13)*(1+'Read Me'!$B$12),-1)</f>
        <v/>
      </c>
      <c r="W5227" s="16">
        <f>V5227*N5227*O5227</f>
        <v/>
      </c>
      <c r="X5227" s="12">
        <f>IF(LEFT(I5227,2)="MV",2*N5227*IF(L5227="1/C",O5227,1),0)</f>
        <v/>
      </c>
      <c r="Y5227" s="12">
        <f>IF(OR(LEFT(K5227,4)="LVAX",LEFT(K5227,6)="MV15AX",LEFT(K5227,4)="CTAX",LEFT(K5227,2)="W|"),2*N5227*O5227,0)</f>
        <v/>
      </c>
      <c r="Z5227" s="12" t="inlineStr">
        <is>
          <t>VD 2.1 %</t>
        </is>
      </c>
      <c r="AA5227" s="12">
        <f>N5227*O5227</f>
        <v/>
      </c>
    </row>
    <row r="5228">
      <c r="A5228" s="12" t="inlineStr">
        <is>
          <t>I-P-0109</t>
        </is>
      </c>
      <c r="B5228" s="12" t="inlineStr">
        <is>
          <t>I</t>
        </is>
      </c>
      <c r="C5228" s="12" t="inlineStr">
        <is>
          <t>Modular / portable power</t>
        </is>
      </c>
      <c r="D5228" s="12" t="inlineStr">
        <is>
          <t>Motor 4 of 5, 30 kW (VFD output)</t>
        </is>
      </c>
      <c r="E5228" s="12" t="inlineStr"/>
      <c r="F5228" s="12" t="inlineStr">
        <is>
          <t>PCM: power control module</t>
        </is>
      </c>
      <c r="G5228" s="12" t="inlineStr"/>
      <c r="H5228" s="12" t="inlineStr">
        <is>
          <t>RICE 5 radiators (5)</t>
        </is>
      </c>
      <c r="I5228" s="12" t="inlineStr">
        <is>
          <t>LV 600 V</t>
        </is>
      </c>
      <c r="J5228" s="12" t="inlineStr">
        <is>
          <t>VFD cable 600 V 3/C Cu XHHW-2, 3 symmetrical grounds, overall Cu tape shield, TC-ER</t>
        </is>
      </c>
      <c r="K5228" s="12" t="inlineStr">
        <is>
          <t>VFD|3/C+3G|6</t>
        </is>
      </c>
      <c r="L5228" s="12" t="inlineStr">
        <is>
          <t>3/C+3G</t>
        </is>
      </c>
      <c r="M5228" s="12" t="inlineStr">
        <is>
          <t>6</t>
        </is>
      </c>
      <c r="N5228" s="12" t="n">
        <v>1</v>
      </c>
      <c r="O5228" s="12" t="n">
        <v>1</v>
      </c>
      <c r="P5228" s="12" t="n">
        <v>480</v>
      </c>
      <c r="Q5228" s="12" t="n">
        <v>30</v>
      </c>
      <c r="R5228" s="12" t="n">
        <v>42</v>
      </c>
      <c r="S5228" s="12" t="inlineStr">
        <is>
          <t>Tray</t>
        </is>
      </c>
      <c r="T5228" s="16" t="n">
        <v>80</v>
      </c>
      <c r="U5228" s="16" t="n">
        <v>178</v>
      </c>
      <c r="V5228" s="16">
        <f>ROUNDUP((T5228+U5228+2*'Read Me'!$B$13)*(1+'Read Me'!$B$12),-1)</f>
        <v/>
      </c>
      <c r="W5228" s="16">
        <f>V5228*N5228*O5228</f>
        <v/>
      </c>
      <c r="X5228" s="12">
        <f>IF(LEFT(I5228,2)="MV",2*N5228*IF(L5228="1/C",O5228,1),0)</f>
        <v/>
      </c>
      <c r="Y5228" s="12">
        <f>IF(OR(LEFT(K5228,4)="LVAX",LEFT(K5228,6)="MV15AX",LEFT(K5228,4)="CTAX",LEFT(K5228,2)="W|"),2*N5228*O5228,0)</f>
        <v/>
      </c>
      <c r="Z5228" s="12" t="inlineStr">
        <is>
          <t>VD 2.1 %</t>
        </is>
      </c>
      <c r="AA5228" s="12">
        <f>N5228*O5228</f>
        <v/>
      </c>
    </row>
    <row r="5229">
      <c r="A5229" s="12" t="inlineStr">
        <is>
          <t>I-P-0110</t>
        </is>
      </c>
      <c r="B5229" s="12" t="inlineStr">
        <is>
          <t>I</t>
        </is>
      </c>
      <c r="C5229" s="12" t="inlineStr">
        <is>
          <t>Modular / portable power</t>
        </is>
      </c>
      <c r="D5229" s="12" t="inlineStr">
        <is>
          <t>Motor 5 of 5, 30 kW (VFD output)</t>
        </is>
      </c>
      <c r="E5229" s="12" t="inlineStr"/>
      <c r="F5229" s="12" t="inlineStr">
        <is>
          <t>PCM: power control module</t>
        </is>
      </c>
      <c r="G5229" s="12" t="inlineStr"/>
      <c r="H5229" s="12" t="inlineStr">
        <is>
          <t>RICE 5 radiators (5)</t>
        </is>
      </c>
      <c r="I5229" s="12" t="inlineStr">
        <is>
          <t>LV 600 V</t>
        </is>
      </c>
      <c r="J5229" s="12" t="inlineStr">
        <is>
          <t>VFD cable 600 V 3/C Cu XHHW-2, 3 symmetrical grounds, overall Cu tape shield, TC-ER</t>
        </is>
      </c>
      <c r="K5229" s="12" t="inlineStr">
        <is>
          <t>VFD|3/C+3G|6</t>
        </is>
      </c>
      <c r="L5229" s="12" t="inlineStr">
        <is>
          <t>3/C+3G</t>
        </is>
      </c>
      <c r="M5229" s="12" t="inlineStr">
        <is>
          <t>6</t>
        </is>
      </c>
      <c r="N5229" s="12" t="n">
        <v>1</v>
      </c>
      <c r="O5229" s="12" t="n">
        <v>1</v>
      </c>
      <c r="P5229" s="12" t="n">
        <v>480</v>
      </c>
      <c r="Q5229" s="12" t="n">
        <v>30</v>
      </c>
      <c r="R5229" s="12" t="n">
        <v>42</v>
      </c>
      <c r="S5229" s="12" t="inlineStr">
        <is>
          <t>Tray</t>
        </is>
      </c>
      <c r="T5229" s="16" t="n">
        <v>80</v>
      </c>
      <c r="U5229" s="16" t="n">
        <v>178</v>
      </c>
      <c r="V5229" s="16">
        <f>ROUNDUP((T5229+U5229+2*'Read Me'!$B$13)*(1+'Read Me'!$B$12),-1)</f>
        <v/>
      </c>
      <c r="W5229" s="16">
        <f>V5229*N5229*O5229</f>
        <v/>
      </c>
      <c r="X5229" s="12">
        <f>IF(LEFT(I5229,2)="MV",2*N5229*IF(L5229="1/C",O5229,1),0)</f>
        <v/>
      </c>
      <c r="Y5229" s="12">
        <f>IF(OR(LEFT(K5229,4)="LVAX",LEFT(K5229,6)="MV15AX",LEFT(K5229,4)="CTAX",LEFT(K5229,2)="W|"),2*N5229*O5229,0)</f>
        <v/>
      </c>
      <c r="Z5229" s="12" t="inlineStr">
        <is>
          <t>VD 2.1 %</t>
        </is>
      </c>
      <c r="AA5229" s="12">
        <f>N5229*O5229</f>
        <v/>
      </c>
    </row>
    <row r="5230">
      <c r="A5230" s="12" t="inlineStr">
        <is>
          <t>I-P-0111</t>
        </is>
      </c>
      <c r="B5230" s="12" t="inlineStr">
        <is>
          <t>I</t>
        </is>
      </c>
      <c r="C5230" s="12" t="inlineStr">
        <is>
          <t>Modular / portable power</t>
        </is>
      </c>
      <c r="D5230" s="12" t="inlineStr">
        <is>
          <t>Motor 1 of 1, 15 kW</t>
        </is>
      </c>
      <c r="E5230" s="12" t="inlineStr"/>
      <c r="F5230" s="12" t="inlineStr">
        <is>
          <t>PCM: power control module</t>
        </is>
      </c>
      <c r="G5230" s="12" t="inlineStr"/>
      <c r="H5230" s="12" t="inlineStr">
        <is>
          <t>RICE 6 SCR + oxidation catalyst and stack</t>
        </is>
      </c>
      <c r="I5230" s="12" t="inlineStr">
        <is>
          <t>LV 600 V</t>
        </is>
      </c>
      <c r="J5230" s="12" t="inlineStr">
        <is>
          <t>Type TC-ER 600 V 3/C Cu XHHW-2 + ground, PVC jacket</t>
        </is>
      </c>
      <c r="K5230" s="12" t="inlineStr">
        <is>
          <t>LV|3/C+G|6</t>
        </is>
      </c>
      <c r="L5230" s="12" t="inlineStr">
        <is>
          <t>3/C+G</t>
        </is>
      </c>
      <c r="M5230" s="12" t="inlineStr">
        <is>
          <t>6</t>
        </is>
      </c>
      <c r="N5230" s="12" t="n">
        <v>1</v>
      </c>
      <c r="O5230" s="12" t="n">
        <v>1</v>
      </c>
      <c r="P5230" s="12" t="n">
        <v>480</v>
      </c>
      <c r="Q5230" s="12" t="n">
        <v>15</v>
      </c>
      <c r="R5230" s="12" t="n">
        <v>21.2</v>
      </c>
      <c r="S5230" s="12" t="inlineStr">
        <is>
          <t>Duct bank</t>
        </is>
      </c>
      <c r="T5230" s="16" t="n">
        <v>322</v>
      </c>
      <c r="U5230" s="16" t="n">
        <v>168</v>
      </c>
      <c r="V5230" s="16">
        <f>ROUNDUP((T5230+U5230+2*'Read Me'!$B$13)*(1+'Read Me'!$B$12),-1)</f>
        <v/>
      </c>
      <c r="W5230" s="16">
        <f>V5230*N5230*O5230</f>
        <v/>
      </c>
      <c r="X5230" s="12">
        <f>IF(LEFT(I5230,2)="MV",2*N5230*IF(L5230="1/C",O5230,1),0)</f>
        <v/>
      </c>
      <c r="Y5230" s="12">
        <f>IF(OR(LEFT(K5230,4)="LVAX",LEFT(K5230,6)="MV15AX",LEFT(K5230,4)="CTAX",LEFT(K5230,2)="W|"),2*N5230*O5230,0)</f>
        <v/>
      </c>
      <c r="Z5230" s="12" t="inlineStr">
        <is>
          <t>VD 2.0 %</t>
        </is>
      </c>
      <c r="AA5230" s="12">
        <f>N5230*O5230</f>
        <v/>
      </c>
    </row>
    <row r="5231">
      <c r="A5231" s="12" t="inlineStr">
        <is>
          <t>I-P-0112</t>
        </is>
      </c>
      <c r="B5231" s="12" t="inlineStr">
        <is>
          <t>I</t>
        </is>
      </c>
      <c r="C5231" s="12" t="inlineStr">
        <is>
          <t>Modular / portable power</t>
        </is>
      </c>
      <c r="D5231" s="12" t="inlineStr">
        <is>
          <t>Area / platform lighting circuit 1 (6 fixtures)</t>
        </is>
      </c>
      <c r="E5231" s="12" t="inlineStr"/>
      <c r="F5231" s="12" t="inlineStr">
        <is>
          <t>PCM: power control module</t>
        </is>
      </c>
      <c r="G5231" s="12" t="inlineStr"/>
      <c r="H5231" s="12" t="inlineStr">
        <is>
          <t>RICE 6 SCR + oxidation catalyst and stack</t>
        </is>
      </c>
      <c r="I5231" s="12" t="inlineStr">
        <is>
          <t>LV 600 V</t>
        </is>
      </c>
      <c r="J5231" s="12" t="inlineStr">
        <is>
          <t>Type TC-ER 600 V 3/C Cu XHHW-2 + ground, PVC jacket</t>
        </is>
      </c>
      <c r="K5231" s="12" t="inlineStr">
        <is>
          <t>LV|3/C+G|10</t>
        </is>
      </c>
      <c r="L5231" s="12" t="inlineStr">
        <is>
          <t>3/C+G</t>
        </is>
      </c>
      <c r="M5231" s="12" t="inlineStr">
        <is>
          <t>10</t>
        </is>
      </c>
      <c r="N5231" s="12" t="n">
        <v>1</v>
      </c>
      <c r="O5231" s="12" t="n">
        <v>1</v>
      </c>
      <c r="P5231" s="12" t="n">
        <v>480</v>
      </c>
      <c r="Q5231" s="12" t="n">
        <v>3</v>
      </c>
      <c r="R5231" s="12" t="n">
        <v>5</v>
      </c>
      <c r="S5231" s="12" t="inlineStr">
        <is>
          <t>Duct bank</t>
        </is>
      </c>
      <c r="T5231" s="16" t="n">
        <v>622</v>
      </c>
      <c r="U5231" s="16" t="n">
        <v>168</v>
      </c>
      <c r="V5231" s="16">
        <f>ROUNDUP((T5231+U5231+2*'Read Me'!$B$13)*(1+'Read Me'!$B$12),-1)</f>
        <v/>
      </c>
      <c r="W5231" s="16">
        <f>V5231*N5231*O5231</f>
        <v/>
      </c>
      <c r="X5231" s="12">
        <f>IF(LEFT(I5231,2)="MV",2*N5231*IF(L5231="1/C",O5231,1),0)</f>
        <v/>
      </c>
      <c r="Y5231" s="12">
        <f>IF(OR(LEFT(K5231,4)="LVAX",LEFT(K5231,6)="MV15AX",LEFT(K5231,4)="CTAX",LEFT(K5231,2)="W|"),2*N5231*O5231,0)</f>
        <v/>
      </c>
      <c r="Z5231" s="12" t="inlineStr">
        <is>
          <t>fixture-to-fixture run included</t>
        </is>
      </c>
      <c r="AA5231" s="12">
        <f>N5231*O5231</f>
        <v/>
      </c>
    </row>
    <row r="5232">
      <c r="A5232" s="12" t="inlineStr">
        <is>
          <t>I-P-0113</t>
        </is>
      </c>
      <c r="B5232" s="12" t="inlineStr">
        <is>
          <t>I</t>
        </is>
      </c>
      <c r="C5232" s="12" t="inlineStr">
        <is>
          <t>Modular / portable power</t>
        </is>
      </c>
      <c r="D5232" s="12" t="inlineStr">
        <is>
          <t>Motor 1 of 5, 30 kW (VFD output)</t>
        </is>
      </c>
      <c r="E5232" s="12" t="inlineStr"/>
      <c r="F5232" s="12" t="inlineStr">
        <is>
          <t>PCM: power control module</t>
        </is>
      </c>
      <c r="G5232" s="12" t="inlineStr"/>
      <c r="H5232" s="12" t="inlineStr">
        <is>
          <t>RICE 6 radiators (5)</t>
        </is>
      </c>
      <c r="I5232" s="12" t="inlineStr">
        <is>
          <t>LV 600 V</t>
        </is>
      </c>
      <c r="J5232" s="12" t="inlineStr">
        <is>
          <t>VFD cable 600 V 3/C Cu XHHW-2, 3 symmetrical grounds, overall Cu tape shield, TC-ER</t>
        </is>
      </c>
      <c r="K5232" s="12" t="inlineStr">
        <is>
          <t>VFD|3/C+3G|6</t>
        </is>
      </c>
      <c r="L5232" s="12" t="inlineStr">
        <is>
          <t>3/C+3G</t>
        </is>
      </c>
      <c r="M5232" s="12" t="inlineStr">
        <is>
          <t>6</t>
        </is>
      </c>
      <c r="N5232" s="12" t="n">
        <v>1</v>
      </c>
      <c r="O5232" s="12" t="n">
        <v>1</v>
      </c>
      <c r="P5232" s="12" t="n">
        <v>480</v>
      </c>
      <c r="Q5232" s="12" t="n">
        <v>30</v>
      </c>
      <c r="R5232" s="12" t="n">
        <v>42</v>
      </c>
      <c r="S5232" s="12" t="inlineStr">
        <is>
          <t>Tray</t>
        </is>
      </c>
      <c r="T5232" s="16" t="n">
        <v>80</v>
      </c>
      <c r="U5232" s="16" t="n">
        <v>150</v>
      </c>
      <c r="V5232" s="16">
        <f>ROUNDUP((T5232+U5232+2*'Read Me'!$B$13)*(1+'Read Me'!$B$12),-1)</f>
        <v/>
      </c>
      <c r="W5232" s="16">
        <f>V5232*N5232*O5232</f>
        <v/>
      </c>
      <c r="X5232" s="12">
        <f>IF(LEFT(I5232,2)="MV",2*N5232*IF(L5232="1/C",O5232,1),0)</f>
        <v/>
      </c>
      <c r="Y5232" s="12">
        <f>IF(OR(LEFT(K5232,4)="LVAX",LEFT(K5232,6)="MV15AX",LEFT(K5232,4)="CTAX",LEFT(K5232,2)="W|"),2*N5232*O5232,0)</f>
        <v/>
      </c>
      <c r="Z5232" s="12" t="inlineStr">
        <is>
          <t>VD 1.9 %</t>
        </is>
      </c>
      <c r="AA5232" s="12">
        <f>N5232*O5232</f>
        <v/>
      </c>
    </row>
    <row r="5233">
      <c r="A5233" s="12" t="inlineStr">
        <is>
          <t>I-P-0114</t>
        </is>
      </c>
      <c r="B5233" s="12" t="inlineStr">
        <is>
          <t>I</t>
        </is>
      </c>
      <c r="C5233" s="12" t="inlineStr">
        <is>
          <t>Modular / portable power</t>
        </is>
      </c>
      <c r="D5233" s="12" t="inlineStr">
        <is>
          <t>Motor 2 of 5, 30 kW (VFD output)</t>
        </is>
      </c>
      <c r="E5233" s="12" t="inlineStr"/>
      <c r="F5233" s="12" t="inlineStr">
        <is>
          <t>PCM: power control module</t>
        </is>
      </c>
      <c r="G5233" s="12" t="inlineStr"/>
      <c r="H5233" s="12" t="inlineStr">
        <is>
          <t>RICE 6 radiators (5)</t>
        </is>
      </c>
      <c r="I5233" s="12" t="inlineStr">
        <is>
          <t>LV 600 V</t>
        </is>
      </c>
      <c r="J5233" s="12" t="inlineStr">
        <is>
          <t>VFD cable 600 V 3/C Cu XHHW-2, 3 symmetrical grounds, overall Cu tape shield, TC-ER</t>
        </is>
      </c>
      <c r="K5233" s="12" t="inlineStr">
        <is>
          <t>VFD|3/C+3G|6</t>
        </is>
      </c>
      <c r="L5233" s="12" t="inlineStr">
        <is>
          <t>3/C+3G</t>
        </is>
      </c>
      <c r="M5233" s="12" t="inlineStr">
        <is>
          <t>6</t>
        </is>
      </c>
      <c r="N5233" s="12" t="n">
        <v>1</v>
      </c>
      <c r="O5233" s="12" t="n">
        <v>1</v>
      </c>
      <c r="P5233" s="12" t="n">
        <v>480</v>
      </c>
      <c r="Q5233" s="12" t="n">
        <v>30</v>
      </c>
      <c r="R5233" s="12" t="n">
        <v>42</v>
      </c>
      <c r="S5233" s="12" t="inlineStr">
        <is>
          <t>Tray</t>
        </is>
      </c>
      <c r="T5233" s="16" t="n">
        <v>80</v>
      </c>
      <c r="U5233" s="16" t="n">
        <v>150</v>
      </c>
      <c r="V5233" s="16">
        <f>ROUNDUP((T5233+U5233+2*'Read Me'!$B$13)*(1+'Read Me'!$B$12),-1)</f>
        <v/>
      </c>
      <c r="W5233" s="16">
        <f>V5233*N5233*O5233</f>
        <v/>
      </c>
      <c r="X5233" s="12">
        <f>IF(LEFT(I5233,2)="MV",2*N5233*IF(L5233="1/C",O5233,1),0)</f>
        <v/>
      </c>
      <c r="Y5233" s="12">
        <f>IF(OR(LEFT(K5233,4)="LVAX",LEFT(K5233,6)="MV15AX",LEFT(K5233,4)="CTAX",LEFT(K5233,2)="W|"),2*N5233*O5233,0)</f>
        <v/>
      </c>
      <c r="Z5233" s="12" t="inlineStr">
        <is>
          <t>VD 1.9 %</t>
        </is>
      </c>
      <c r="AA5233" s="12">
        <f>N5233*O5233</f>
        <v/>
      </c>
    </row>
    <row r="5234">
      <c r="A5234" s="12" t="inlineStr">
        <is>
          <t>I-P-0115</t>
        </is>
      </c>
      <c r="B5234" s="12" t="inlineStr">
        <is>
          <t>I</t>
        </is>
      </c>
      <c r="C5234" s="12" t="inlineStr">
        <is>
          <t>Modular / portable power</t>
        </is>
      </c>
      <c r="D5234" s="12" t="inlineStr">
        <is>
          <t>Motor 3 of 5, 30 kW (VFD output)</t>
        </is>
      </c>
      <c r="E5234" s="12" t="inlineStr"/>
      <c r="F5234" s="12" t="inlineStr">
        <is>
          <t>PCM: power control module</t>
        </is>
      </c>
      <c r="G5234" s="12" t="inlineStr"/>
      <c r="H5234" s="12" t="inlineStr">
        <is>
          <t>RICE 6 radiators (5)</t>
        </is>
      </c>
      <c r="I5234" s="12" t="inlineStr">
        <is>
          <t>LV 600 V</t>
        </is>
      </c>
      <c r="J5234" s="12" t="inlineStr">
        <is>
          <t>VFD cable 600 V 3/C Cu XHHW-2, 3 symmetrical grounds, overall Cu tape shield, TC-ER</t>
        </is>
      </c>
      <c r="K5234" s="12" t="inlineStr">
        <is>
          <t>VFD|3/C+3G|6</t>
        </is>
      </c>
      <c r="L5234" s="12" t="inlineStr">
        <is>
          <t>3/C+3G</t>
        </is>
      </c>
      <c r="M5234" s="12" t="inlineStr">
        <is>
          <t>6</t>
        </is>
      </c>
      <c r="N5234" s="12" t="n">
        <v>1</v>
      </c>
      <c r="O5234" s="12" t="n">
        <v>1</v>
      </c>
      <c r="P5234" s="12" t="n">
        <v>480</v>
      </c>
      <c r="Q5234" s="12" t="n">
        <v>30</v>
      </c>
      <c r="R5234" s="12" t="n">
        <v>42</v>
      </c>
      <c r="S5234" s="12" t="inlineStr">
        <is>
          <t>Tray</t>
        </is>
      </c>
      <c r="T5234" s="16" t="n">
        <v>80</v>
      </c>
      <c r="U5234" s="16" t="n">
        <v>150</v>
      </c>
      <c r="V5234" s="16">
        <f>ROUNDUP((T5234+U5234+2*'Read Me'!$B$13)*(1+'Read Me'!$B$12),-1)</f>
        <v/>
      </c>
      <c r="W5234" s="16">
        <f>V5234*N5234*O5234</f>
        <v/>
      </c>
      <c r="X5234" s="12">
        <f>IF(LEFT(I5234,2)="MV",2*N5234*IF(L5234="1/C",O5234,1),0)</f>
        <v/>
      </c>
      <c r="Y5234" s="12">
        <f>IF(OR(LEFT(K5234,4)="LVAX",LEFT(K5234,6)="MV15AX",LEFT(K5234,4)="CTAX",LEFT(K5234,2)="W|"),2*N5234*O5234,0)</f>
        <v/>
      </c>
      <c r="Z5234" s="12" t="inlineStr">
        <is>
          <t>VD 1.9 %</t>
        </is>
      </c>
      <c r="AA5234" s="12">
        <f>N5234*O5234</f>
        <v/>
      </c>
    </row>
    <row r="5235">
      <c r="A5235" s="12" t="inlineStr">
        <is>
          <t>I-P-0116</t>
        </is>
      </c>
      <c r="B5235" s="12" t="inlineStr">
        <is>
          <t>I</t>
        </is>
      </c>
      <c r="C5235" s="12" t="inlineStr">
        <is>
          <t>Modular / portable power</t>
        </is>
      </c>
      <c r="D5235" s="12" t="inlineStr">
        <is>
          <t>Motor 4 of 5, 30 kW (VFD output)</t>
        </is>
      </c>
      <c r="E5235" s="12" t="inlineStr"/>
      <c r="F5235" s="12" t="inlineStr">
        <is>
          <t>PCM: power control module</t>
        </is>
      </c>
      <c r="G5235" s="12" t="inlineStr"/>
      <c r="H5235" s="12" t="inlineStr">
        <is>
          <t>RICE 6 radiators (5)</t>
        </is>
      </c>
      <c r="I5235" s="12" t="inlineStr">
        <is>
          <t>LV 600 V</t>
        </is>
      </c>
      <c r="J5235" s="12" t="inlineStr">
        <is>
          <t>VFD cable 600 V 3/C Cu XHHW-2, 3 symmetrical grounds, overall Cu tape shield, TC-ER</t>
        </is>
      </c>
      <c r="K5235" s="12" t="inlineStr">
        <is>
          <t>VFD|3/C+3G|6</t>
        </is>
      </c>
      <c r="L5235" s="12" t="inlineStr">
        <is>
          <t>3/C+3G</t>
        </is>
      </c>
      <c r="M5235" s="12" t="inlineStr">
        <is>
          <t>6</t>
        </is>
      </c>
      <c r="N5235" s="12" t="n">
        <v>1</v>
      </c>
      <c r="O5235" s="12" t="n">
        <v>1</v>
      </c>
      <c r="P5235" s="12" t="n">
        <v>480</v>
      </c>
      <c r="Q5235" s="12" t="n">
        <v>30</v>
      </c>
      <c r="R5235" s="12" t="n">
        <v>42</v>
      </c>
      <c r="S5235" s="12" t="inlineStr">
        <is>
          <t>Tray</t>
        </is>
      </c>
      <c r="T5235" s="16" t="n">
        <v>80</v>
      </c>
      <c r="U5235" s="16" t="n">
        <v>150</v>
      </c>
      <c r="V5235" s="16">
        <f>ROUNDUP((T5235+U5235+2*'Read Me'!$B$13)*(1+'Read Me'!$B$12),-1)</f>
        <v/>
      </c>
      <c r="W5235" s="16">
        <f>V5235*N5235*O5235</f>
        <v/>
      </c>
      <c r="X5235" s="12">
        <f>IF(LEFT(I5235,2)="MV",2*N5235*IF(L5235="1/C",O5235,1),0)</f>
        <v/>
      </c>
      <c r="Y5235" s="12">
        <f>IF(OR(LEFT(K5235,4)="LVAX",LEFT(K5235,6)="MV15AX",LEFT(K5235,4)="CTAX",LEFT(K5235,2)="W|"),2*N5235*O5235,0)</f>
        <v/>
      </c>
      <c r="Z5235" s="12" t="inlineStr">
        <is>
          <t>VD 1.9 %</t>
        </is>
      </c>
      <c r="AA5235" s="12">
        <f>N5235*O5235</f>
        <v/>
      </c>
    </row>
    <row r="5236">
      <c r="A5236" s="12" t="inlineStr">
        <is>
          <t>I-P-0117</t>
        </is>
      </c>
      <c r="B5236" s="12" t="inlineStr">
        <is>
          <t>I</t>
        </is>
      </c>
      <c r="C5236" s="12" t="inlineStr">
        <is>
          <t>Modular / portable power</t>
        </is>
      </c>
      <c r="D5236" s="12" t="inlineStr">
        <is>
          <t>Motor 5 of 5, 30 kW (VFD output)</t>
        </is>
      </c>
      <c r="E5236" s="12" t="inlineStr"/>
      <c r="F5236" s="12" t="inlineStr">
        <is>
          <t>PCM: power control module</t>
        </is>
      </c>
      <c r="G5236" s="12" t="inlineStr"/>
      <c r="H5236" s="12" t="inlineStr">
        <is>
          <t>RICE 6 radiators (5)</t>
        </is>
      </c>
      <c r="I5236" s="12" t="inlineStr">
        <is>
          <t>LV 600 V</t>
        </is>
      </c>
      <c r="J5236" s="12" t="inlineStr">
        <is>
          <t>VFD cable 600 V 3/C Cu XHHW-2, 3 symmetrical grounds, overall Cu tape shield, TC-ER</t>
        </is>
      </c>
      <c r="K5236" s="12" t="inlineStr">
        <is>
          <t>VFD|3/C+3G|6</t>
        </is>
      </c>
      <c r="L5236" s="12" t="inlineStr">
        <is>
          <t>3/C+3G</t>
        </is>
      </c>
      <c r="M5236" s="12" t="inlineStr">
        <is>
          <t>6</t>
        </is>
      </c>
      <c r="N5236" s="12" t="n">
        <v>1</v>
      </c>
      <c r="O5236" s="12" t="n">
        <v>1</v>
      </c>
      <c r="P5236" s="12" t="n">
        <v>480</v>
      </c>
      <c r="Q5236" s="12" t="n">
        <v>30</v>
      </c>
      <c r="R5236" s="12" t="n">
        <v>42</v>
      </c>
      <c r="S5236" s="12" t="inlineStr">
        <is>
          <t>Tray</t>
        </is>
      </c>
      <c r="T5236" s="16" t="n">
        <v>80</v>
      </c>
      <c r="U5236" s="16" t="n">
        <v>150</v>
      </c>
      <c r="V5236" s="16">
        <f>ROUNDUP((T5236+U5236+2*'Read Me'!$B$13)*(1+'Read Me'!$B$12),-1)</f>
        <v/>
      </c>
      <c r="W5236" s="16">
        <f>V5236*N5236*O5236</f>
        <v/>
      </c>
      <c r="X5236" s="12">
        <f>IF(LEFT(I5236,2)="MV",2*N5236*IF(L5236="1/C",O5236,1),0)</f>
        <v/>
      </c>
      <c r="Y5236" s="12">
        <f>IF(OR(LEFT(K5236,4)="LVAX",LEFT(K5236,6)="MV15AX",LEFT(K5236,4)="CTAX",LEFT(K5236,2)="W|"),2*N5236*O5236,0)</f>
        <v/>
      </c>
      <c r="Z5236" s="12" t="inlineStr">
        <is>
          <t>VD 1.9 %</t>
        </is>
      </c>
      <c r="AA5236" s="12">
        <f>N5236*O5236</f>
        <v/>
      </c>
    </row>
    <row r="5237">
      <c r="A5237" s="12" t="inlineStr">
        <is>
          <t>I-P-0118</t>
        </is>
      </c>
      <c r="B5237" s="12" t="inlineStr">
        <is>
          <t>I</t>
        </is>
      </c>
      <c r="C5237" s="12" t="inlineStr">
        <is>
          <t>Modular / portable power</t>
        </is>
      </c>
      <c r="D5237" s="12" t="inlineStr">
        <is>
          <t>Motor 1 of 1, 15 kW</t>
        </is>
      </c>
      <c r="E5237" s="12" t="inlineStr"/>
      <c r="F5237" s="12" t="inlineStr">
        <is>
          <t>PCM: power control module</t>
        </is>
      </c>
      <c r="G5237" s="12" t="inlineStr"/>
      <c r="H5237" s="12" t="inlineStr">
        <is>
          <t>RICE 7 SCR + oxidation catalyst and stack</t>
        </is>
      </c>
      <c r="I5237" s="12" t="inlineStr">
        <is>
          <t>LV 600 V</t>
        </is>
      </c>
      <c r="J5237" s="12" t="inlineStr">
        <is>
          <t>Type TC-ER 600 V 3/C Cu XHHW-2 + ground, PVC jacket</t>
        </is>
      </c>
      <c r="K5237" s="12" t="inlineStr">
        <is>
          <t>LV|3/C+G|8</t>
        </is>
      </c>
      <c r="L5237" s="12" t="inlineStr">
        <is>
          <t>3/C+G</t>
        </is>
      </c>
      <c r="M5237" s="12" t="inlineStr">
        <is>
          <t>8</t>
        </is>
      </c>
      <c r="N5237" s="12" t="n">
        <v>1</v>
      </c>
      <c r="O5237" s="12" t="n">
        <v>1</v>
      </c>
      <c r="P5237" s="12" t="n">
        <v>480</v>
      </c>
      <c r="Q5237" s="12" t="n">
        <v>15</v>
      </c>
      <c r="R5237" s="12" t="n">
        <v>21.2</v>
      </c>
      <c r="S5237" s="12" t="inlineStr">
        <is>
          <t>Duct bank</t>
        </is>
      </c>
      <c r="T5237" s="16" t="n">
        <v>322</v>
      </c>
      <c r="U5237" s="16" t="n">
        <v>140</v>
      </c>
      <c r="V5237" s="16">
        <f>ROUNDUP((T5237+U5237+2*'Read Me'!$B$13)*(1+'Read Me'!$B$12),-1)</f>
        <v/>
      </c>
      <c r="W5237" s="16">
        <f>V5237*N5237*O5237</f>
        <v/>
      </c>
      <c r="X5237" s="12">
        <f>IF(LEFT(I5237,2)="MV",2*N5237*IF(L5237="1/C",O5237,1),0)</f>
        <v/>
      </c>
      <c r="Y5237" s="12">
        <f>IF(OR(LEFT(K5237,4)="LVAX",LEFT(K5237,6)="MV15AX",LEFT(K5237,4)="CTAX",LEFT(K5237,2)="W|"),2*N5237*O5237,0)</f>
        <v/>
      </c>
      <c r="Z5237" s="12" t="inlineStr">
        <is>
          <t>VD 3.0 %</t>
        </is>
      </c>
      <c r="AA5237" s="12">
        <f>N5237*O5237</f>
        <v/>
      </c>
    </row>
    <row r="5238">
      <c r="A5238" s="12" t="inlineStr">
        <is>
          <t>I-P-0119</t>
        </is>
      </c>
      <c r="B5238" s="12" t="inlineStr">
        <is>
          <t>I</t>
        </is>
      </c>
      <c r="C5238" s="12" t="inlineStr">
        <is>
          <t>Modular / portable power</t>
        </is>
      </c>
      <c r="D5238" s="12" t="inlineStr">
        <is>
          <t>Area / platform lighting circuit 1 (6 fixtures)</t>
        </is>
      </c>
      <c r="E5238" s="12" t="inlineStr"/>
      <c r="F5238" s="12" t="inlineStr">
        <is>
          <t>PCM: power control module</t>
        </is>
      </c>
      <c r="G5238" s="12" t="inlineStr"/>
      <c r="H5238" s="12" t="inlineStr">
        <is>
          <t>RICE 7 SCR + oxidation catalyst and stack</t>
        </is>
      </c>
      <c r="I5238" s="12" t="inlineStr">
        <is>
          <t>LV 600 V</t>
        </is>
      </c>
      <c r="J5238" s="12" t="inlineStr">
        <is>
          <t>Type TC-ER 600 V 3/C Cu XHHW-2 + ground, PVC jacket</t>
        </is>
      </c>
      <c r="K5238" s="12" t="inlineStr">
        <is>
          <t>LV|3/C+G|10</t>
        </is>
      </c>
      <c r="L5238" s="12" t="inlineStr">
        <is>
          <t>3/C+G</t>
        </is>
      </c>
      <c r="M5238" s="12" t="inlineStr">
        <is>
          <t>10</t>
        </is>
      </c>
      <c r="N5238" s="12" t="n">
        <v>1</v>
      </c>
      <c r="O5238" s="12" t="n">
        <v>1</v>
      </c>
      <c r="P5238" s="12" t="n">
        <v>480</v>
      </c>
      <c r="Q5238" s="12" t="n">
        <v>3</v>
      </c>
      <c r="R5238" s="12" t="n">
        <v>5</v>
      </c>
      <c r="S5238" s="12" t="inlineStr">
        <is>
          <t>Duct bank</t>
        </is>
      </c>
      <c r="T5238" s="16" t="n">
        <v>622</v>
      </c>
      <c r="U5238" s="16" t="n">
        <v>140</v>
      </c>
      <c r="V5238" s="16">
        <f>ROUNDUP((T5238+U5238+2*'Read Me'!$B$13)*(1+'Read Me'!$B$12),-1)</f>
        <v/>
      </c>
      <c r="W5238" s="16">
        <f>V5238*N5238*O5238</f>
        <v/>
      </c>
      <c r="X5238" s="12">
        <f>IF(LEFT(I5238,2)="MV",2*N5238*IF(L5238="1/C",O5238,1),0)</f>
        <v/>
      </c>
      <c r="Y5238" s="12">
        <f>IF(OR(LEFT(K5238,4)="LVAX",LEFT(K5238,6)="MV15AX",LEFT(K5238,4)="CTAX",LEFT(K5238,2)="W|"),2*N5238*O5238,0)</f>
        <v/>
      </c>
      <c r="Z5238" s="12" t="inlineStr">
        <is>
          <t>fixture-to-fixture run included</t>
        </is>
      </c>
      <c r="AA5238" s="12">
        <f>N5238*O5238</f>
        <v/>
      </c>
    </row>
    <row r="5239">
      <c r="A5239" s="12" t="inlineStr">
        <is>
          <t>I-P-0120</t>
        </is>
      </c>
      <c r="B5239" s="12" t="inlineStr">
        <is>
          <t>I</t>
        </is>
      </c>
      <c r="C5239" s="12" t="inlineStr">
        <is>
          <t>Modular / portable power</t>
        </is>
      </c>
      <c r="D5239" s="12" t="inlineStr">
        <is>
          <t>Motor 1 of 5, 30 kW (VFD output)</t>
        </is>
      </c>
      <c r="E5239" s="12" t="inlineStr"/>
      <c r="F5239" s="12" t="inlineStr">
        <is>
          <t>PCM: power control module</t>
        </is>
      </c>
      <c r="G5239" s="12" t="inlineStr"/>
      <c r="H5239" s="12" t="inlineStr">
        <is>
          <t>RICE 7 radiators (5)</t>
        </is>
      </c>
      <c r="I5239" s="12" t="inlineStr">
        <is>
          <t>LV 600 V</t>
        </is>
      </c>
      <c r="J5239" s="12" t="inlineStr">
        <is>
          <t>VFD cable 600 V 3/C Cu XHHW-2, 3 symmetrical grounds, overall Cu tape shield, TC-ER</t>
        </is>
      </c>
      <c r="K5239" s="12" t="inlineStr">
        <is>
          <t>VFD|3/C+3G|6</t>
        </is>
      </c>
      <c r="L5239" s="12" t="inlineStr">
        <is>
          <t>3/C+3G</t>
        </is>
      </c>
      <c r="M5239" s="12" t="inlineStr">
        <is>
          <t>6</t>
        </is>
      </c>
      <c r="N5239" s="12" t="n">
        <v>1</v>
      </c>
      <c r="O5239" s="12" t="n">
        <v>1</v>
      </c>
      <c r="P5239" s="12" t="n">
        <v>480</v>
      </c>
      <c r="Q5239" s="12" t="n">
        <v>30</v>
      </c>
      <c r="R5239" s="12" t="n">
        <v>42</v>
      </c>
      <c r="S5239" s="12" t="inlineStr">
        <is>
          <t>Tray</t>
        </is>
      </c>
      <c r="T5239" s="16" t="n">
        <v>80</v>
      </c>
      <c r="U5239" s="16" t="n">
        <v>122</v>
      </c>
      <c r="V5239" s="16">
        <f>ROUNDUP((T5239+U5239+2*'Read Me'!$B$13)*(1+'Read Me'!$B$12),-1)</f>
        <v/>
      </c>
      <c r="W5239" s="16">
        <f>V5239*N5239*O5239</f>
        <v/>
      </c>
      <c r="X5239" s="12">
        <f>IF(LEFT(I5239,2)="MV",2*N5239*IF(L5239="1/C",O5239,1),0)</f>
        <v/>
      </c>
      <c r="Y5239" s="12">
        <f>IF(OR(LEFT(K5239,4)="LVAX",LEFT(K5239,6)="MV15AX",LEFT(K5239,4)="CTAX",LEFT(K5239,2)="W|"),2*N5239*O5239,0)</f>
        <v/>
      </c>
      <c r="Z5239" s="12" t="inlineStr">
        <is>
          <t>VD 1.7 %</t>
        </is>
      </c>
      <c r="AA5239" s="12">
        <f>N5239*O5239</f>
        <v/>
      </c>
    </row>
    <row r="5240">
      <c r="A5240" s="12" t="inlineStr">
        <is>
          <t>I-P-0121</t>
        </is>
      </c>
      <c r="B5240" s="12" t="inlineStr">
        <is>
          <t>I</t>
        </is>
      </c>
      <c r="C5240" s="12" t="inlineStr">
        <is>
          <t>Modular / portable power</t>
        </is>
      </c>
      <c r="D5240" s="12" t="inlineStr">
        <is>
          <t>Motor 2 of 5, 30 kW (VFD output)</t>
        </is>
      </c>
      <c r="E5240" s="12" t="inlineStr"/>
      <c r="F5240" s="12" t="inlineStr">
        <is>
          <t>PCM: power control module</t>
        </is>
      </c>
      <c r="G5240" s="12" t="inlineStr"/>
      <c r="H5240" s="12" t="inlineStr">
        <is>
          <t>RICE 7 radiators (5)</t>
        </is>
      </c>
      <c r="I5240" s="12" t="inlineStr">
        <is>
          <t>LV 600 V</t>
        </is>
      </c>
      <c r="J5240" s="12" t="inlineStr">
        <is>
          <t>VFD cable 600 V 3/C Cu XHHW-2, 3 symmetrical grounds, overall Cu tape shield, TC-ER</t>
        </is>
      </c>
      <c r="K5240" s="12" t="inlineStr">
        <is>
          <t>VFD|3/C+3G|6</t>
        </is>
      </c>
      <c r="L5240" s="12" t="inlineStr">
        <is>
          <t>3/C+3G</t>
        </is>
      </c>
      <c r="M5240" s="12" t="inlineStr">
        <is>
          <t>6</t>
        </is>
      </c>
      <c r="N5240" s="12" t="n">
        <v>1</v>
      </c>
      <c r="O5240" s="12" t="n">
        <v>1</v>
      </c>
      <c r="P5240" s="12" t="n">
        <v>480</v>
      </c>
      <c r="Q5240" s="12" t="n">
        <v>30</v>
      </c>
      <c r="R5240" s="12" t="n">
        <v>42</v>
      </c>
      <c r="S5240" s="12" t="inlineStr">
        <is>
          <t>Tray</t>
        </is>
      </c>
      <c r="T5240" s="16" t="n">
        <v>80</v>
      </c>
      <c r="U5240" s="16" t="n">
        <v>122</v>
      </c>
      <c r="V5240" s="16">
        <f>ROUNDUP((T5240+U5240+2*'Read Me'!$B$13)*(1+'Read Me'!$B$12),-1)</f>
        <v/>
      </c>
      <c r="W5240" s="16">
        <f>V5240*N5240*O5240</f>
        <v/>
      </c>
      <c r="X5240" s="12">
        <f>IF(LEFT(I5240,2)="MV",2*N5240*IF(L5240="1/C",O5240,1),0)</f>
        <v/>
      </c>
      <c r="Y5240" s="12">
        <f>IF(OR(LEFT(K5240,4)="LVAX",LEFT(K5240,6)="MV15AX",LEFT(K5240,4)="CTAX",LEFT(K5240,2)="W|"),2*N5240*O5240,0)</f>
        <v/>
      </c>
      <c r="Z5240" s="12" t="inlineStr">
        <is>
          <t>VD 1.7 %</t>
        </is>
      </c>
      <c r="AA5240" s="12">
        <f>N5240*O5240</f>
        <v/>
      </c>
    </row>
    <row r="5241">
      <c r="A5241" s="12" t="inlineStr">
        <is>
          <t>I-P-0122</t>
        </is>
      </c>
      <c r="B5241" s="12" t="inlineStr">
        <is>
          <t>I</t>
        </is>
      </c>
      <c r="C5241" s="12" t="inlineStr">
        <is>
          <t>Modular / portable power</t>
        </is>
      </c>
      <c r="D5241" s="12" t="inlineStr">
        <is>
          <t>Motor 3 of 5, 30 kW (VFD output)</t>
        </is>
      </c>
      <c r="E5241" s="12" t="inlineStr"/>
      <c r="F5241" s="12" t="inlineStr">
        <is>
          <t>PCM: power control module</t>
        </is>
      </c>
      <c r="G5241" s="12" t="inlineStr"/>
      <c r="H5241" s="12" t="inlineStr">
        <is>
          <t>RICE 7 radiators (5)</t>
        </is>
      </c>
      <c r="I5241" s="12" t="inlineStr">
        <is>
          <t>LV 600 V</t>
        </is>
      </c>
      <c r="J5241" s="12" t="inlineStr">
        <is>
          <t>VFD cable 600 V 3/C Cu XHHW-2, 3 symmetrical grounds, overall Cu tape shield, TC-ER</t>
        </is>
      </c>
      <c r="K5241" s="12" t="inlineStr">
        <is>
          <t>VFD|3/C+3G|6</t>
        </is>
      </c>
      <c r="L5241" s="12" t="inlineStr">
        <is>
          <t>3/C+3G</t>
        </is>
      </c>
      <c r="M5241" s="12" t="inlineStr">
        <is>
          <t>6</t>
        </is>
      </c>
      <c r="N5241" s="12" t="n">
        <v>1</v>
      </c>
      <c r="O5241" s="12" t="n">
        <v>1</v>
      </c>
      <c r="P5241" s="12" t="n">
        <v>480</v>
      </c>
      <c r="Q5241" s="12" t="n">
        <v>30</v>
      </c>
      <c r="R5241" s="12" t="n">
        <v>42</v>
      </c>
      <c r="S5241" s="12" t="inlineStr">
        <is>
          <t>Tray</t>
        </is>
      </c>
      <c r="T5241" s="16" t="n">
        <v>80</v>
      </c>
      <c r="U5241" s="16" t="n">
        <v>122</v>
      </c>
      <c r="V5241" s="16">
        <f>ROUNDUP((T5241+U5241+2*'Read Me'!$B$13)*(1+'Read Me'!$B$12),-1)</f>
        <v/>
      </c>
      <c r="W5241" s="16">
        <f>V5241*N5241*O5241</f>
        <v/>
      </c>
      <c r="X5241" s="12">
        <f>IF(LEFT(I5241,2)="MV",2*N5241*IF(L5241="1/C",O5241,1),0)</f>
        <v/>
      </c>
      <c r="Y5241" s="12">
        <f>IF(OR(LEFT(K5241,4)="LVAX",LEFT(K5241,6)="MV15AX",LEFT(K5241,4)="CTAX",LEFT(K5241,2)="W|"),2*N5241*O5241,0)</f>
        <v/>
      </c>
      <c r="Z5241" s="12" t="inlineStr">
        <is>
          <t>VD 1.7 %</t>
        </is>
      </c>
      <c r="AA5241" s="12">
        <f>N5241*O5241</f>
        <v/>
      </c>
    </row>
    <row r="5242">
      <c r="A5242" s="12" t="inlineStr">
        <is>
          <t>I-P-0123</t>
        </is>
      </c>
      <c r="B5242" s="12" t="inlineStr">
        <is>
          <t>I</t>
        </is>
      </c>
      <c r="C5242" s="12" t="inlineStr">
        <is>
          <t>Modular / portable power</t>
        </is>
      </c>
      <c r="D5242" s="12" t="inlineStr">
        <is>
          <t>Motor 4 of 5, 30 kW (VFD output)</t>
        </is>
      </c>
      <c r="E5242" s="12" t="inlineStr"/>
      <c r="F5242" s="12" t="inlineStr">
        <is>
          <t>PCM: power control module</t>
        </is>
      </c>
      <c r="G5242" s="12" t="inlineStr"/>
      <c r="H5242" s="12" t="inlineStr">
        <is>
          <t>RICE 7 radiators (5)</t>
        </is>
      </c>
      <c r="I5242" s="12" t="inlineStr">
        <is>
          <t>LV 600 V</t>
        </is>
      </c>
      <c r="J5242" s="12" t="inlineStr">
        <is>
          <t>VFD cable 600 V 3/C Cu XHHW-2, 3 symmetrical grounds, overall Cu tape shield, TC-ER</t>
        </is>
      </c>
      <c r="K5242" s="12" t="inlineStr">
        <is>
          <t>VFD|3/C+3G|6</t>
        </is>
      </c>
      <c r="L5242" s="12" t="inlineStr">
        <is>
          <t>3/C+3G</t>
        </is>
      </c>
      <c r="M5242" s="12" t="inlineStr">
        <is>
          <t>6</t>
        </is>
      </c>
      <c r="N5242" s="12" t="n">
        <v>1</v>
      </c>
      <c r="O5242" s="12" t="n">
        <v>1</v>
      </c>
      <c r="P5242" s="12" t="n">
        <v>480</v>
      </c>
      <c r="Q5242" s="12" t="n">
        <v>30</v>
      </c>
      <c r="R5242" s="12" t="n">
        <v>42</v>
      </c>
      <c r="S5242" s="12" t="inlineStr">
        <is>
          <t>Tray</t>
        </is>
      </c>
      <c r="T5242" s="16" t="n">
        <v>80</v>
      </c>
      <c r="U5242" s="16" t="n">
        <v>122</v>
      </c>
      <c r="V5242" s="16">
        <f>ROUNDUP((T5242+U5242+2*'Read Me'!$B$13)*(1+'Read Me'!$B$12),-1)</f>
        <v/>
      </c>
      <c r="W5242" s="16">
        <f>V5242*N5242*O5242</f>
        <v/>
      </c>
      <c r="X5242" s="12">
        <f>IF(LEFT(I5242,2)="MV",2*N5242*IF(L5242="1/C",O5242,1),0)</f>
        <v/>
      </c>
      <c r="Y5242" s="12">
        <f>IF(OR(LEFT(K5242,4)="LVAX",LEFT(K5242,6)="MV15AX",LEFT(K5242,4)="CTAX",LEFT(K5242,2)="W|"),2*N5242*O5242,0)</f>
        <v/>
      </c>
      <c r="Z5242" s="12" t="inlineStr">
        <is>
          <t>VD 1.7 %</t>
        </is>
      </c>
      <c r="AA5242" s="12">
        <f>N5242*O5242</f>
        <v/>
      </c>
    </row>
    <row r="5243">
      <c r="A5243" s="12" t="inlineStr">
        <is>
          <t>I-P-0124</t>
        </is>
      </c>
      <c r="B5243" s="12" t="inlineStr">
        <is>
          <t>I</t>
        </is>
      </c>
      <c r="C5243" s="12" t="inlineStr">
        <is>
          <t>Modular / portable power</t>
        </is>
      </c>
      <c r="D5243" s="12" t="inlineStr">
        <is>
          <t>Motor 5 of 5, 30 kW (VFD output)</t>
        </is>
      </c>
      <c r="E5243" s="12" t="inlineStr"/>
      <c r="F5243" s="12" t="inlineStr">
        <is>
          <t>PCM: power control module</t>
        </is>
      </c>
      <c r="G5243" s="12" t="inlineStr"/>
      <c r="H5243" s="12" t="inlineStr">
        <is>
          <t>RICE 7 radiators (5)</t>
        </is>
      </c>
      <c r="I5243" s="12" t="inlineStr">
        <is>
          <t>LV 600 V</t>
        </is>
      </c>
      <c r="J5243" s="12" t="inlineStr">
        <is>
          <t>VFD cable 600 V 3/C Cu XHHW-2, 3 symmetrical grounds, overall Cu tape shield, TC-ER</t>
        </is>
      </c>
      <c r="K5243" s="12" t="inlineStr">
        <is>
          <t>VFD|3/C+3G|6</t>
        </is>
      </c>
      <c r="L5243" s="12" t="inlineStr">
        <is>
          <t>3/C+3G</t>
        </is>
      </c>
      <c r="M5243" s="12" t="inlineStr">
        <is>
          <t>6</t>
        </is>
      </c>
      <c r="N5243" s="12" t="n">
        <v>1</v>
      </c>
      <c r="O5243" s="12" t="n">
        <v>1</v>
      </c>
      <c r="P5243" s="12" t="n">
        <v>480</v>
      </c>
      <c r="Q5243" s="12" t="n">
        <v>30</v>
      </c>
      <c r="R5243" s="12" t="n">
        <v>42</v>
      </c>
      <c r="S5243" s="12" t="inlineStr">
        <is>
          <t>Tray</t>
        </is>
      </c>
      <c r="T5243" s="16" t="n">
        <v>80</v>
      </c>
      <c r="U5243" s="16" t="n">
        <v>122</v>
      </c>
      <c r="V5243" s="16">
        <f>ROUNDUP((T5243+U5243+2*'Read Me'!$B$13)*(1+'Read Me'!$B$12),-1)</f>
        <v/>
      </c>
      <c r="W5243" s="16">
        <f>V5243*N5243*O5243</f>
        <v/>
      </c>
      <c r="X5243" s="12">
        <f>IF(LEFT(I5243,2)="MV",2*N5243*IF(L5243="1/C",O5243,1),0)</f>
        <v/>
      </c>
      <c r="Y5243" s="12">
        <f>IF(OR(LEFT(K5243,4)="LVAX",LEFT(K5243,6)="MV15AX",LEFT(K5243,4)="CTAX",LEFT(K5243,2)="W|"),2*N5243*O5243,0)</f>
        <v/>
      </c>
      <c r="Z5243" s="12" t="inlineStr">
        <is>
          <t>VD 1.7 %</t>
        </is>
      </c>
      <c r="AA5243" s="12">
        <f>N5243*O5243</f>
        <v/>
      </c>
    </row>
    <row r="5244">
      <c r="A5244" s="12" t="inlineStr">
        <is>
          <t>I-P-0125</t>
        </is>
      </c>
      <c r="B5244" s="12" t="inlineStr">
        <is>
          <t>I</t>
        </is>
      </c>
      <c r="C5244" s="12" t="inlineStr">
        <is>
          <t>Modular / portable power</t>
        </is>
      </c>
      <c r="D5244" s="12" t="inlineStr">
        <is>
          <t>Motor 1 of 1, 15 kW</t>
        </is>
      </c>
      <c r="E5244" s="12" t="inlineStr"/>
      <c r="F5244" s="12" t="inlineStr">
        <is>
          <t>PCM: power control module</t>
        </is>
      </c>
      <c r="G5244" s="12" t="inlineStr"/>
      <c r="H5244" s="12" t="inlineStr">
        <is>
          <t>RICE 8 SCR + oxidation catalyst and stack</t>
        </is>
      </c>
      <c r="I5244" s="12" t="inlineStr">
        <is>
          <t>LV 600 V</t>
        </is>
      </c>
      <c r="J5244" s="12" t="inlineStr">
        <is>
          <t>Type TC-ER 600 V 3/C Cu XHHW-2 + ground, PVC jacket</t>
        </is>
      </c>
      <c r="K5244" s="12" t="inlineStr">
        <is>
          <t>LV|3/C+G|8</t>
        </is>
      </c>
      <c r="L5244" s="12" t="inlineStr">
        <is>
          <t>3/C+G</t>
        </is>
      </c>
      <c r="M5244" s="12" t="inlineStr">
        <is>
          <t>8</t>
        </is>
      </c>
      <c r="N5244" s="12" t="n">
        <v>1</v>
      </c>
      <c r="O5244" s="12" t="n">
        <v>1</v>
      </c>
      <c r="P5244" s="12" t="n">
        <v>480</v>
      </c>
      <c r="Q5244" s="12" t="n">
        <v>15</v>
      </c>
      <c r="R5244" s="12" t="n">
        <v>21.2</v>
      </c>
      <c r="S5244" s="12" t="inlineStr">
        <is>
          <t>Duct bank</t>
        </is>
      </c>
      <c r="T5244" s="16" t="n">
        <v>322</v>
      </c>
      <c r="U5244" s="16" t="n">
        <v>112</v>
      </c>
      <c r="V5244" s="16">
        <f>ROUNDUP((T5244+U5244+2*'Read Me'!$B$13)*(1+'Read Me'!$B$12),-1)</f>
        <v/>
      </c>
      <c r="W5244" s="16">
        <f>V5244*N5244*O5244</f>
        <v/>
      </c>
      <c r="X5244" s="12">
        <f>IF(LEFT(I5244,2)="MV",2*N5244*IF(L5244="1/C",O5244,1),0)</f>
        <v/>
      </c>
      <c r="Y5244" s="12">
        <f>IF(OR(LEFT(K5244,4)="LVAX",LEFT(K5244,6)="MV15AX",LEFT(K5244,4)="CTAX",LEFT(K5244,2)="W|"),2*N5244*O5244,0)</f>
        <v/>
      </c>
      <c r="Z5244" s="12" t="inlineStr">
        <is>
          <t>VD 2.8 %</t>
        </is>
      </c>
      <c r="AA5244" s="12">
        <f>N5244*O5244</f>
        <v/>
      </c>
    </row>
    <row r="5245">
      <c r="A5245" s="12" t="inlineStr">
        <is>
          <t>I-P-0126</t>
        </is>
      </c>
      <c r="B5245" s="12" t="inlineStr">
        <is>
          <t>I</t>
        </is>
      </c>
      <c r="C5245" s="12" t="inlineStr">
        <is>
          <t>Modular / portable power</t>
        </is>
      </c>
      <c r="D5245" s="12" t="inlineStr">
        <is>
          <t>Area / platform lighting circuit 1 (6 fixtures)</t>
        </is>
      </c>
      <c r="E5245" s="12" t="inlineStr"/>
      <c r="F5245" s="12" t="inlineStr">
        <is>
          <t>PCM: power control module</t>
        </is>
      </c>
      <c r="G5245" s="12" t="inlineStr"/>
      <c r="H5245" s="12" t="inlineStr">
        <is>
          <t>RICE 8 SCR + oxidation catalyst and stack</t>
        </is>
      </c>
      <c r="I5245" s="12" t="inlineStr">
        <is>
          <t>LV 600 V</t>
        </is>
      </c>
      <c r="J5245" s="12" t="inlineStr">
        <is>
          <t>Type TC-ER 600 V 3/C Cu XHHW-2 + ground, PVC jacket</t>
        </is>
      </c>
      <c r="K5245" s="12" t="inlineStr">
        <is>
          <t>LV|3/C+G|10</t>
        </is>
      </c>
      <c r="L5245" s="12" t="inlineStr">
        <is>
          <t>3/C+G</t>
        </is>
      </c>
      <c r="M5245" s="12" t="inlineStr">
        <is>
          <t>10</t>
        </is>
      </c>
      <c r="N5245" s="12" t="n">
        <v>1</v>
      </c>
      <c r="O5245" s="12" t="n">
        <v>1</v>
      </c>
      <c r="P5245" s="12" t="n">
        <v>480</v>
      </c>
      <c r="Q5245" s="12" t="n">
        <v>3</v>
      </c>
      <c r="R5245" s="12" t="n">
        <v>5</v>
      </c>
      <c r="S5245" s="12" t="inlineStr">
        <is>
          <t>Duct bank</t>
        </is>
      </c>
      <c r="T5245" s="16" t="n">
        <v>622</v>
      </c>
      <c r="U5245" s="16" t="n">
        <v>112</v>
      </c>
      <c r="V5245" s="16">
        <f>ROUNDUP((T5245+U5245+2*'Read Me'!$B$13)*(1+'Read Me'!$B$12),-1)</f>
        <v/>
      </c>
      <c r="W5245" s="16">
        <f>V5245*N5245*O5245</f>
        <v/>
      </c>
      <c r="X5245" s="12">
        <f>IF(LEFT(I5245,2)="MV",2*N5245*IF(L5245="1/C",O5245,1),0)</f>
        <v/>
      </c>
      <c r="Y5245" s="12">
        <f>IF(OR(LEFT(K5245,4)="LVAX",LEFT(K5245,6)="MV15AX",LEFT(K5245,4)="CTAX",LEFT(K5245,2)="W|"),2*N5245*O5245,0)</f>
        <v/>
      </c>
      <c r="Z5245" s="12" t="inlineStr">
        <is>
          <t>fixture-to-fixture run included</t>
        </is>
      </c>
      <c r="AA5245" s="12">
        <f>N5245*O5245</f>
        <v/>
      </c>
    </row>
    <row r="5246">
      <c r="A5246" s="12" t="inlineStr">
        <is>
          <t>I-P-0127</t>
        </is>
      </c>
      <c r="B5246" s="12" t="inlineStr">
        <is>
          <t>I</t>
        </is>
      </c>
      <c r="C5246" s="12" t="inlineStr">
        <is>
          <t>Modular / portable power</t>
        </is>
      </c>
      <c r="D5246" s="12" t="inlineStr">
        <is>
          <t>Motor 1 of 5, 30 kW (VFD output)</t>
        </is>
      </c>
      <c r="E5246" s="12" t="inlineStr"/>
      <c r="F5246" s="12" t="inlineStr">
        <is>
          <t>PCM: power control module</t>
        </is>
      </c>
      <c r="G5246" s="12" t="inlineStr"/>
      <c r="H5246" s="12" t="inlineStr">
        <is>
          <t>RICE 8 radiators (5)</t>
        </is>
      </c>
      <c r="I5246" s="12" t="inlineStr">
        <is>
          <t>LV 600 V</t>
        </is>
      </c>
      <c r="J5246" s="12" t="inlineStr">
        <is>
          <t>VFD cable 600 V 3/C Cu XHHW-2, 3 symmetrical grounds, overall Cu tape shield, TC-ER</t>
        </is>
      </c>
      <c r="K5246" s="12" t="inlineStr">
        <is>
          <t>VFD|3/C+3G|6</t>
        </is>
      </c>
      <c r="L5246" s="12" t="inlineStr">
        <is>
          <t>3/C+3G</t>
        </is>
      </c>
      <c r="M5246" s="12" t="inlineStr">
        <is>
          <t>6</t>
        </is>
      </c>
      <c r="N5246" s="12" t="n">
        <v>1</v>
      </c>
      <c r="O5246" s="12" t="n">
        <v>1</v>
      </c>
      <c r="P5246" s="12" t="n">
        <v>480</v>
      </c>
      <c r="Q5246" s="12" t="n">
        <v>30</v>
      </c>
      <c r="R5246" s="12" t="n">
        <v>42</v>
      </c>
      <c r="S5246" s="12" t="inlineStr">
        <is>
          <t>Tray</t>
        </is>
      </c>
      <c r="T5246" s="16" t="n">
        <v>80</v>
      </c>
      <c r="U5246" s="16" t="n">
        <v>94</v>
      </c>
      <c r="V5246" s="16">
        <f>ROUNDUP((T5246+U5246+2*'Read Me'!$B$13)*(1+'Read Me'!$B$12),-1)</f>
        <v/>
      </c>
      <c r="W5246" s="16">
        <f>V5246*N5246*O5246</f>
        <v/>
      </c>
      <c r="X5246" s="12">
        <f>IF(LEFT(I5246,2)="MV",2*N5246*IF(L5246="1/C",O5246,1),0)</f>
        <v/>
      </c>
      <c r="Y5246" s="12">
        <f>IF(OR(LEFT(K5246,4)="LVAX",LEFT(K5246,6)="MV15AX",LEFT(K5246,4)="CTAX",LEFT(K5246,2)="W|"),2*N5246*O5246,0)</f>
        <v/>
      </c>
      <c r="Z5246" s="12" t="inlineStr">
        <is>
          <t>VD 1.4 %</t>
        </is>
      </c>
      <c r="AA5246" s="12">
        <f>N5246*O5246</f>
        <v/>
      </c>
    </row>
    <row r="5247">
      <c r="A5247" s="12" t="inlineStr">
        <is>
          <t>I-P-0128</t>
        </is>
      </c>
      <c r="B5247" s="12" t="inlineStr">
        <is>
          <t>I</t>
        </is>
      </c>
      <c r="C5247" s="12" t="inlineStr">
        <is>
          <t>Modular / portable power</t>
        </is>
      </c>
      <c r="D5247" s="12" t="inlineStr">
        <is>
          <t>Motor 2 of 5, 30 kW (VFD output)</t>
        </is>
      </c>
      <c r="E5247" s="12" t="inlineStr"/>
      <c r="F5247" s="12" t="inlineStr">
        <is>
          <t>PCM: power control module</t>
        </is>
      </c>
      <c r="G5247" s="12" t="inlineStr"/>
      <c r="H5247" s="12" t="inlineStr">
        <is>
          <t>RICE 8 radiators (5)</t>
        </is>
      </c>
      <c r="I5247" s="12" t="inlineStr">
        <is>
          <t>LV 600 V</t>
        </is>
      </c>
      <c r="J5247" s="12" t="inlineStr">
        <is>
          <t>VFD cable 600 V 3/C Cu XHHW-2, 3 symmetrical grounds, overall Cu tape shield, TC-ER</t>
        </is>
      </c>
      <c r="K5247" s="12" t="inlineStr">
        <is>
          <t>VFD|3/C+3G|6</t>
        </is>
      </c>
      <c r="L5247" s="12" t="inlineStr">
        <is>
          <t>3/C+3G</t>
        </is>
      </c>
      <c r="M5247" s="12" t="inlineStr">
        <is>
          <t>6</t>
        </is>
      </c>
      <c r="N5247" s="12" t="n">
        <v>1</v>
      </c>
      <c r="O5247" s="12" t="n">
        <v>1</v>
      </c>
      <c r="P5247" s="12" t="n">
        <v>480</v>
      </c>
      <c r="Q5247" s="12" t="n">
        <v>30</v>
      </c>
      <c r="R5247" s="12" t="n">
        <v>42</v>
      </c>
      <c r="S5247" s="12" t="inlineStr">
        <is>
          <t>Tray</t>
        </is>
      </c>
      <c r="T5247" s="16" t="n">
        <v>80</v>
      </c>
      <c r="U5247" s="16" t="n">
        <v>94</v>
      </c>
      <c r="V5247" s="16">
        <f>ROUNDUP((T5247+U5247+2*'Read Me'!$B$13)*(1+'Read Me'!$B$12),-1)</f>
        <v/>
      </c>
      <c r="W5247" s="16">
        <f>V5247*N5247*O5247</f>
        <v/>
      </c>
      <c r="X5247" s="12">
        <f>IF(LEFT(I5247,2)="MV",2*N5247*IF(L5247="1/C",O5247,1),0)</f>
        <v/>
      </c>
      <c r="Y5247" s="12">
        <f>IF(OR(LEFT(K5247,4)="LVAX",LEFT(K5247,6)="MV15AX",LEFT(K5247,4)="CTAX",LEFT(K5247,2)="W|"),2*N5247*O5247,0)</f>
        <v/>
      </c>
      <c r="Z5247" s="12" t="inlineStr">
        <is>
          <t>VD 1.4 %</t>
        </is>
      </c>
      <c r="AA5247" s="12">
        <f>N5247*O5247</f>
        <v/>
      </c>
    </row>
    <row r="5248">
      <c r="A5248" s="12" t="inlineStr">
        <is>
          <t>I-P-0129</t>
        </is>
      </c>
      <c r="B5248" s="12" t="inlineStr">
        <is>
          <t>I</t>
        </is>
      </c>
      <c r="C5248" s="12" t="inlineStr">
        <is>
          <t>Modular / portable power</t>
        </is>
      </c>
      <c r="D5248" s="12" t="inlineStr">
        <is>
          <t>Motor 3 of 5, 30 kW (VFD output)</t>
        </is>
      </c>
      <c r="E5248" s="12" t="inlineStr"/>
      <c r="F5248" s="12" t="inlineStr">
        <is>
          <t>PCM: power control module</t>
        </is>
      </c>
      <c r="G5248" s="12" t="inlineStr"/>
      <c r="H5248" s="12" t="inlineStr">
        <is>
          <t>RICE 8 radiators (5)</t>
        </is>
      </c>
      <c r="I5248" s="12" t="inlineStr">
        <is>
          <t>LV 600 V</t>
        </is>
      </c>
      <c r="J5248" s="12" t="inlineStr">
        <is>
          <t>VFD cable 600 V 3/C Cu XHHW-2, 3 symmetrical grounds, overall Cu tape shield, TC-ER</t>
        </is>
      </c>
      <c r="K5248" s="12" t="inlineStr">
        <is>
          <t>VFD|3/C+3G|6</t>
        </is>
      </c>
      <c r="L5248" s="12" t="inlineStr">
        <is>
          <t>3/C+3G</t>
        </is>
      </c>
      <c r="M5248" s="12" t="inlineStr">
        <is>
          <t>6</t>
        </is>
      </c>
      <c r="N5248" s="12" t="n">
        <v>1</v>
      </c>
      <c r="O5248" s="12" t="n">
        <v>1</v>
      </c>
      <c r="P5248" s="12" t="n">
        <v>480</v>
      </c>
      <c r="Q5248" s="12" t="n">
        <v>30</v>
      </c>
      <c r="R5248" s="12" t="n">
        <v>42</v>
      </c>
      <c r="S5248" s="12" t="inlineStr">
        <is>
          <t>Tray</t>
        </is>
      </c>
      <c r="T5248" s="16" t="n">
        <v>80</v>
      </c>
      <c r="U5248" s="16" t="n">
        <v>94</v>
      </c>
      <c r="V5248" s="16">
        <f>ROUNDUP((T5248+U5248+2*'Read Me'!$B$13)*(1+'Read Me'!$B$12),-1)</f>
        <v/>
      </c>
      <c r="W5248" s="16">
        <f>V5248*N5248*O5248</f>
        <v/>
      </c>
      <c r="X5248" s="12">
        <f>IF(LEFT(I5248,2)="MV",2*N5248*IF(L5248="1/C",O5248,1),0)</f>
        <v/>
      </c>
      <c r="Y5248" s="12">
        <f>IF(OR(LEFT(K5248,4)="LVAX",LEFT(K5248,6)="MV15AX",LEFT(K5248,4)="CTAX",LEFT(K5248,2)="W|"),2*N5248*O5248,0)</f>
        <v/>
      </c>
      <c r="Z5248" s="12" t="inlineStr">
        <is>
          <t>VD 1.4 %</t>
        </is>
      </c>
      <c r="AA5248" s="12">
        <f>N5248*O5248</f>
        <v/>
      </c>
    </row>
    <row r="5249">
      <c r="A5249" s="12" t="inlineStr">
        <is>
          <t>I-P-0130</t>
        </is>
      </c>
      <c r="B5249" s="12" t="inlineStr">
        <is>
          <t>I</t>
        </is>
      </c>
      <c r="C5249" s="12" t="inlineStr">
        <is>
          <t>Modular / portable power</t>
        </is>
      </c>
      <c r="D5249" s="12" t="inlineStr">
        <is>
          <t>Motor 4 of 5, 30 kW (VFD output)</t>
        </is>
      </c>
      <c r="E5249" s="12" t="inlineStr"/>
      <c r="F5249" s="12" t="inlineStr">
        <is>
          <t>PCM: power control module</t>
        </is>
      </c>
      <c r="G5249" s="12" t="inlineStr"/>
      <c r="H5249" s="12" t="inlineStr">
        <is>
          <t>RICE 8 radiators (5)</t>
        </is>
      </c>
      <c r="I5249" s="12" t="inlineStr">
        <is>
          <t>LV 600 V</t>
        </is>
      </c>
      <c r="J5249" s="12" t="inlineStr">
        <is>
          <t>VFD cable 600 V 3/C Cu XHHW-2, 3 symmetrical grounds, overall Cu tape shield, TC-ER</t>
        </is>
      </c>
      <c r="K5249" s="12" t="inlineStr">
        <is>
          <t>VFD|3/C+3G|6</t>
        </is>
      </c>
      <c r="L5249" s="12" t="inlineStr">
        <is>
          <t>3/C+3G</t>
        </is>
      </c>
      <c r="M5249" s="12" t="inlineStr">
        <is>
          <t>6</t>
        </is>
      </c>
      <c r="N5249" s="12" t="n">
        <v>1</v>
      </c>
      <c r="O5249" s="12" t="n">
        <v>1</v>
      </c>
      <c r="P5249" s="12" t="n">
        <v>480</v>
      </c>
      <c r="Q5249" s="12" t="n">
        <v>30</v>
      </c>
      <c r="R5249" s="12" t="n">
        <v>42</v>
      </c>
      <c r="S5249" s="12" t="inlineStr">
        <is>
          <t>Tray</t>
        </is>
      </c>
      <c r="T5249" s="16" t="n">
        <v>80</v>
      </c>
      <c r="U5249" s="16" t="n">
        <v>94</v>
      </c>
      <c r="V5249" s="16">
        <f>ROUNDUP((T5249+U5249+2*'Read Me'!$B$13)*(1+'Read Me'!$B$12),-1)</f>
        <v/>
      </c>
      <c r="W5249" s="16">
        <f>V5249*N5249*O5249</f>
        <v/>
      </c>
      <c r="X5249" s="12">
        <f>IF(LEFT(I5249,2)="MV",2*N5249*IF(L5249="1/C",O5249,1),0)</f>
        <v/>
      </c>
      <c r="Y5249" s="12">
        <f>IF(OR(LEFT(K5249,4)="LVAX",LEFT(K5249,6)="MV15AX",LEFT(K5249,4)="CTAX",LEFT(K5249,2)="W|"),2*N5249*O5249,0)</f>
        <v/>
      </c>
      <c r="Z5249" s="12" t="inlineStr">
        <is>
          <t>VD 1.4 %</t>
        </is>
      </c>
      <c r="AA5249" s="12">
        <f>N5249*O5249</f>
        <v/>
      </c>
    </row>
    <row r="5250">
      <c r="A5250" s="12" t="inlineStr">
        <is>
          <t>I-P-0131</t>
        </is>
      </c>
      <c r="B5250" s="12" t="inlineStr">
        <is>
          <t>I</t>
        </is>
      </c>
      <c r="C5250" s="12" t="inlineStr">
        <is>
          <t>Modular / portable power</t>
        </is>
      </c>
      <c r="D5250" s="12" t="inlineStr">
        <is>
          <t>Motor 5 of 5, 30 kW (VFD output)</t>
        </is>
      </c>
      <c r="E5250" s="12" t="inlineStr"/>
      <c r="F5250" s="12" t="inlineStr">
        <is>
          <t>PCM: power control module</t>
        </is>
      </c>
      <c r="G5250" s="12" t="inlineStr"/>
      <c r="H5250" s="12" t="inlineStr">
        <is>
          <t>RICE 8 radiators (5)</t>
        </is>
      </c>
      <c r="I5250" s="12" t="inlineStr">
        <is>
          <t>LV 600 V</t>
        </is>
      </c>
      <c r="J5250" s="12" t="inlineStr">
        <is>
          <t>VFD cable 600 V 3/C Cu XHHW-2, 3 symmetrical grounds, overall Cu tape shield, TC-ER</t>
        </is>
      </c>
      <c r="K5250" s="12" t="inlineStr">
        <is>
          <t>VFD|3/C+3G|6</t>
        </is>
      </c>
      <c r="L5250" s="12" t="inlineStr">
        <is>
          <t>3/C+3G</t>
        </is>
      </c>
      <c r="M5250" s="12" t="inlineStr">
        <is>
          <t>6</t>
        </is>
      </c>
      <c r="N5250" s="12" t="n">
        <v>1</v>
      </c>
      <c r="O5250" s="12" t="n">
        <v>1</v>
      </c>
      <c r="P5250" s="12" t="n">
        <v>480</v>
      </c>
      <c r="Q5250" s="12" t="n">
        <v>30</v>
      </c>
      <c r="R5250" s="12" t="n">
        <v>42</v>
      </c>
      <c r="S5250" s="12" t="inlineStr">
        <is>
          <t>Tray</t>
        </is>
      </c>
      <c r="T5250" s="16" t="n">
        <v>80</v>
      </c>
      <c r="U5250" s="16" t="n">
        <v>94</v>
      </c>
      <c r="V5250" s="16">
        <f>ROUNDUP((T5250+U5250+2*'Read Me'!$B$13)*(1+'Read Me'!$B$12),-1)</f>
        <v/>
      </c>
      <c r="W5250" s="16">
        <f>V5250*N5250*O5250</f>
        <v/>
      </c>
      <c r="X5250" s="12">
        <f>IF(LEFT(I5250,2)="MV",2*N5250*IF(L5250="1/C",O5250,1),0)</f>
        <v/>
      </c>
      <c r="Y5250" s="12">
        <f>IF(OR(LEFT(K5250,4)="LVAX",LEFT(K5250,6)="MV15AX",LEFT(K5250,4)="CTAX",LEFT(K5250,2)="W|"),2*N5250*O5250,0)</f>
        <v/>
      </c>
      <c r="Z5250" s="12" t="inlineStr">
        <is>
          <t>VD 1.4 %</t>
        </is>
      </c>
      <c r="AA5250" s="12">
        <f>N5250*O5250</f>
        <v/>
      </c>
    </row>
    <row r="5251">
      <c r="A5251" s="12" t="inlineStr">
        <is>
          <t>I-P-0132</t>
        </is>
      </c>
      <c r="B5251" s="12" t="inlineStr">
        <is>
          <t>I</t>
        </is>
      </c>
      <c r="C5251" s="12" t="inlineStr">
        <is>
          <t>Modular / portable power</t>
        </is>
      </c>
      <c r="D5251" s="12" t="inlineStr">
        <is>
          <t>LV panel / distribution feeder</t>
        </is>
      </c>
      <c r="E5251" s="12" t="inlineStr"/>
      <c r="F5251" s="12" t="inlineStr">
        <is>
          <t>PCM: power control module</t>
        </is>
      </c>
      <c r="G5251" s="12" t="inlineStr"/>
      <c r="H5251" s="12" t="inlineStr">
        <is>
          <t>RICE CEMS</t>
        </is>
      </c>
      <c r="I5251" s="12" t="inlineStr">
        <is>
          <t>LV 600 V</t>
        </is>
      </c>
      <c r="J5251" s="12" t="inlineStr">
        <is>
          <t>Type TC-ER 600 V 3/C Cu XHHW-2 + ground, PVC jacket</t>
        </is>
      </c>
      <c r="K5251" s="12" t="inlineStr">
        <is>
          <t>LV|3/C+G|4</t>
        </is>
      </c>
      <c r="L5251" s="12" t="inlineStr">
        <is>
          <t>3/C+G</t>
        </is>
      </c>
      <c r="M5251" s="12" t="inlineStr">
        <is>
          <t>4</t>
        </is>
      </c>
      <c r="N5251" s="12" t="n">
        <v>1</v>
      </c>
      <c r="O5251" s="12" t="n">
        <v>1</v>
      </c>
      <c r="P5251" s="12" t="n">
        <v>480</v>
      </c>
      <c r="Q5251" s="12" t="n">
        <v>30</v>
      </c>
      <c r="R5251" s="12" t="n">
        <v>42.5</v>
      </c>
      <c r="S5251" s="12" t="inlineStr">
        <is>
          <t>Duct bank</t>
        </is>
      </c>
      <c r="T5251" s="16" t="n">
        <v>260</v>
      </c>
      <c r="U5251" s="16" t="n">
        <v>131</v>
      </c>
      <c r="V5251" s="16">
        <f>ROUNDUP((T5251+U5251+2*'Read Me'!$B$13)*(1+'Read Me'!$B$12),-1)</f>
        <v/>
      </c>
      <c r="W5251" s="16">
        <f>V5251*N5251*O5251</f>
        <v/>
      </c>
      <c r="X5251" s="12">
        <f>IF(LEFT(I5251,2)="MV",2*N5251*IF(L5251="1/C",O5251,1),0)</f>
        <v/>
      </c>
      <c r="Y5251" s="12">
        <f>IF(OR(LEFT(K5251,4)="LVAX",LEFT(K5251,6)="MV15AX",LEFT(K5251,4)="CTAX",LEFT(K5251,2)="W|"),2*N5251*O5251,0)</f>
        <v/>
      </c>
      <c r="Z5251" s="12" t="inlineStr">
        <is>
          <t>VD 2.0 %</t>
        </is>
      </c>
      <c r="AA5251" s="12">
        <f>N5251*O5251</f>
        <v/>
      </c>
    </row>
    <row r="5252">
      <c r="A5252" s="12" t="inlineStr">
        <is>
          <t>I-P-0133</t>
        </is>
      </c>
      <c r="B5252" s="12" t="inlineStr">
        <is>
          <t>I</t>
        </is>
      </c>
      <c r="C5252" s="12" t="inlineStr">
        <is>
          <t>Modular / portable power</t>
        </is>
      </c>
      <c r="D5252" s="12" t="inlineStr">
        <is>
          <t>LV power feeder</t>
        </is>
      </c>
      <c r="E5252" s="12" t="inlineStr"/>
      <c r="F5252" s="12" t="inlineStr">
        <is>
          <t>PCM: power control module</t>
        </is>
      </c>
      <c r="G5252" s="12" t="inlineStr">
        <is>
          <t>RICE</t>
        </is>
      </c>
      <c r="H5252" s="12" t="inlineStr">
        <is>
          <t>RICE engine hall (8 engines)</t>
        </is>
      </c>
      <c r="I5252" s="12" t="inlineStr">
        <is>
          <t>LV 600 V</t>
        </is>
      </c>
      <c r="J5252" s="12" t="inlineStr">
        <is>
          <t>Type TC-ER 600 V 3/C Cu XHHW-2 + ground, PVC jacket</t>
        </is>
      </c>
      <c r="K5252" s="12" t="inlineStr">
        <is>
          <t>LV|3/C+G|8</t>
        </is>
      </c>
      <c r="L5252" s="12" t="inlineStr">
        <is>
          <t>3/C+G</t>
        </is>
      </c>
      <c r="M5252" s="12" t="inlineStr">
        <is>
          <t>8</t>
        </is>
      </c>
      <c r="N5252" s="12" t="n">
        <v>1</v>
      </c>
      <c r="O5252" s="12" t="n">
        <v>1</v>
      </c>
      <c r="P5252" s="12" t="n">
        <v>480</v>
      </c>
      <c r="Q5252" s="12" t="n">
        <v>15</v>
      </c>
      <c r="R5252" s="12" t="n">
        <v>21.2</v>
      </c>
      <c r="S5252" s="12" t="inlineStr">
        <is>
          <t>Duct bank</t>
        </is>
      </c>
      <c r="T5252" s="16" t="n">
        <v>367</v>
      </c>
      <c r="U5252" s="16" t="n">
        <v>95</v>
      </c>
      <c r="V5252" s="16">
        <f>ROUNDUP((T5252+U5252+2*'Read Me'!$B$13)*(1+'Read Me'!$B$12),-1)</f>
        <v/>
      </c>
      <c r="W5252" s="16">
        <f>V5252*N5252*O5252</f>
        <v/>
      </c>
      <c r="X5252" s="12">
        <f>IF(LEFT(I5252,2)="MV",2*N5252*IF(L5252="1/C",O5252,1),0)</f>
        <v/>
      </c>
      <c r="Y5252" s="12">
        <f>IF(OR(LEFT(K5252,4)="LVAX",LEFT(K5252,6)="MV15AX",LEFT(K5252,4)="CTAX",LEFT(K5252,2)="W|"),2*N5252*O5252,0)</f>
        <v/>
      </c>
      <c r="Z5252" s="12" t="inlineStr">
        <is>
          <t>VD 3.0 %</t>
        </is>
      </c>
      <c r="AA5252" s="12">
        <f>N5252*O5252</f>
        <v/>
      </c>
    </row>
    <row r="5253">
      <c r="A5253" s="12" t="inlineStr">
        <is>
          <t>I-P-0134</t>
        </is>
      </c>
      <c r="B5253" s="12" t="inlineStr">
        <is>
          <t>I</t>
        </is>
      </c>
      <c r="C5253" s="12" t="inlineStr">
        <is>
          <t>Modular / portable power</t>
        </is>
      </c>
      <c r="D5253" s="12" t="inlineStr">
        <is>
          <t>Motor 1 of 6, 22 kW</t>
        </is>
      </c>
      <c r="E5253" s="12" t="inlineStr"/>
      <c r="F5253" s="12" t="inlineStr">
        <is>
          <t>PCM: power control module</t>
        </is>
      </c>
      <c r="G5253" s="12" t="inlineStr">
        <is>
          <t>RICE-1</t>
        </is>
      </c>
      <c r="H5253" s="12" t="inlineStr">
        <is>
          <t>RICE engine-generator 1</t>
        </is>
      </c>
      <c r="I5253" s="12" t="inlineStr">
        <is>
          <t>LV 600 V</t>
        </is>
      </c>
      <c r="J5253" s="12" t="inlineStr">
        <is>
          <t>Type TC-ER 600 V 3/C Cu XHHW-2 + ground, PVC jacket</t>
        </is>
      </c>
      <c r="K5253" s="12" t="inlineStr">
        <is>
          <t>LV|3/C+G|4</t>
        </is>
      </c>
      <c r="L5253" s="12" t="inlineStr">
        <is>
          <t>3/C+G</t>
        </is>
      </c>
      <c r="M5253" s="12" t="inlineStr">
        <is>
          <t>4</t>
        </is>
      </c>
      <c r="N5253" s="12" t="n">
        <v>1</v>
      </c>
      <c r="O5253" s="12" t="n">
        <v>1</v>
      </c>
      <c r="P5253" s="12" t="n">
        <v>480</v>
      </c>
      <c r="Q5253" s="12" t="n">
        <v>22</v>
      </c>
      <c r="R5253" s="12" t="n">
        <v>31.1</v>
      </c>
      <c r="S5253" s="12" t="inlineStr">
        <is>
          <t>Duct bank</t>
        </is>
      </c>
      <c r="T5253" s="16" t="n">
        <v>550</v>
      </c>
      <c r="U5253" s="16" t="n">
        <v>137</v>
      </c>
      <c r="V5253" s="16">
        <f>ROUNDUP((T5253+U5253+2*'Read Me'!$B$13)*(1+'Read Me'!$B$12),-1)</f>
        <v/>
      </c>
      <c r="W5253" s="16">
        <f>V5253*N5253*O5253</f>
        <v/>
      </c>
      <c r="X5253" s="12">
        <f>IF(LEFT(I5253,2)="MV",2*N5253*IF(L5253="1/C",O5253,1),0)</f>
        <v/>
      </c>
      <c r="Y5253" s="12">
        <f>IF(OR(LEFT(K5253,4)="LVAX",LEFT(K5253,6)="MV15AX",LEFT(K5253,4)="CTAX",LEFT(K5253,2)="W|"),2*N5253*O5253,0)</f>
        <v/>
      </c>
      <c r="Z5253" s="12" t="inlineStr">
        <is>
          <t>VD 2.6 %</t>
        </is>
      </c>
      <c r="AA5253" s="12">
        <f>N5253*O5253</f>
        <v/>
      </c>
    </row>
    <row r="5254">
      <c r="A5254" s="12" t="inlineStr">
        <is>
          <t>I-P-0135</t>
        </is>
      </c>
      <c r="B5254" s="12" t="inlineStr">
        <is>
          <t>I</t>
        </is>
      </c>
      <c r="C5254" s="12" t="inlineStr">
        <is>
          <t>Modular / portable power</t>
        </is>
      </c>
      <c r="D5254" s="12" t="inlineStr">
        <is>
          <t>Motor 2 of 6, 22 kW</t>
        </is>
      </c>
      <c r="E5254" s="12" t="inlineStr"/>
      <c r="F5254" s="12" t="inlineStr">
        <is>
          <t>PCM: power control module</t>
        </is>
      </c>
      <c r="G5254" s="12" t="inlineStr">
        <is>
          <t>RICE-1</t>
        </is>
      </c>
      <c r="H5254" s="12" t="inlineStr">
        <is>
          <t>RICE engine-generator 1</t>
        </is>
      </c>
      <c r="I5254" s="12" t="inlineStr">
        <is>
          <t>LV 600 V</t>
        </is>
      </c>
      <c r="J5254" s="12" t="inlineStr">
        <is>
          <t>Type TC-ER 600 V 3/C Cu XHHW-2 + ground, PVC jacket</t>
        </is>
      </c>
      <c r="K5254" s="12" t="inlineStr">
        <is>
          <t>LV|3/C+G|4</t>
        </is>
      </c>
      <c r="L5254" s="12" t="inlineStr">
        <is>
          <t>3/C+G</t>
        </is>
      </c>
      <c r="M5254" s="12" t="inlineStr">
        <is>
          <t>4</t>
        </is>
      </c>
      <c r="N5254" s="12" t="n">
        <v>1</v>
      </c>
      <c r="O5254" s="12" t="n">
        <v>1</v>
      </c>
      <c r="P5254" s="12" t="n">
        <v>480</v>
      </c>
      <c r="Q5254" s="12" t="n">
        <v>22</v>
      </c>
      <c r="R5254" s="12" t="n">
        <v>31.1</v>
      </c>
      <c r="S5254" s="12" t="inlineStr">
        <is>
          <t>Duct bank</t>
        </is>
      </c>
      <c r="T5254" s="16" t="n">
        <v>550</v>
      </c>
      <c r="U5254" s="16" t="n">
        <v>137</v>
      </c>
      <c r="V5254" s="16">
        <f>ROUNDUP((T5254+U5254+2*'Read Me'!$B$13)*(1+'Read Me'!$B$12),-1)</f>
        <v/>
      </c>
      <c r="W5254" s="16">
        <f>V5254*N5254*O5254</f>
        <v/>
      </c>
      <c r="X5254" s="12">
        <f>IF(LEFT(I5254,2)="MV",2*N5254*IF(L5254="1/C",O5254,1),0)</f>
        <v/>
      </c>
      <c r="Y5254" s="12">
        <f>IF(OR(LEFT(K5254,4)="LVAX",LEFT(K5254,6)="MV15AX",LEFT(K5254,4)="CTAX",LEFT(K5254,2)="W|"),2*N5254*O5254,0)</f>
        <v/>
      </c>
      <c r="Z5254" s="12" t="inlineStr">
        <is>
          <t>VD 2.6 %</t>
        </is>
      </c>
      <c r="AA5254" s="12">
        <f>N5254*O5254</f>
        <v/>
      </c>
    </row>
    <row r="5255">
      <c r="A5255" s="12" t="inlineStr">
        <is>
          <t>I-P-0136</t>
        </is>
      </c>
      <c r="B5255" s="12" t="inlineStr">
        <is>
          <t>I</t>
        </is>
      </c>
      <c r="C5255" s="12" t="inlineStr">
        <is>
          <t>Modular / portable power</t>
        </is>
      </c>
      <c r="D5255" s="12" t="inlineStr">
        <is>
          <t>Motor 3 of 6, 22 kW</t>
        </is>
      </c>
      <c r="E5255" s="12" t="inlineStr"/>
      <c r="F5255" s="12" t="inlineStr">
        <is>
          <t>PCM: power control module</t>
        </is>
      </c>
      <c r="G5255" s="12" t="inlineStr">
        <is>
          <t>RICE-1</t>
        </is>
      </c>
      <c r="H5255" s="12" t="inlineStr">
        <is>
          <t>RICE engine-generator 1</t>
        </is>
      </c>
      <c r="I5255" s="12" t="inlineStr">
        <is>
          <t>LV 600 V</t>
        </is>
      </c>
      <c r="J5255" s="12" t="inlineStr">
        <is>
          <t>Type TC-ER 600 V 3/C Cu XHHW-2 + ground, PVC jacket</t>
        </is>
      </c>
      <c r="K5255" s="12" t="inlineStr">
        <is>
          <t>LV|3/C+G|4</t>
        </is>
      </c>
      <c r="L5255" s="12" t="inlineStr">
        <is>
          <t>3/C+G</t>
        </is>
      </c>
      <c r="M5255" s="12" t="inlineStr">
        <is>
          <t>4</t>
        </is>
      </c>
      <c r="N5255" s="12" t="n">
        <v>1</v>
      </c>
      <c r="O5255" s="12" t="n">
        <v>1</v>
      </c>
      <c r="P5255" s="12" t="n">
        <v>480</v>
      </c>
      <c r="Q5255" s="12" t="n">
        <v>22</v>
      </c>
      <c r="R5255" s="12" t="n">
        <v>31.1</v>
      </c>
      <c r="S5255" s="12" t="inlineStr">
        <is>
          <t>Duct bank</t>
        </is>
      </c>
      <c r="T5255" s="16" t="n">
        <v>550</v>
      </c>
      <c r="U5255" s="16" t="n">
        <v>137</v>
      </c>
      <c r="V5255" s="16">
        <f>ROUNDUP((T5255+U5255+2*'Read Me'!$B$13)*(1+'Read Me'!$B$12),-1)</f>
        <v/>
      </c>
      <c r="W5255" s="16">
        <f>V5255*N5255*O5255</f>
        <v/>
      </c>
      <c r="X5255" s="12">
        <f>IF(LEFT(I5255,2)="MV",2*N5255*IF(L5255="1/C",O5255,1),0)</f>
        <v/>
      </c>
      <c r="Y5255" s="12">
        <f>IF(OR(LEFT(K5255,4)="LVAX",LEFT(K5255,6)="MV15AX",LEFT(K5255,4)="CTAX",LEFT(K5255,2)="W|"),2*N5255*O5255,0)</f>
        <v/>
      </c>
      <c r="Z5255" s="12" t="inlineStr">
        <is>
          <t>VD 2.6 %</t>
        </is>
      </c>
      <c r="AA5255" s="12">
        <f>N5255*O5255</f>
        <v/>
      </c>
    </row>
    <row r="5256">
      <c r="A5256" s="12" t="inlineStr">
        <is>
          <t>I-P-0137</t>
        </is>
      </c>
      <c r="B5256" s="12" t="inlineStr">
        <is>
          <t>I</t>
        </is>
      </c>
      <c r="C5256" s="12" t="inlineStr">
        <is>
          <t>Modular / portable power</t>
        </is>
      </c>
      <c r="D5256" s="12" t="inlineStr">
        <is>
          <t>Motor 4 of 6, 22 kW</t>
        </is>
      </c>
      <c r="E5256" s="12" t="inlineStr"/>
      <c r="F5256" s="12" t="inlineStr">
        <is>
          <t>PCM: power control module</t>
        </is>
      </c>
      <c r="G5256" s="12" t="inlineStr">
        <is>
          <t>RICE-1</t>
        </is>
      </c>
      <c r="H5256" s="12" t="inlineStr">
        <is>
          <t>RICE engine-generator 1</t>
        </is>
      </c>
      <c r="I5256" s="12" t="inlineStr">
        <is>
          <t>LV 600 V</t>
        </is>
      </c>
      <c r="J5256" s="12" t="inlineStr">
        <is>
          <t>Type TC-ER 600 V 3/C Cu XHHW-2 + ground, PVC jacket</t>
        </is>
      </c>
      <c r="K5256" s="12" t="inlineStr">
        <is>
          <t>LV|3/C+G|4</t>
        </is>
      </c>
      <c r="L5256" s="12" t="inlineStr">
        <is>
          <t>3/C+G</t>
        </is>
      </c>
      <c r="M5256" s="12" t="inlineStr">
        <is>
          <t>4</t>
        </is>
      </c>
      <c r="N5256" s="12" t="n">
        <v>1</v>
      </c>
      <c r="O5256" s="12" t="n">
        <v>1</v>
      </c>
      <c r="P5256" s="12" t="n">
        <v>480</v>
      </c>
      <c r="Q5256" s="12" t="n">
        <v>22</v>
      </c>
      <c r="R5256" s="12" t="n">
        <v>31.1</v>
      </c>
      <c r="S5256" s="12" t="inlineStr">
        <is>
          <t>Duct bank</t>
        </is>
      </c>
      <c r="T5256" s="16" t="n">
        <v>550</v>
      </c>
      <c r="U5256" s="16" t="n">
        <v>137</v>
      </c>
      <c r="V5256" s="16">
        <f>ROUNDUP((T5256+U5256+2*'Read Me'!$B$13)*(1+'Read Me'!$B$12),-1)</f>
        <v/>
      </c>
      <c r="W5256" s="16">
        <f>V5256*N5256*O5256</f>
        <v/>
      </c>
      <c r="X5256" s="12">
        <f>IF(LEFT(I5256,2)="MV",2*N5256*IF(L5256="1/C",O5256,1),0)</f>
        <v/>
      </c>
      <c r="Y5256" s="12">
        <f>IF(OR(LEFT(K5256,4)="LVAX",LEFT(K5256,6)="MV15AX",LEFT(K5256,4)="CTAX",LEFT(K5256,2)="W|"),2*N5256*O5256,0)</f>
        <v/>
      </c>
      <c r="Z5256" s="12" t="inlineStr">
        <is>
          <t>VD 2.6 %</t>
        </is>
      </c>
      <c r="AA5256" s="12">
        <f>N5256*O5256</f>
        <v/>
      </c>
    </row>
    <row r="5257">
      <c r="A5257" s="12" t="inlineStr">
        <is>
          <t>I-P-0138</t>
        </is>
      </c>
      <c r="B5257" s="12" t="inlineStr">
        <is>
          <t>I</t>
        </is>
      </c>
      <c r="C5257" s="12" t="inlineStr">
        <is>
          <t>Modular / portable power</t>
        </is>
      </c>
      <c r="D5257" s="12" t="inlineStr">
        <is>
          <t>Motor 5 of 6, 22 kW</t>
        </is>
      </c>
      <c r="E5257" s="12" t="inlineStr"/>
      <c r="F5257" s="12" t="inlineStr">
        <is>
          <t>PCM: power control module</t>
        </is>
      </c>
      <c r="G5257" s="12" t="inlineStr">
        <is>
          <t>RICE-1</t>
        </is>
      </c>
      <c r="H5257" s="12" t="inlineStr">
        <is>
          <t>RICE engine-generator 1</t>
        </is>
      </c>
      <c r="I5257" s="12" t="inlineStr">
        <is>
          <t>LV 600 V</t>
        </is>
      </c>
      <c r="J5257" s="12" t="inlineStr">
        <is>
          <t>Type TC-ER 600 V 3/C Cu XHHW-2 + ground, PVC jacket</t>
        </is>
      </c>
      <c r="K5257" s="12" t="inlineStr">
        <is>
          <t>LV|3/C+G|4</t>
        </is>
      </c>
      <c r="L5257" s="12" t="inlineStr">
        <is>
          <t>3/C+G</t>
        </is>
      </c>
      <c r="M5257" s="12" t="inlineStr">
        <is>
          <t>4</t>
        </is>
      </c>
      <c r="N5257" s="12" t="n">
        <v>1</v>
      </c>
      <c r="O5257" s="12" t="n">
        <v>1</v>
      </c>
      <c r="P5257" s="12" t="n">
        <v>480</v>
      </c>
      <c r="Q5257" s="12" t="n">
        <v>22</v>
      </c>
      <c r="R5257" s="12" t="n">
        <v>31.1</v>
      </c>
      <c r="S5257" s="12" t="inlineStr">
        <is>
          <t>Duct bank</t>
        </is>
      </c>
      <c r="T5257" s="16" t="n">
        <v>550</v>
      </c>
      <c r="U5257" s="16" t="n">
        <v>137</v>
      </c>
      <c r="V5257" s="16">
        <f>ROUNDUP((T5257+U5257+2*'Read Me'!$B$13)*(1+'Read Me'!$B$12),-1)</f>
        <v/>
      </c>
      <c r="W5257" s="16">
        <f>V5257*N5257*O5257</f>
        <v/>
      </c>
      <c r="X5257" s="12">
        <f>IF(LEFT(I5257,2)="MV",2*N5257*IF(L5257="1/C",O5257,1),0)</f>
        <v/>
      </c>
      <c r="Y5257" s="12">
        <f>IF(OR(LEFT(K5257,4)="LVAX",LEFT(K5257,6)="MV15AX",LEFT(K5257,4)="CTAX",LEFT(K5257,2)="W|"),2*N5257*O5257,0)</f>
        <v/>
      </c>
      <c r="Z5257" s="12" t="inlineStr">
        <is>
          <t>VD 2.6 %</t>
        </is>
      </c>
      <c r="AA5257" s="12">
        <f>N5257*O5257</f>
        <v/>
      </c>
    </row>
    <row r="5258">
      <c r="A5258" s="12" t="inlineStr">
        <is>
          <t>I-P-0139</t>
        </is>
      </c>
      <c r="B5258" s="12" t="inlineStr">
        <is>
          <t>I</t>
        </is>
      </c>
      <c r="C5258" s="12" t="inlineStr">
        <is>
          <t>Modular / portable power</t>
        </is>
      </c>
      <c r="D5258" s="12" t="inlineStr">
        <is>
          <t>Motor 6 of 6, 22 kW</t>
        </is>
      </c>
      <c r="E5258" s="12" t="inlineStr"/>
      <c r="F5258" s="12" t="inlineStr">
        <is>
          <t>PCM: power control module</t>
        </is>
      </c>
      <c r="G5258" s="12" t="inlineStr">
        <is>
          <t>RICE-1</t>
        </is>
      </c>
      <c r="H5258" s="12" t="inlineStr">
        <is>
          <t>RICE engine-generator 1</t>
        </is>
      </c>
      <c r="I5258" s="12" t="inlineStr">
        <is>
          <t>LV 600 V</t>
        </is>
      </c>
      <c r="J5258" s="12" t="inlineStr">
        <is>
          <t>Type TC-ER 600 V 3/C Cu XHHW-2 + ground, PVC jacket</t>
        </is>
      </c>
      <c r="K5258" s="12" t="inlineStr">
        <is>
          <t>LV|3/C+G|4</t>
        </is>
      </c>
      <c r="L5258" s="12" t="inlineStr">
        <is>
          <t>3/C+G</t>
        </is>
      </c>
      <c r="M5258" s="12" t="inlineStr">
        <is>
          <t>4</t>
        </is>
      </c>
      <c r="N5258" s="12" t="n">
        <v>1</v>
      </c>
      <c r="O5258" s="12" t="n">
        <v>1</v>
      </c>
      <c r="P5258" s="12" t="n">
        <v>480</v>
      </c>
      <c r="Q5258" s="12" t="n">
        <v>22</v>
      </c>
      <c r="R5258" s="12" t="n">
        <v>31.1</v>
      </c>
      <c r="S5258" s="12" t="inlineStr">
        <is>
          <t>Duct bank</t>
        </is>
      </c>
      <c r="T5258" s="16" t="n">
        <v>550</v>
      </c>
      <c r="U5258" s="16" t="n">
        <v>137</v>
      </c>
      <c r="V5258" s="16">
        <f>ROUNDUP((T5258+U5258+2*'Read Me'!$B$13)*(1+'Read Me'!$B$12),-1)</f>
        <v/>
      </c>
      <c r="W5258" s="16">
        <f>V5258*N5258*O5258</f>
        <v/>
      </c>
      <c r="X5258" s="12">
        <f>IF(LEFT(I5258,2)="MV",2*N5258*IF(L5258="1/C",O5258,1),0)</f>
        <v/>
      </c>
      <c r="Y5258" s="12">
        <f>IF(OR(LEFT(K5258,4)="LVAX",LEFT(K5258,6)="MV15AX",LEFT(K5258,4)="CTAX",LEFT(K5258,2)="W|"),2*N5258*O5258,0)</f>
        <v/>
      </c>
      <c r="Z5258" s="12" t="inlineStr">
        <is>
          <t>VD 2.6 %</t>
        </is>
      </c>
      <c r="AA5258" s="12">
        <f>N5258*O5258</f>
        <v/>
      </c>
    </row>
    <row r="5259">
      <c r="A5259" s="12" t="inlineStr">
        <is>
          <t>I-P-0140</t>
        </is>
      </c>
      <c r="B5259" s="12" t="inlineStr">
        <is>
          <t>I</t>
        </is>
      </c>
      <c r="C5259" s="12" t="inlineStr">
        <is>
          <t>Modular / portable power</t>
        </is>
      </c>
      <c r="D5259" s="12" t="inlineStr">
        <is>
          <t>480 V welding receptacle 1</t>
        </is>
      </c>
      <c r="E5259" s="12" t="inlineStr"/>
      <c r="F5259" s="12" t="inlineStr">
        <is>
          <t>PCM: power control module</t>
        </is>
      </c>
      <c r="G5259" s="12" t="inlineStr">
        <is>
          <t>RICE-1</t>
        </is>
      </c>
      <c r="H5259" s="12" t="inlineStr">
        <is>
          <t>RICE engine-generator 1</t>
        </is>
      </c>
      <c r="I5259" s="12" t="inlineStr">
        <is>
          <t>LV 600 V</t>
        </is>
      </c>
      <c r="J5259" s="12" t="inlineStr">
        <is>
          <t>Type TC-ER 600 V 3/C Cu XHHW-2 + ground, PVC jacket</t>
        </is>
      </c>
      <c r="K5259" s="12" t="inlineStr">
        <is>
          <t>LV|3/C+G|1/0</t>
        </is>
      </c>
      <c r="L5259" s="12" t="inlineStr">
        <is>
          <t>3/C+G</t>
        </is>
      </c>
      <c r="M5259" s="12" t="inlineStr">
        <is>
          <t>1/0</t>
        </is>
      </c>
      <c r="N5259" s="12" t="n">
        <v>1</v>
      </c>
      <c r="O5259" s="12" t="n">
        <v>1</v>
      </c>
      <c r="P5259" s="12" t="n">
        <v>480</v>
      </c>
      <c r="Q5259" s="12" t="n">
        <v>60</v>
      </c>
      <c r="R5259" s="12" t="n">
        <v>76</v>
      </c>
      <c r="S5259" s="12" t="inlineStr">
        <is>
          <t>Duct bank</t>
        </is>
      </c>
      <c r="T5259" s="16" t="n">
        <v>550</v>
      </c>
      <c r="U5259" s="16" t="n">
        <v>137</v>
      </c>
      <c r="V5259" s="16">
        <f>ROUNDUP((T5259+U5259+2*'Read Me'!$B$13)*(1+'Read Me'!$B$12),-1)</f>
        <v/>
      </c>
      <c r="W5259" s="16">
        <f>V5259*N5259*O5259</f>
        <v/>
      </c>
      <c r="X5259" s="12">
        <f>IF(LEFT(I5259,2)="MV",2*N5259*IF(L5259="1/C",O5259,1),0)</f>
        <v/>
      </c>
      <c r="Y5259" s="12">
        <f>IF(OR(LEFT(K5259,4)="LVAX",LEFT(K5259,6)="MV15AX",LEFT(K5259,4)="CTAX",LEFT(K5259,2)="W|"),2*N5259*O5259,0)</f>
        <v/>
      </c>
      <c r="Z5259" s="12" t="inlineStr">
        <is>
          <t>VD 2.5 %</t>
        </is>
      </c>
      <c r="AA5259" s="12">
        <f>N5259*O5259</f>
        <v/>
      </c>
    </row>
    <row r="5260">
      <c r="A5260" s="12" t="inlineStr">
        <is>
          <t>I-P-0141</t>
        </is>
      </c>
      <c r="B5260" s="12" t="inlineStr">
        <is>
          <t>I</t>
        </is>
      </c>
      <c r="C5260" s="12" t="inlineStr">
        <is>
          <t>Modular / portable power</t>
        </is>
      </c>
      <c r="D5260" s="12" t="inlineStr">
        <is>
          <t>480 V welding receptacle 2</t>
        </is>
      </c>
      <c r="E5260" s="12" t="inlineStr"/>
      <c r="F5260" s="12" t="inlineStr">
        <is>
          <t>PCM: power control module</t>
        </is>
      </c>
      <c r="G5260" s="12" t="inlineStr">
        <is>
          <t>RICE-1</t>
        </is>
      </c>
      <c r="H5260" s="12" t="inlineStr">
        <is>
          <t>RICE engine-generator 1</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60</v>
      </c>
      <c r="R5260" s="12" t="n">
        <v>76</v>
      </c>
      <c r="S5260" s="12" t="inlineStr">
        <is>
          <t>Duct bank</t>
        </is>
      </c>
      <c r="T5260" s="16" t="n">
        <v>550</v>
      </c>
      <c r="U5260" s="16" t="n">
        <v>137</v>
      </c>
      <c r="V5260" s="16">
        <f>ROUNDUP((T5260+U5260+2*'Read Me'!$B$13)*(1+'Read Me'!$B$12),-1)</f>
        <v/>
      </c>
      <c r="W5260" s="16">
        <f>V5260*N5260*O5260</f>
        <v/>
      </c>
      <c r="X5260" s="12">
        <f>IF(LEFT(I5260,2)="MV",2*N5260*IF(L5260="1/C",O5260,1),0)</f>
        <v/>
      </c>
      <c r="Y5260" s="12">
        <f>IF(OR(LEFT(K5260,4)="LVAX",LEFT(K5260,6)="MV15AX",LEFT(K5260,4)="CTAX",LEFT(K5260,2)="W|"),2*N5260*O5260,0)</f>
        <v/>
      </c>
      <c r="Z5260" s="12" t="inlineStr">
        <is>
          <t>VD 2.5 %</t>
        </is>
      </c>
      <c r="AA5260" s="12">
        <f>N5260*O5260</f>
        <v/>
      </c>
    </row>
    <row r="5261">
      <c r="A5261" s="12" t="inlineStr">
        <is>
          <t>I-P-0142</t>
        </is>
      </c>
      <c r="B5261" s="12" t="inlineStr">
        <is>
          <t>I</t>
        </is>
      </c>
      <c r="C5261" s="12" t="inlineStr">
        <is>
          <t>Modular / portable power</t>
        </is>
      </c>
      <c r="D5261" s="12" t="inlineStr">
        <is>
          <t>480 V welding receptacle 3</t>
        </is>
      </c>
      <c r="E5261" s="12" t="inlineStr"/>
      <c r="F5261" s="12" t="inlineStr">
        <is>
          <t>PCM: power control module</t>
        </is>
      </c>
      <c r="G5261" s="12" t="inlineStr">
        <is>
          <t>RICE-1</t>
        </is>
      </c>
      <c r="H5261" s="12" t="inlineStr">
        <is>
          <t>RICE engine-generator 1</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60</v>
      </c>
      <c r="R5261" s="12" t="n">
        <v>76</v>
      </c>
      <c r="S5261" s="12" t="inlineStr">
        <is>
          <t>Duct bank</t>
        </is>
      </c>
      <c r="T5261" s="16" t="n">
        <v>550</v>
      </c>
      <c r="U5261" s="16" t="n">
        <v>137</v>
      </c>
      <c r="V5261" s="16">
        <f>ROUNDUP((T5261+U5261+2*'Read Me'!$B$13)*(1+'Read Me'!$B$12),-1)</f>
        <v/>
      </c>
      <c r="W5261" s="16">
        <f>V5261*N5261*O5261</f>
        <v/>
      </c>
      <c r="X5261" s="12">
        <f>IF(LEFT(I5261,2)="MV",2*N5261*IF(L5261="1/C",O5261,1),0)</f>
        <v/>
      </c>
      <c r="Y5261" s="12">
        <f>IF(OR(LEFT(K5261,4)="LVAX",LEFT(K5261,6)="MV15AX",LEFT(K5261,4)="CTAX",LEFT(K5261,2)="W|"),2*N5261*O5261,0)</f>
        <v/>
      </c>
      <c r="Z5261" s="12" t="inlineStr">
        <is>
          <t>VD 2.5 %</t>
        </is>
      </c>
      <c r="AA5261" s="12">
        <f>N5261*O5261</f>
        <v/>
      </c>
    </row>
    <row r="5262">
      <c r="A5262" s="12" t="inlineStr">
        <is>
          <t>I-P-0143</t>
        </is>
      </c>
      <c r="B5262" s="12" t="inlineStr">
        <is>
          <t>I</t>
        </is>
      </c>
      <c r="C5262" s="12" t="inlineStr">
        <is>
          <t>Modular / portable power</t>
        </is>
      </c>
      <c r="D5262" s="12" t="inlineStr">
        <is>
          <t>480 V welding receptacle 4</t>
        </is>
      </c>
      <c r="E5262" s="12" t="inlineStr"/>
      <c r="F5262" s="12" t="inlineStr">
        <is>
          <t>PCM: power control module</t>
        </is>
      </c>
      <c r="G5262" s="12" t="inlineStr">
        <is>
          <t>RICE-1</t>
        </is>
      </c>
      <c r="H5262" s="12" t="inlineStr">
        <is>
          <t>RICE engine-generator 1</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60</v>
      </c>
      <c r="R5262" s="12" t="n">
        <v>76</v>
      </c>
      <c r="S5262" s="12" t="inlineStr">
        <is>
          <t>Duct bank</t>
        </is>
      </c>
      <c r="T5262" s="16" t="n">
        <v>550</v>
      </c>
      <c r="U5262" s="16" t="n">
        <v>137</v>
      </c>
      <c r="V5262" s="16">
        <f>ROUNDUP((T5262+U5262+2*'Read Me'!$B$13)*(1+'Read Me'!$B$12),-1)</f>
        <v/>
      </c>
      <c r="W5262" s="16">
        <f>V5262*N5262*O5262</f>
        <v/>
      </c>
      <c r="X5262" s="12">
        <f>IF(LEFT(I5262,2)="MV",2*N5262*IF(L5262="1/C",O5262,1),0)</f>
        <v/>
      </c>
      <c r="Y5262" s="12">
        <f>IF(OR(LEFT(K5262,4)="LVAX",LEFT(K5262,6)="MV15AX",LEFT(K5262,4)="CTAX",LEFT(K5262,2)="W|"),2*N5262*O5262,0)</f>
        <v/>
      </c>
      <c r="Z5262" s="12" t="inlineStr">
        <is>
          <t>VD 2.5 %</t>
        </is>
      </c>
      <c r="AA5262" s="12">
        <f>N5262*O5262</f>
        <v/>
      </c>
    </row>
    <row r="5263">
      <c r="A5263" s="12" t="inlineStr">
        <is>
          <t>I-P-0144</t>
        </is>
      </c>
      <c r="B5263" s="12" t="inlineStr">
        <is>
          <t>I</t>
        </is>
      </c>
      <c r="C5263" s="12" t="inlineStr">
        <is>
          <t>Modular / portable power</t>
        </is>
      </c>
      <c r="D5263" s="12" t="inlineStr">
        <is>
          <t>Motor 1 of 6, 22 kW</t>
        </is>
      </c>
      <c r="E5263" s="12" t="inlineStr"/>
      <c r="F5263" s="12" t="inlineStr">
        <is>
          <t>PCM: power control module</t>
        </is>
      </c>
      <c r="G5263" s="12" t="inlineStr">
        <is>
          <t>RICE-2</t>
        </is>
      </c>
      <c r="H5263" s="12" t="inlineStr">
        <is>
          <t>RICE engine-generator 2</t>
        </is>
      </c>
      <c r="I5263" s="12" t="inlineStr">
        <is>
          <t>LV 600 V</t>
        </is>
      </c>
      <c r="J5263" s="12" t="inlineStr">
        <is>
          <t>Type TC-ER 600 V 3/C Cu XHHW-2 + ground, PVC jacket</t>
        </is>
      </c>
      <c r="K5263" s="12" t="inlineStr">
        <is>
          <t>LV|3/C+G|4</t>
        </is>
      </c>
      <c r="L5263" s="12" t="inlineStr">
        <is>
          <t>3/C+G</t>
        </is>
      </c>
      <c r="M5263" s="12" t="inlineStr">
        <is>
          <t>4</t>
        </is>
      </c>
      <c r="N5263" s="12" t="n">
        <v>1</v>
      </c>
      <c r="O5263" s="12" t="n">
        <v>1</v>
      </c>
      <c r="P5263" s="12" t="n">
        <v>480</v>
      </c>
      <c r="Q5263" s="12" t="n">
        <v>22</v>
      </c>
      <c r="R5263" s="12" t="n">
        <v>31.1</v>
      </c>
      <c r="S5263" s="12" t="inlineStr">
        <is>
          <t>Duct bank</t>
        </is>
      </c>
      <c r="T5263" s="16" t="n">
        <v>550</v>
      </c>
      <c r="U5263" s="16" t="n">
        <v>109</v>
      </c>
      <c r="V5263" s="16">
        <f>ROUNDUP((T5263+U5263+2*'Read Me'!$B$13)*(1+'Read Me'!$B$12),-1)</f>
        <v/>
      </c>
      <c r="W5263" s="16">
        <f>V5263*N5263*O5263</f>
        <v/>
      </c>
      <c r="X5263" s="12">
        <f>IF(LEFT(I5263,2)="MV",2*N5263*IF(L5263="1/C",O5263,1),0)</f>
        <v/>
      </c>
      <c r="Y5263" s="12">
        <f>IF(OR(LEFT(K5263,4)="LVAX",LEFT(K5263,6)="MV15AX",LEFT(K5263,4)="CTAX",LEFT(K5263,2)="W|"),2*N5263*O5263,0)</f>
        <v/>
      </c>
      <c r="Z5263" s="12" t="inlineStr">
        <is>
          <t>VD 2.5 %</t>
        </is>
      </c>
      <c r="AA5263" s="12">
        <f>N5263*O5263</f>
        <v/>
      </c>
    </row>
    <row r="5264">
      <c r="A5264" s="12" t="inlineStr">
        <is>
          <t>I-P-0145</t>
        </is>
      </c>
      <c r="B5264" s="12" t="inlineStr">
        <is>
          <t>I</t>
        </is>
      </c>
      <c r="C5264" s="12" t="inlineStr">
        <is>
          <t>Modular / portable power</t>
        </is>
      </c>
      <c r="D5264" s="12" t="inlineStr">
        <is>
          <t>Motor 2 of 6, 22 kW</t>
        </is>
      </c>
      <c r="E5264" s="12" t="inlineStr"/>
      <c r="F5264" s="12" t="inlineStr">
        <is>
          <t>PCM: power control module</t>
        </is>
      </c>
      <c r="G5264" s="12" t="inlineStr">
        <is>
          <t>RICE-2</t>
        </is>
      </c>
      <c r="H5264" s="12" t="inlineStr">
        <is>
          <t>RICE engine-generator 2</t>
        </is>
      </c>
      <c r="I5264" s="12" t="inlineStr">
        <is>
          <t>LV 600 V</t>
        </is>
      </c>
      <c r="J5264" s="12" t="inlineStr">
        <is>
          <t>Type TC-ER 600 V 3/C Cu XHHW-2 + ground, PVC jacket</t>
        </is>
      </c>
      <c r="K5264" s="12" t="inlineStr">
        <is>
          <t>LV|3/C+G|4</t>
        </is>
      </c>
      <c r="L5264" s="12" t="inlineStr">
        <is>
          <t>3/C+G</t>
        </is>
      </c>
      <c r="M5264" s="12" t="inlineStr">
        <is>
          <t>4</t>
        </is>
      </c>
      <c r="N5264" s="12" t="n">
        <v>1</v>
      </c>
      <c r="O5264" s="12" t="n">
        <v>1</v>
      </c>
      <c r="P5264" s="12" t="n">
        <v>480</v>
      </c>
      <c r="Q5264" s="12" t="n">
        <v>22</v>
      </c>
      <c r="R5264" s="12" t="n">
        <v>31.1</v>
      </c>
      <c r="S5264" s="12" t="inlineStr">
        <is>
          <t>Duct bank</t>
        </is>
      </c>
      <c r="T5264" s="16" t="n">
        <v>550</v>
      </c>
      <c r="U5264" s="16" t="n">
        <v>109</v>
      </c>
      <c r="V5264" s="16">
        <f>ROUNDUP((T5264+U5264+2*'Read Me'!$B$13)*(1+'Read Me'!$B$12),-1)</f>
        <v/>
      </c>
      <c r="W5264" s="16">
        <f>V5264*N5264*O5264</f>
        <v/>
      </c>
      <c r="X5264" s="12">
        <f>IF(LEFT(I5264,2)="MV",2*N5264*IF(L5264="1/C",O5264,1),0)</f>
        <v/>
      </c>
      <c r="Y5264" s="12">
        <f>IF(OR(LEFT(K5264,4)="LVAX",LEFT(K5264,6)="MV15AX",LEFT(K5264,4)="CTAX",LEFT(K5264,2)="W|"),2*N5264*O5264,0)</f>
        <v/>
      </c>
      <c r="Z5264" s="12" t="inlineStr">
        <is>
          <t>VD 2.5 %</t>
        </is>
      </c>
      <c r="AA5264" s="12">
        <f>N5264*O5264</f>
        <v/>
      </c>
    </row>
    <row r="5265">
      <c r="A5265" s="12" t="inlineStr">
        <is>
          <t>I-P-0146</t>
        </is>
      </c>
      <c r="B5265" s="12" t="inlineStr">
        <is>
          <t>I</t>
        </is>
      </c>
      <c r="C5265" s="12" t="inlineStr">
        <is>
          <t>Modular / portable power</t>
        </is>
      </c>
      <c r="D5265" s="12" t="inlineStr">
        <is>
          <t>Motor 3 of 6, 22 kW</t>
        </is>
      </c>
      <c r="E5265" s="12" t="inlineStr"/>
      <c r="F5265" s="12" t="inlineStr">
        <is>
          <t>PCM: power control module</t>
        </is>
      </c>
      <c r="G5265" s="12" t="inlineStr">
        <is>
          <t>RICE-2</t>
        </is>
      </c>
      <c r="H5265" s="12" t="inlineStr">
        <is>
          <t>RICE engine-generator 2</t>
        </is>
      </c>
      <c r="I5265" s="12" t="inlineStr">
        <is>
          <t>LV 600 V</t>
        </is>
      </c>
      <c r="J5265" s="12" t="inlineStr">
        <is>
          <t>Type TC-ER 600 V 3/C Cu XHHW-2 + ground, PVC jacket</t>
        </is>
      </c>
      <c r="K5265" s="12" t="inlineStr">
        <is>
          <t>LV|3/C+G|4</t>
        </is>
      </c>
      <c r="L5265" s="12" t="inlineStr">
        <is>
          <t>3/C+G</t>
        </is>
      </c>
      <c r="M5265" s="12" t="inlineStr">
        <is>
          <t>4</t>
        </is>
      </c>
      <c r="N5265" s="12" t="n">
        <v>1</v>
      </c>
      <c r="O5265" s="12" t="n">
        <v>1</v>
      </c>
      <c r="P5265" s="12" t="n">
        <v>480</v>
      </c>
      <c r="Q5265" s="12" t="n">
        <v>22</v>
      </c>
      <c r="R5265" s="12" t="n">
        <v>31.1</v>
      </c>
      <c r="S5265" s="12" t="inlineStr">
        <is>
          <t>Duct bank</t>
        </is>
      </c>
      <c r="T5265" s="16" t="n">
        <v>550</v>
      </c>
      <c r="U5265" s="16" t="n">
        <v>109</v>
      </c>
      <c r="V5265" s="16">
        <f>ROUNDUP((T5265+U5265+2*'Read Me'!$B$13)*(1+'Read Me'!$B$12),-1)</f>
        <v/>
      </c>
      <c r="W5265" s="16">
        <f>V5265*N5265*O5265</f>
        <v/>
      </c>
      <c r="X5265" s="12">
        <f>IF(LEFT(I5265,2)="MV",2*N5265*IF(L5265="1/C",O5265,1),0)</f>
        <v/>
      </c>
      <c r="Y5265" s="12">
        <f>IF(OR(LEFT(K5265,4)="LVAX",LEFT(K5265,6)="MV15AX",LEFT(K5265,4)="CTAX",LEFT(K5265,2)="W|"),2*N5265*O5265,0)</f>
        <v/>
      </c>
      <c r="Z5265" s="12" t="inlineStr">
        <is>
          <t>VD 2.5 %</t>
        </is>
      </c>
      <c r="AA5265" s="12">
        <f>N5265*O5265</f>
        <v/>
      </c>
    </row>
    <row r="5266">
      <c r="A5266" s="12" t="inlineStr">
        <is>
          <t>I-P-0147</t>
        </is>
      </c>
      <c r="B5266" s="12" t="inlineStr">
        <is>
          <t>I</t>
        </is>
      </c>
      <c r="C5266" s="12" t="inlineStr">
        <is>
          <t>Modular / portable power</t>
        </is>
      </c>
      <c r="D5266" s="12" t="inlineStr">
        <is>
          <t>Motor 4 of 6, 22 kW</t>
        </is>
      </c>
      <c r="E5266" s="12" t="inlineStr"/>
      <c r="F5266" s="12" t="inlineStr">
        <is>
          <t>PCM: power control module</t>
        </is>
      </c>
      <c r="G5266" s="12" t="inlineStr">
        <is>
          <t>RICE-2</t>
        </is>
      </c>
      <c r="H5266" s="12" t="inlineStr">
        <is>
          <t>RICE engine-generator 2</t>
        </is>
      </c>
      <c r="I5266" s="12" t="inlineStr">
        <is>
          <t>LV 600 V</t>
        </is>
      </c>
      <c r="J5266" s="12" t="inlineStr">
        <is>
          <t>Type TC-ER 600 V 3/C Cu XHHW-2 + ground, PVC jacket</t>
        </is>
      </c>
      <c r="K5266" s="12" t="inlineStr">
        <is>
          <t>LV|3/C+G|4</t>
        </is>
      </c>
      <c r="L5266" s="12" t="inlineStr">
        <is>
          <t>3/C+G</t>
        </is>
      </c>
      <c r="M5266" s="12" t="inlineStr">
        <is>
          <t>4</t>
        </is>
      </c>
      <c r="N5266" s="12" t="n">
        <v>1</v>
      </c>
      <c r="O5266" s="12" t="n">
        <v>1</v>
      </c>
      <c r="P5266" s="12" t="n">
        <v>480</v>
      </c>
      <c r="Q5266" s="12" t="n">
        <v>22</v>
      </c>
      <c r="R5266" s="12" t="n">
        <v>31.1</v>
      </c>
      <c r="S5266" s="12" t="inlineStr">
        <is>
          <t>Duct bank</t>
        </is>
      </c>
      <c r="T5266" s="16" t="n">
        <v>550</v>
      </c>
      <c r="U5266" s="16" t="n">
        <v>109</v>
      </c>
      <c r="V5266" s="16">
        <f>ROUNDUP((T5266+U5266+2*'Read Me'!$B$13)*(1+'Read Me'!$B$12),-1)</f>
        <v/>
      </c>
      <c r="W5266" s="16">
        <f>V5266*N5266*O5266</f>
        <v/>
      </c>
      <c r="X5266" s="12">
        <f>IF(LEFT(I5266,2)="MV",2*N5266*IF(L5266="1/C",O5266,1),0)</f>
        <v/>
      </c>
      <c r="Y5266" s="12">
        <f>IF(OR(LEFT(K5266,4)="LVAX",LEFT(K5266,6)="MV15AX",LEFT(K5266,4)="CTAX",LEFT(K5266,2)="W|"),2*N5266*O5266,0)</f>
        <v/>
      </c>
      <c r="Z5266" s="12" t="inlineStr">
        <is>
          <t>VD 2.5 %</t>
        </is>
      </c>
      <c r="AA5266" s="12">
        <f>N5266*O5266</f>
        <v/>
      </c>
    </row>
    <row r="5267">
      <c r="A5267" s="12" t="inlineStr">
        <is>
          <t>I-P-0148</t>
        </is>
      </c>
      <c r="B5267" s="12" t="inlineStr">
        <is>
          <t>I</t>
        </is>
      </c>
      <c r="C5267" s="12" t="inlineStr">
        <is>
          <t>Modular / portable power</t>
        </is>
      </c>
      <c r="D5267" s="12" t="inlineStr">
        <is>
          <t>Motor 5 of 6, 22 kW</t>
        </is>
      </c>
      <c r="E5267" s="12" t="inlineStr"/>
      <c r="F5267" s="12" t="inlineStr">
        <is>
          <t>PCM: power control module</t>
        </is>
      </c>
      <c r="G5267" s="12" t="inlineStr">
        <is>
          <t>RICE-2</t>
        </is>
      </c>
      <c r="H5267" s="12" t="inlineStr">
        <is>
          <t>RICE engine-generator 2</t>
        </is>
      </c>
      <c r="I5267" s="12" t="inlineStr">
        <is>
          <t>LV 600 V</t>
        </is>
      </c>
      <c r="J5267" s="12" t="inlineStr">
        <is>
          <t>Type TC-ER 600 V 3/C Cu XHHW-2 + ground, PVC jacket</t>
        </is>
      </c>
      <c r="K5267" s="12" t="inlineStr">
        <is>
          <t>LV|3/C+G|4</t>
        </is>
      </c>
      <c r="L5267" s="12" t="inlineStr">
        <is>
          <t>3/C+G</t>
        </is>
      </c>
      <c r="M5267" s="12" t="inlineStr">
        <is>
          <t>4</t>
        </is>
      </c>
      <c r="N5267" s="12" t="n">
        <v>1</v>
      </c>
      <c r="O5267" s="12" t="n">
        <v>1</v>
      </c>
      <c r="P5267" s="12" t="n">
        <v>480</v>
      </c>
      <c r="Q5267" s="12" t="n">
        <v>22</v>
      </c>
      <c r="R5267" s="12" t="n">
        <v>31.1</v>
      </c>
      <c r="S5267" s="12" t="inlineStr">
        <is>
          <t>Duct bank</t>
        </is>
      </c>
      <c r="T5267" s="16" t="n">
        <v>550</v>
      </c>
      <c r="U5267" s="16" t="n">
        <v>109</v>
      </c>
      <c r="V5267" s="16">
        <f>ROUNDUP((T5267+U5267+2*'Read Me'!$B$13)*(1+'Read Me'!$B$12),-1)</f>
        <v/>
      </c>
      <c r="W5267" s="16">
        <f>V5267*N5267*O5267</f>
        <v/>
      </c>
      <c r="X5267" s="12">
        <f>IF(LEFT(I5267,2)="MV",2*N5267*IF(L5267="1/C",O5267,1),0)</f>
        <v/>
      </c>
      <c r="Y5267" s="12">
        <f>IF(OR(LEFT(K5267,4)="LVAX",LEFT(K5267,6)="MV15AX",LEFT(K5267,4)="CTAX",LEFT(K5267,2)="W|"),2*N5267*O5267,0)</f>
        <v/>
      </c>
      <c r="Z5267" s="12" t="inlineStr">
        <is>
          <t>VD 2.5 %</t>
        </is>
      </c>
      <c r="AA5267" s="12">
        <f>N5267*O5267</f>
        <v/>
      </c>
    </row>
    <row r="5268">
      <c r="A5268" s="12" t="inlineStr">
        <is>
          <t>I-P-0149</t>
        </is>
      </c>
      <c r="B5268" s="12" t="inlineStr">
        <is>
          <t>I</t>
        </is>
      </c>
      <c r="C5268" s="12" t="inlineStr">
        <is>
          <t>Modular / portable power</t>
        </is>
      </c>
      <c r="D5268" s="12" t="inlineStr">
        <is>
          <t>Motor 6 of 6, 22 kW</t>
        </is>
      </c>
      <c r="E5268" s="12" t="inlineStr"/>
      <c r="F5268" s="12" t="inlineStr">
        <is>
          <t>PCM: power control module</t>
        </is>
      </c>
      <c r="G5268" s="12" t="inlineStr">
        <is>
          <t>RICE-2</t>
        </is>
      </c>
      <c r="H5268" s="12" t="inlineStr">
        <is>
          <t>RICE engine-generator 2</t>
        </is>
      </c>
      <c r="I5268" s="12" t="inlineStr">
        <is>
          <t>LV 600 V</t>
        </is>
      </c>
      <c r="J5268" s="12" t="inlineStr">
        <is>
          <t>Type TC-ER 600 V 3/C Cu XHHW-2 + ground, PVC jacket</t>
        </is>
      </c>
      <c r="K5268" s="12" t="inlineStr">
        <is>
          <t>LV|3/C+G|4</t>
        </is>
      </c>
      <c r="L5268" s="12" t="inlineStr">
        <is>
          <t>3/C+G</t>
        </is>
      </c>
      <c r="M5268" s="12" t="inlineStr">
        <is>
          <t>4</t>
        </is>
      </c>
      <c r="N5268" s="12" t="n">
        <v>1</v>
      </c>
      <c r="O5268" s="12" t="n">
        <v>1</v>
      </c>
      <c r="P5268" s="12" t="n">
        <v>480</v>
      </c>
      <c r="Q5268" s="12" t="n">
        <v>22</v>
      </c>
      <c r="R5268" s="12" t="n">
        <v>31.1</v>
      </c>
      <c r="S5268" s="12" t="inlineStr">
        <is>
          <t>Duct bank</t>
        </is>
      </c>
      <c r="T5268" s="16" t="n">
        <v>550</v>
      </c>
      <c r="U5268" s="16" t="n">
        <v>109</v>
      </c>
      <c r="V5268" s="16">
        <f>ROUNDUP((T5268+U5268+2*'Read Me'!$B$13)*(1+'Read Me'!$B$12),-1)</f>
        <v/>
      </c>
      <c r="W5268" s="16">
        <f>V5268*N5268*O5268</f>
        <v/>
      </c>
      <c r="X5268" s="12">
        <f>IF(LEFT(I5268,2)="MV",2*N5268*IF(L5268="1/C",O5268,1),0)</f>
        <v/>
      </c>
      <c r="Y5268" s="12">
        <f>IF(OR(LEFT(K5268,4)="LVAX",LEFT(K5268,6)="MV15AX",LEFT(K5268,4)="CTAX",LEFT(K5268,2)="W|"),2*N5268*O5268,0)</f>
        <v/>
      </c>
      <c r="Z5268" s="12" t="inlineStr">
        <is>
          <t>VD 2.5 %</t>
        </is>
      </c>
      <c r="AA5268" s="12">
        <f>N5268*O5268</f>
        <v/>
      </c>
    </row>
    <row r="5269">
      <c r="A5269" s="12" t="inlineStr">
        <is>
          <t>I-P-0150</t>
        </is>
      </c>
      <c r="B5269" s="12" t="inlineStr">
        <is>
          <t>I</t>
        </is>
      </c>
      <c r="C5269" s="12" t="inlineStr">
        <is>
          <t>Modular / portable power</t>
        </is>
      </c>
      <c r="D5269" s="12" t="inlineStr">
        <is>
          <t>480 V welding receptacle 1</t>
        </is>
      </c>
      <c r="E5269" s="12" t="inlineStr"/>
      <c r="F5269" s="12" t="inlineStr">
        <is>
          <t>PCM: power control module</t>
        </is>
      </c>
      <c r="G5269" s="12" t="inlineStr">
        <is>
          <t>RICE-2</t>
        </is>
      </c>
      <c r="H5269" s="12" t="inlineStr">
        <is>
          <t>RICE engine-generator 2</t>
        </is>
      </c>
      <c r="I5269" s="12" t="inlineStr">
        <is>
          <t>LV 600 V</t>
        </is>
      </c>
      <c r="J5269" s="12" t="inlineStr">
        <is>
          <t>Type TC-ER 600 V 3/C Cu XHHW-2 + ground, PVC jacket</t>
        </is>
      </c>
      <c r="K5269" s="12" t="inlineStr">
        <is>
          <t>LV|3/C+G|1/0</t>
        </is>
      </c>
      <c r="L5269" s="12" t="inlineStr">
        <is>
          <t>3/C+G</t>
        </is>
      </c>
      <c r="M5269" s="12" t="inlineStr">
        <is>
          <t>1/0</t>
        </is>
      </c>
      <c r="N5269" s="12" t="n">
        <v>1</v>
      </c>
      <c r="O5269" s="12" t="n">
        <v>1</v>
      </c>
      <c r="P5269" s="12" t="n">
        <v>480</v>
      </c>
      <c r="Q5269" s="12" t="n">
        <v>60</v>
      </c>
      <c r="R5269" s="12" t="n">
        <v>76</v>
      </c>
      <c r="S5269" s="12" t="inlineStr">
        <is>
          <t>Duct bank</t>
        </is>
      </c>
      <c r="T5269" s="16" t="n">
        <v>550</v>
      </c>
      <c r="U5269" s="16" t="n">
        <v>109</v>
      </c>
      <c r="V5269" s="16">
        <f>ROUNDUP((T5269+U5269+2*'Read Me'!$B$13)*(1+'Read Me'!$B$12),-1)</f>
        <v/>
      </c>
      <c r="W5269" s="16">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I-P-0151</t>
        </is>
      </c>
      <c r="B5270" s="12" t="inlineStr">
        <is>
          <t>I</t>
        </is>
      </c>
      <c r="C5270" s="12" t="inlineStr">
        <is>
          <t>Modular / portable power</t>
        </is>
      </c>
      <c r="D5270" s="12" t="inlineStr">
        <is>
          <t>480 V welding receptacle 2</t>
        </is>
      </c>
      <c r="E5270" s="12" t="inlineStr"/>
      <c r="F5270" s="12" t="inlineStr">
        <is>
          <t>PCM: power control module</t>
        </is>
      </c>
      <c r="G5270" s="12" t="inlineStr">
        <is>
          <t>RICE-2</t>
        </is>
      </c>
      <c r="H5270" s="12" t="inlineStr">
        <is>
          <t>RICE engine-generator 2</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60</v>
      </c>
      <c r="R5270" s="12" t="n">
        <v>76</v>
      </c>
      <c r="S5270" s="12" t="inlineStr">
        <is>
          <t>Duct bank</t>
        </is>
      </c>
      <c r="T5270" s="16" t="n">
        <v>550</v>
      </c>
      <c r="U5270" s="16" t="n">
        <v>109</v>
      </c>
      <c r="V5270" s="16">
        <f>ROUNDUP((T5270+U5270+2*'Read Me'!$B$13)*(1+'Read Me'!$B$12),-1)</f>
        <v/>
      </c>
      <c r="W5270" s="16">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I-P-0152</t>
        </is>
      </c>
      <c r="B5271" s="12" t="inlineStr">
        <is>
          <t>I</t>
        </is>
      </c>
      <c r="C5271" s="12" t="inlineStr">
        <is>
          <t>Modular / portable power</t>
        </is>
      </c>
      <c r="D5271" s="12" t="inlineStr">
        <is>
          <t>480 V welding receptacle 3</t>
        </is>
      </c>
      <c r="E5271" s="12" t="inlineStr"/>
      <c r="F5271" s="12" t="inlineStr">
        <is>
          <t>PCM: power control module</t>
        </is>
      </c>
      <c r="G5271" s="12" t="inlineStr">
        <is>
          <t>RICE-2</t>
        </is>
      </c>
      <c r="H5271" s="12" t="inlineStr">
        <is>
          <t>RICE engine-generator 2</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60</v>
      </c>
      <c r="R5271" s="12" t="n">
        <v>76</v>
      </c>
      <c r="S5271" s="12" t="inlineStr">
        <is>
          <t>Duct bank</t>
        </is>
      </c>
      <c r="T5271" s="16" t="n">
        <v>550</v>
      </c>
      <c r="U5271" s="16" t="n">
        <v>109</v>
      </c>
      <c r="V5271" s="16">
        <f>ROUNDUP((T5271+U5271+2*'Read Me'!$B$13)*(1+'Read Me'!$B$12),-1)</f>
        <v/>
      </c>
      <c r="W5271" s="16">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I-P-0153</t>
        </is>
      </c>
      <c r="B5272" s="12" t="inlineStr">
        <is>
          <t>I</t>
        </is>
      </c>
      <c r="C5272" s="12" t="inlineStr">
        <is>
          <t>Modular / portable power</t>
        </is>
      </c>
      <c r="D5272" s="12" t="inlineStr">
        <is>
          <t>480 V welding receptacle 4</t>
        </is>
      </c>
      <c r="E5272" s="12" t="inlineStr"/>
      <c r="F5272" s="12" t="inlineStr">
        <is>
          <t>PCM: power control module</t>
        </is>
      </c>
      <c r="G5272" s="12" t="inlineStr">
        <is>
          <t>RICE-2</t>
        </is>
      </c>
      <c r="H5272" s="12" t="inlineStr">
        <is>
          <t>RICE engine-generator 2</t>
        </is>
      </c>
      <c r="I5272" s="12" t="inlineStr">
        <is>
          <t>LV 600 V</t>
        </is>
      </c>
      <c r="J5272" s="12" t="inlineStr">
        <is>
          <t>Type TC-ER 600 V 3/C Cu XHHW-2 + ground, PVC jacket</t>
        </is>
      </c>
      <c r="K5272" s="12" t="inlineStr">
        <is>
          <t>LV|3/C+G|1/0</t>
        </is>
      </c>
      <c r="L5272" s="12" t="inlineStr">
        <is>
          <t>3/C+G</t>
        </is>
      </c>
      <c r="M5272" s="12" t="inlineStr">
        <is>
          <t>1/0</t>
        </is>
      </c>
      <c r="N5272" s="12" t="n">
        <v>1</v>
      </c>
      <c r="O5272" s="12" t="n">
        <v>1</v>
      </c>
      <c r="P5272" s="12" t="n">
        <v>480</v>
      </c>
      <c r="Q5272" s="12" t="n">
        <v>60</v>
      </c>
      <c r="R5272" s="12" t="n">
        <v>76</v>
      </c>
      <c r="S5272" s="12" t="inlineStr">
        <is>
          <t>Duct bank</t>
        </is>
      </c>
      <c r="T5272" s="16" t="n">
        <v>550</v>
      </c>
      <c r="U5272" s="16" t="n">
        <v>109</v>
      </c>
      <c r="V5272" s="16">
        <f>ROUNDUP((T5272+U5272+2*'Read Me'!$B$13)*(1+'Read Me'!$B$12),-1)</f>
        <v/>
      </c>
      <c r="W5272" s="16">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I-P-0154</t>
        </is>
      </c>
      <c r="B5273" s="12" t="inlineStr">
        <is>
          <t>I</t>
        </is>
      </c>
      <c r="C5273" s="12" t="inlineStr">
        <is>
          <t>Modular / portable power</t>
        </is>
      </c>
      <c r="D5273" s="12" t="inlineStr">
        <is>
          <t>Motor 1 of 6, 22 kW</t>
        </is>
      </c>
      <c r="E5273" s="12" t="inlineStr"/>
      <c r="F5273" s="12" t="inlineStr">
        <is>
          <t>PCM: power control module</t>
        </is>
      </c>
      <c r="G5273" s="12" t="inlineStr">
        <is>
          <t>RICE-3</t>
        </is>
      </c>
      <c r="H5273" s="12" t="inlineStr">
        <is>
          <t>RICE engine-generator 3</t>
        </is>
      </c>
      <c r="I5273" s="12" t="inlineStr">
        <is>
          <t>LV 600 V</t>
        </is>
      </c>
      <c r="J5273" s="12" t="inlineStr">
        <is>
          <t>Type TC-ER 600 V 3/C Cu XHHW-2 + ground, PVC jacket</t>
        </is>
      </c>
      <c r="K5273" s="12" t="inlineStr">
        <is>
          <t>LV|3/C+G|4</t>
        </is>
      </c>
      <c r="L5273" s="12" t="inlineStr">
        <is>
          <t>3/C+G</t>
        </is>
      </c>
      <c r="M5273" s="12" t="inlineStr">
        <is>
          <t>4</t>
        </is>
      </c>
      <c r="N5273" s="12" t="n">
        <v>1</v>
      </c>
      <c r="O5273" s="12" t="n">
        <v>1</v>
      </c>
      <c r="P5273" s="12" t="n">
        <v>480</v>
      </c>
      <c r="Q5273" s="12" t="n">
        <v>22</v>
      </c>
      <c r="R5273" s="12" t="n">
        <v>31.1</v>
      </c>
      <c r="S5273" s="12" t="inlineStr">
        <is>
          <t>Duct bank</t>
        </is>
      </c>
      <c r="T5273" s="16" t="n">
        <v>550</v>
      </c>
      <c r="U5273" s="16" t="n">
        <v>81</v>
      </c>
      <c r="V5273" s="16">
        <f>ROUNDUP((T5273+U5273+2*'Read Me'!$B$13)*(1+'Read Me'!$B$12),-1)</f>
        <v/>
      </c>
      <c r="W5273" s="16">
        <f>V5273*N5273*O5273</f>
        <v/>
      </c>
      <c r="X5273" s="12">
        <f>IF(LEFT(I5273,2)="MV",2*N5273*IF(L5273="1/C",O5273,1),0)</f>
        <v/>
      </c>
      <c r="Y5273" s="12">
        <f>IF(OR(LEFT(K5273,4)="LVAX",LEFT(K5273,6)="MV15AX",LEFT(K5273,4)="CTAX",LEFT(K5273,2)="W|"),2*N5273*O5273,0)</f>
        <v/>
      </c>
      <c r="Z5273" s="12" t="inlineStr">
        <is>
          <t>VD 2.4 %</t>
        </is>
      </c>
      <c r="AA5273" s="12">
        <f>N5273*O5273</f>
        <v/>
      </c>
    </row>
    <row r="5274">
      <c r="A5274" s="12" t="inlineStr">
        <is>
          <t>I-P-0155</t>
        </is>
      </c>
      <c r="B5274" s="12" t="inlineStr">
        <is>
          <t>I</t>
        </is>
      </c>
      <c r="C5274" s="12" t="inlineStr">
        <is>
          <t>Modular / portable power</t>
        </is>
      </c>
      <c r="D5274" s="12" t="inlineStr">
        <is>
          <t>Motor 2 of 6, 22 kW</t>
        </is>
      </c>
      <c r="E5274" s="12" t="inlineStr"/>
      <c r="F5274" s="12" t="inlineStr">
        <is>
          <t>PCM: power control module</t>
        </is>
      </c>
      <c r="G5274" s="12" t="inlineStr">
        <is>
          <t>RICE-3</t>
        </is>
      </c>
      <c r="H5274" s="12" t="inlineStr">
        <is>
          <t>RICE engine-generator 3</t>
        </is>
      </c>
      <c r="I5274" s="12" t="inlineStr">
        <is>
          <t>LV 600 V</t>
        </is>
      </c>
      <c r="J5274" s="12" t="inlineStr">
        <is>
          <t>Type TC-ER 600 V 3/C Cu XHHW-2 + ground, PVC jacket</t>
        </is>
      </c>
      <c r="K5274" s="12" t="inlineStr">
        <is>
          <t>LV|3/C+G|4</t>
        </is>
      </c>
      <c r="L5274" s="12" t="inlineStr">
        <is>
          <t>3/C+G</t>
        </is>
      </c>
      <c r="M5274" s="12" t="inlineStr">
        <is>
          <t>4</t>
        </is>
      </c>
      <c r="N5274" s="12" t="n">
        <v>1</v>
      </c>
      <c r="O5274" s="12" t="n">
        <v>1</v>
      </c>
      <c r="P5274" s="12" t="n">
        <v>480</v>
      </c>
      <c r="Q5274" s="12" t="n">
        <v>22</v>
      </c>
      <c r="R5274" s="12" t="n">
        <v>31.1</v>
      </c>
      <c r="S5274" s="12" t="inlineStr">
        <is>
          <t>Duct bank</t>
        </is>
      </c>
      <c r="T5274" s="16" t="n">
        <v>550</v>
      </c>
      <c r="U5274" s="16" t="n">
        <v>81</v>
      </c>
      <c r="V5274" s="16">
        <f>ROUNDUP((T5274+U5274+2*'Read Me'!$B$13)*(1+'Read Me'!$B$12),-1)</f>
        <v/>
      </c>
      <c r="W5274" s="16">
        <f>V5274*N5274*O5274</f>
        <v/>
      </c>
      <c r="X5274" s="12">
        <f>IF(LEFT(I5274,2)="MV",2*N5274*IF(L5274="1/C",O5274,1),0)</f>
        <v/>
      </c>
      <c r="Y5274" s="12">
        <f>IF(OR(LEFT(K5274,4)="LVAX",LEFT(K5274,6)="MV15AX",LEFT(K5274,4)="CTAX",LEFT(K5274,2)="W|"),2*N5274*O5274,0)</f>
        <v/>
      </c>
      <c r="Z5274" s="12" t="inlineStr">
        <is>
          <t>VD 2.4 %</t>
        </is>
      </c>
      <c r="AA5274" s="12">
        <f>N5274*O5274</f>
        <v/>
      </c>
    </row>
    <row r="5275">
      <c r="A5275" s="12" t="inlineStr">
        <is>
          <t>I-P-0156</t>
        </is>
      </c>
      <c r="B5275" s="12" t="inlineStr">
        <is>
          <t>I</t>
        </is>
      </c>
      <c r="C5275" s="12" t="inlineStr">
        <is>
          <t>Modular / portable power</t>
        </is>
      </c>
      <c r="D5275" s="12" t="inlineStr">
        <is>
          <t>Motor 3 of 6, 22 kW</t>
        </is>
      </c>
      <c r="E5275" s="12" t="inlineStr"/>
      <c r="F5275" s="12" t="inlineStr">
        <is>
          <t>PCM: power control module</t>
        </is>
      </c>
      <c r="G5275" s="12" t="inlineStr">
        <is>
          <t>RICE-3</t>
        </is>
      </c>
      <c r="H5275" s="12" t="inlineStr">
        <is>
          <t>RICE engine-generator 3</t>
        </is>
      </c>
      <c r="I5275" s="12" t="inlineStr">
        <is>
          <t>LV 600 V</t>
        </is>
      </c>
      <c r="J5275" s="12" t="inlineStr">
        <is>
          <t>Type TC-ER 600 V 3/C Cu XHHW-2 + ground, PVC jacket</t>
        </is>
      </c>
      <c r="K5275" s="12" t="inlineStr">
        <is>
          <t>LV|3/C+G|4</t>
        </is>
      </c>
      <c r="L5275" s="12" t="inlineStr">
        <is>
          <t>3/C+G</t>
        </is>
      </c>
      <c r="M5275" s="12" t="inlineStr">
        <is>
          <t>4</t>
        </is>
      </c>
      <c r="N5275" s="12" t="n">
        <v>1</v>
      </c>
      <c r="O5275" s="12" t="n">
        <v>1</v>
      </c>
      <c r="P5275" s="12" t="n">
        <v>480</v>
      </c>
      <c r="Q5275" s="12" t="n">
        <v>22</v>
      </c>
      <c r="R5275" s="12" t="n">
        <v>31.1</v>
      </c>
      <c r="S5275" s="12" t="inlineStr">
        <is>
          <t>Duct bank</t>
        </is>
      </c>
      <c r="T5275" s="16" t="n">
        <v>550</v>
      </c>
      <c r="U5275" s="16" t="n">
        <v>81</v>
      </c>
      <c r="V5275" s="16">
        <f>ROUNDUP((T5275+U5275+2*'Read Me'!$B$13)*(1+'Read Me'!$B$12),-1)</f>
        <v/>
      </c>
      <c r="W5275" s="16">
        <f>V5275*N5275*O5275</f>
        <v/>
      </c>
      <c r="X5275" s="12">
        <f>IF(LEFT(I5275,2)="MV",2*N5275*IF(L5275="1/C",O5275,1),0)</f>
        <v/>
      </c>
      <c r="Y5275" s="12">
        <f>IF(OR(LEFT(K5275,4)="LVAX",LEFT(K5275,6)="MV15AX",LEFT(K5275,4)="CTAX",LEFT(K5275,2)="W|"),2*N5275*O5275,0)</f>
        <v/>
      </c>
      <c r="Z5275" s="12" t="inlineStr">
        <is>
          <t>VD 2.4 %</t>
        </is>
      </c>
      <c r="AA5275" s="12">
        <f>N5275*O5275</f>
        <v/>
      </c>
    </row>
    <row r="5276">
      <c r="A5276" s="12" t="inlineStr">
        <is>
          <t>I-P-0157</t>
        </is>
      </c>
      <c r="B5276" s="12" t="inlineStr">
        <is>
          <t>I</t>
        </is>
      </c>
      <c r="C5276" s="12" t="inlineStr">
        <is>
          <t>Modular / portable power</t>
        </is>
      </c>
      <c r="D5276" s="12" t="inlineStr">
        <is>
          <t>Motor 4 of 6, 22 kW</t>
        </is>
      </c>
      <c r="E5276" s="12" t="inlineStr"/>
      <c r="F5276" s="12" t="inlineStr">
        <is>
          <t>PCM: power control module</t>
        </is>
      </c>
      <c r="G5276" s="12" t="inlineStr">
        <is>
          <t>RICE-3</t>
        </is>
      </c>
      <c r="H5276" s="12" t="inlineStr">
        <is>
          <t>RICE engine-generator 3</t>
        </is>
      </c>
      <c r="I5276" s="12" t="inlineStr">
        <is>
          <t>LV 600 V</t>
        </is>
      </c>
      <c r="J5276" s="12" t="inlineStr">
        <is>
          <t>Type TC-ER 600 V 3/C Cu XHHW-2 + ground, PVC jacket</t>
        </is>
      </c>
      <c r="K5276" s="12" t="inlineStr">
        <is>
          <t>LV|3/C+G|4</t>
        </is>
      </c>
      <c r="L5276" s="12" t="inlineStr">
        <is>
          <t>3/C+G</t>
        </is>
      </c>
      <c r="M5276" s="12" t="inlineStr">
        <is>
          <t>4</t>
        </is>
      </c>
      <c r="N5276" s="12" t="n">
        <v>1</v>
      </c>
      <c r="O5276" s="12" t="n">
        <v>1</v>
      </c>
      <c r="P5276" s="12" t="n">
        <v>480</v>
      </c>
      <c r="Q5276" s="12" t="n">
        <v>22</v>
      </c>
      <c r="R5276" s="12" t="n">
        <v>31.1</v>
      </c>
      <c r="S5276" s="12" t="inlineStr">
        <is>
          <t>Duct bank</t>
        </is>
      </c>
      <c r="T5276" s="16" t="n">
        <v>550</v>
      </c>
      <c r="U5276" s="16" t="n">
        <v>81</v>
      </c>
      <c r="V5276" s="16">
        <f>ROUNDUP((T5276+U5276+2*'Read Me'!$B$13)*(1+'Read Me'!$B$12),-1)</f>
        <v/>
      </c>
      <c r="W5276" s="16">
        <f>V5276*N5276*O5276</f>
        <v/>
      </c>
      <c r="X5276" s="12">
        <f>IF(LEFT(I5276,2)="MV",2*N5276*IF(L5276="1/C",O5276,1),0)</f>
        <v/>
      </c>
      <c r="Y5276" s="12">
        <f>IF(OR(LEFT(K5276,4)="LVAX",LEFT(K5276,6)="MV15AX",LEFT(K5276,4)="CTAX",LEFT(K5276,2)="W|"),2*N5276*O5276,0)</f>
        <v/>
      </c>
      <c r="Z5276" s="12" t="inlineStr">
        <is>
          <t>VD 2.4 %</t>
        </is>
      </c>
      <c r="AA5276" s="12">
        <f>N5276*O5276</f>
        <v/>
      </c>
    </row>
    <row r="5277">
      <c r="A5277" s="12" t="inlineStr">
        <is>
          <t>I-P-0158</t>
        </is>
      </c>
      <c r="B5277" s="12" t="inlineStr">
        <is>
          <t>I</t>
        </is>
      </c>
      <c r="C5277" s="12" t="inlineStr">
        <is>
          <t>Modular / portable power</t>
        </is>
      </c>
      <c r="D5277" s="12" t="inlineStr">
        <is>
          <t>Motor 5 of 6, 22 kW</t>
        </is>
      </c>
      <c r="E5277" s="12" t="inlineStr"/>
      <c r="F5277" s="12" t="inlineStr">
        <is>
          <t>PCM: power control module</t>
        </is>
      </c>
      <c r="G5277" s="12" t="inlineStr">
        <is>
          <t>RICE-3</t>
        </is>
      </c>
      <c r="H5277" s="12" t="inlineStr">
        <is>
          <t>RICE engine-generator 3</t>
        </is>
      </c>
      <c r="I5277" s="12" t="inlineStr">
        <is>
          <t>LV 600 V</t>
        </is>
      </c>
      <c r="J5277" s="12" t="inlineStr">
        <is>
          <t>Type TC-ER 600 V 3/C Cu XHHW-2 + ground, PVC jacket</t>
        </is>
      </c>
      <c r="K5277" s="12" t="inlineStr">
        <is>
          <t>LV|3/C+G|4</t>
        </is>
      </c>
      <c r="L5277" s="12" t="inlineStr">
        <is>
          <t>3/C+G</t>
        </is>
      </c>
      <c r="M5277" s="12" t="inlineStr">
        <is>
          <t>4</t>
        </is>
      </c>
      <c r="N5277" s="12" t="n">
        <v>1</v>
      </c>
      <c r="O5277" s="12" t="n">
        <v>1</v>
      </c>
      <c r="P5277" s="12" t="n">
        <v>480</v>
      </c>
      <c r="Q5277" s="12" t="n">
        <v>22</v>
      </c>
      <c r="R5277" s="12" t="n">
        <v>31.1</v>
      </c>
      <c r="S5277" s="12" t="inlineStr">
        <is>
          <t>Duct bank</t>
        </is>
      </c>
      <c r="T5277" s="16" t="n">
        <v>550</v>
      </c>
      <c r="U5277" s="16" t="n">
        <v>81</v>
      </c>
      <c r="V5277" s="16">
        <f>ROUNDUP((T5277+U5277+2*'Read Me'!$B$13)*(1+'Read Me'!$B$12),-1)</f>
        <v/>
      </c>
      <c r="W5277" s="16">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I-P-0159</t>
        </is>
      </c>
      <c r="B5278" s="12" t="inlineStr">
        <is>
          <t>I</t>
        </is>
      </c>
      <c r="C5278" s="12" t="inlineStr">
        <is>
          <t>Modular / portable power</t>
        </is>
      </c>
      <c r="D5278" s="12" t="inlineStr">
        <is>
          <t>Motor 6 of 6, 22 kW</t>
        </is>
      </c>
      <c r="E5278" s="12" t="inlineStr"/>
      <c r="F5278" s="12" t="inlineStr">
        <is>
          <t>PCM: power control module</t>
        </is>
      </c>
      <c r="G5278" s="12" t="inlineStr">
        <is>
          <t>RICE-3</t>
        </is>
      </c>
      <c r="H5278" s="12" t="inlineStr">
        <is>
          <t>RICE engine-generator 3</t>
        </is>
      </c>
      <c r="I5278" s="12" t="inlineStr">
        <is>
          <t>LV 600 V</t>
        </is>
      </c>
      <c r="J5278" s="12" t="inlineStr">
        <is>
          <t>Type TC-ER 600 V 3/C Cu XHHW-2 + ground, PVC jacket</t>
        </is>
      </c>
      <c r="K5278" s="12" t="inlineStr">
        <is>
          <t>LV|3/C+G|4</t>
        </is>
      </c>
      <c r="L5278" s="12" t="inlineStr">
        <is>
          <t>3/C+G</t>
        </is>
      </c>
      <c r="M5278" s="12" t="inlineStr">
        <is>
          <t>4</t>
        </is>
      </c>
      <c r="N5278" s="12" t="n">
        <v>1</v>
      </c>
      <c r="O5278" s="12" t="n">
        <v>1</v>
      </c>
      <c r="P5278" s="12" t="n">
        <v>480</v>
      </c>
      <c r="Q5278" s="12" t="n">
        <v>22</v>
      </c>
      <c r="R5278" s="12" t="n">
        <v>31.1</v>
      </c>
      <c r="S5278" s="12" t="inlineStr">
        <is>
          <t>Duct bank</t>
        </is>
      </c>
      <c r="T5278" s="16" t="n">
        <v>550</v>
      </c>
      <c r="U5278" s="16" t="n">
        <v>81</v>
      </c>
      <c r="V5278" s="16">
        <f>ROUNDUP((T5278+U5278+2*'Read Me'!$B$13)*(1+'Read Me'!$B$12),-1)</f>
        <v/>
      </c>
      <c r="W5278" s="16">
        <f>V5278*N5278*O5278</f>
        <v/>
      </c>
      <c r="X5278" s="12">
        <f>IF(LEFT(I5278,2)="MV",2*N5278*IF(L5278="1/C",O5278,1),0)</f>
        <v/>
      </c>
      <c r="Y5278" s="12">
        <f>IF(OR(LEFT(K5278,4)="LVAX",LEFT(K5278,6)="MV15AX",LEFT(K5278,4)="CTAX",LEFT(K5278,2)="W|"),2*N5278*O5278,0)</f>
        <v/>
      </c>
      <c r="Z5278" s="12" t="inlineStr">
        <is>
          <t>VD 2.4 %</t>
        </is>
      </c>
      <c r="AA5278" s="12">
        <f>N5278*O5278</f>
        <v/>
      </c>
    </row>
    <row r="5279">
      <c r="A5279" s="12" t="inlineStr">
        <is>
          <t>I-P-0160</t>
        </is>
      </c>
      <c r="B5279" s="12" t="inlineStr">
        <is>
          <t>I</t>
        </is>
      </c>
      <c r="C5279" s="12" t="inlineStr">
        <is>
          <t>Modular / portable power</t>
        </is>
      </c>
      <c r="D5279" s="12" t="inlineStr">
        <is>
          <t>480 V welding receptacle 1</t>
        </is>
      </c>
      <c r="E5279" s="12" t="inlineStr"/>
      <c r="F5279" s="12" t="inlineStr">
        <is>
          <t>PCM: power control module</t>
        </is>
      </c>
      <c r="G5279" s="12" t="inlineStr">
        <is>
          <t>RICE-3</t>
        </is>
      </c>
      <c r="H5279" s="12" t="inlineStr">
        <is>
          <t>RICE engine-generator 3</t>
        </is>
      </c>
      <c r="I5279" s="12" t="inlineStr">
        <is>
          <t>LV 600 V</t>
        </is>
      </c>
      <c r="J5279" s="12" t="inlineStr">
        <is>
          <t>Type TC-ER 600 V 3/C Cu XHHW-2 + ground, PVC jacket</t>
        </is>
      </c>
      <c r="K5279" s="12" t="inlineStr">
        <is>
          <t>LV|3/C+G|1</t>
        </is>
      </c>
      <c r="L5279" s="12" t="inlineStr">
        <is>
          <t>3/C+G</t>
        </is>
      </c>
      <c r="M5279" s="12" t="inlineStr">
        <is>
          <t>1</t>
        </is>
      </c>
      <c r="N5279" s="12" t="n">
        <v>1</v>
      </c>
      <c r="O5279" s="12" t="n">
        <v>1</v>
      </c>
      <c r="P5279" s="12" t="n">
        <v>480</v>
      </c>
      <c r="Q5279" s="12" t="n">
        <v>60</v>
      </c>
      <c r="R5279" s="12" t="n">
        <v>76</v>
      </c>
      <c r="S5279" s="12" t="inlineStr">
        <is>
          <t>Duct bank</t>
        </is>
      </c>
      <c r="T5279" s="16" t="n">
        <v>550</v>
      </c>
      <c r="U5279" s="16" t="n">
        <v>81</v>
      </c>
      <c r="V5279" s="16">
        <f>ROUNDUP((T5279+U5279+2*'Read Me'!$B$13)*(1+'Read Me'!$B$12),-1)</f>
        <v/>
      </c>
      <c r="W5279" s="16">
        <f>V5279*N5279*O5279</f>
        <v/>
      </c>
      <c r="X5279" s="12">
        <f>IF(LEFT(I5279,2)="MV",2*N5279*IF(L5279="1/C",O5279,1),0)</f>
        <v/>
      </c>
      <c r="Y5279" s="12">
        <f>IF(OR(LEFT(K5279,4)="LVAX",LEFT(K5279,6)="MV15AX",LEFT(K5279,4)="CTAX",LEFT(K5279,2)="W|"),2*N5279*O5279,0)</f>
        <v/>
      </c>
      <c r="Z5279" s="12" t="inlineStr">
        <is>
          <t>VD 2.9 %</t>
        </is>
      </c>
      <c r="AA5279" s="12">
        <f>N5279*O5279</f>
        <v/>
      </c>
    </row>
    <row r="5280">
      <c r="A5280" s="12" t="inlineStr">
        <is>
          <t>I-P-0161</t>
        </is>
      </c>
      <c r="B5280" s="12" t="inlineStr">
        <is>
          <t>I</t>
        </is>
      </c>
      <c r="C5280" s="12" t="inlineStr">
        <is>
          <t>Modular / portable power</t>
        </is>
      </c>
      <c r="D5280" s="12" t="inlineStr">
        <is>
          <t>480 V welding receptacle 2</t>
        </is>
      </c>
      <c r="E5280" s="12" t="inlineStr"/>
      <c r="F5280" s="12" t="inlineStr">
        <is>
          <t>PCM: power control module</t>
        </is>
      </c>
      <c r="G5280" s="12" t="inlineStr">
        <is>
          <t>RICE-3</t>
        </is>
      </c>
      <c r="H5280" s="12" t="inlineStr">
        <is>
          <t>RICE engine-generator 3</t>
        </is>
      </c>
      <c r="I5280" s="12" t="inlineStr">
        <is>
          <t>LV 600 V</t>
        </is>
      </c>
      <c r="J5280" s="12" t="inlineStr">
        <is>
          <t>Type TC-ER 600 V 3/C Cu XHHW-2 + ground, PVC jacket</t>
        </is>
      </c>
      <c r="K5280" s="12" t="inlineStr">
        <is>
          <t>LV|3/C+G|1</t>
        </is>
      </c>
      <c r="L5280" s="12" t="inlineStr">
        <is>
          <t>3/C+G</t>
        </is>
      </c>
      <c r="M5280" s="12" t="inlineStr">
        <is>
          <t>1</t>
        </is>
      </c>
      <c r="N5280" s="12" t="n">
        <v>1</v>
      </c>
      <c r="O5280" s="12" t="n">
        <v>1</v>
      </c>
      <c r="P5280" s="12" t="n">
        <v>480</v>
      </c>
      <c r="Q5280" s="12" t="n">
        <v>60</v>
      </c>
      <c r="R5280" s="12" t="n">
        <v>76</v>
      </c>
      <c r="S5280" s="12" t="inlineStr">
        <is>
          <t>Duct bank</t>
        </is>
      </c>
      <c r="T5280" s="16" t="n">
        <v>550</v>
      </c>
      <c r="U5280" s="16" t="n">
        <v>81</v>
      </c>
      <c r="V5280" s="16">
        <f>ROUNDUP((T5280+U5280+2*'Read Me'!$B$13)*(1+'Read Me'!$B$12),-1)</f>
        <v/>
      </c>
      <c r="W5280" s="16">
        <f>V5280*N5280*O5280</f>
        <v/>
      </c>
      <c r="X5280" s="12">
        <f>IF(LEFT(I5280,2)="MV",2*N5280*IF(L5280="1/C",O5280,1),0)</f>
        <v/>
      </c>
      <c r="Y5280" s="12">
        <f>IF(OR(LEFT(K5280,4)="LVAX",LEFT(K5280,6)="MV15AX",LEFT(K5280,4)="CTAX",LEFT(K5280,2)="W|"),2*N5280*O5280,0)</f>
        <v/>
      </c>
      <c r="Z5280" s="12" t="inlineStr">
        <is>
          <t>VD 2.9 %</t>
        </is>
      </c>
      <c r="AA5280" s="12">
        <f>N5280*O5280</f>
        <v/>
      </c>
    </row>
    <row r="5281">
      <c r="A5281" s="12" t="inlineStr">
        <is>
          <t>I-P-0162</t>
        </is>
      </c>
      <c r="B5281" s="12" t="inlineStr">
        <is>
          <t>I</t>
        </is>
      </c>
      <c r="C5281" s="12" t="inlineStr">
        <is>
          <t>Modular / portable power</t>
        </is>
      </c>
      <c r="D5281" s="12" t="inlineStr">
        <is>
          <t>480 V welding receptacle 3</t>
        </is>
      </c>
      <c r="E5281" s="12" t="inlineStr"/>
      <c r="F5281" s="12" t="inlineStr">
        <is>
          <t>PCM: power control module</t>
        </is>
      </c>
      <c r="G5281" s="12" t="inlineStr">
        <is>
          <t>RICE-3</t>
        </is>
      </c>
      <c r="H5281" s="12" t="inlineStr">
        <is>
          <t>RICE engine-generator 3</t>
        </is>
      </c>
      <c r="I5281" s="12" t="inlineStr">
        <is>
          <t>LV 600 V</t>
        </is>
      </c>
      <c r="J5281" s="12" t="inlineStr">
        <is>
          <t>Type TC-ER 600 V 3/C Cu XHHW-2 + ground, PVC jacket</t>
        </is>
      </c>
      <c r="K5281" s="12" t="inlineStr">
        <is>
          <t>LV|3/C+G|1</t>
        </is>
      </c>
      <c r="L5281" s="12" t="inlineStr">
        <is>
          <t>3/C+G</t>
        </is>
      </c>
      <c r="M5281" s="12" t="inlineStr">
        <is>
          <t>1</t>
        </is>
      </c>
      <c r="N5281" s="12" t="n">
        <v>1</v>
      </c>
      <c r="O5281" s="12" t="n">
        <v>1</v>
      </c>
      <c r="P5281" s="12" t="n">
        <v>480</v>
      </c>
      <c r="Q5281" s="12" t="n">
        <v>60</v>
      </c>
      <c r="R5281" s="12" t="n">
        <v>76</v>
      </c>
      <c r="S5281" s="12" t="inlineStr">
        <is>
          <t>Duct bank</t>
        </is>
      </c>
      <c r="T5281" s="16" t="n">
        <v>550</v>
      </c>
      <c r="U5281" s="16" t="n">
        <v>81</v>
      </c>
      <c r="V5281" s="16">
        <f>ROUNDUP((T5281+U5281+2*'Read Me'!$B$13)*(1+'Read Me'!$B$12),-1)</f>
        <v/>
      </c>
      <c r="W5281" s="16">
        <f>V5281*N5281*O5281</f>
        <v/>
      </c>
      <c r="X5281" s="12">
        <f>IF(LEFT(I5281,2)="MV",2*N5281*IF(L5281="1/C",O5281,1),0)</f>
        <v/>
      </c>
      <c r="Y5281" s="12">
        <f>IF(OR(LEFT(K5281,4)="LVAX",LEFT(K5281,6)="MV15AX",LEFT(K5281,4)="CTAX",LEFT(K5281,2)="W|"),2*N5281*O5281,0)</f>
        <v/>
      </c>
      <c r="Z5281" s="12" t="inlineStr">
        <is>
          <t>VD 2.9 %</t>
        </is>
      </c>
      <c r="AA5281" s="12">
        <f>N5281*O5281</f>
        <v/>
      </c>
    </row>
    <row r="5282">
      <c r="A5282" s="12" t="inlineStr">
        <is>
          <t>I-P-0163</t>
        </is>
      </c>
      <c r="B5282" s="12" t="inlineStr">
        <is>
          <t>I</t>
        </is>
      </c>
      <c r="C5282" s="12" t="inlineStr">
        <is>
          <t>Modular / portable power</t>
        </is>
      </c>
      <c r="D5282" s="12" t="inlineStr">
        <is>
          <t>480 V welding receptacle 4</t>
        </is>
      </c>
      <c r="E5282" s="12" t="inlineStr"/>
      <c r="F5282" s="12" t="inlineStr">
        <is>
          <t>PCM: power control module</t>
        </is>
      </c>
      <c r="G5282" s="12" t="inlineStr">
        <is>
          <t>RICE-3</t>
        </is>
      </c>
      <c r="H5282" s="12" t="inlineStr">
        <is>
          <t>RICE engine-generator 3</t>
        </is>
      </c>
      <c r="I5282" s="12" t="inlineStr">
        <is>
          <t>LV 600 V</t>
        </is>
      </c>
      <c r="J5282" s="12" t="inlineStr">
        <is>
          <t>Type TC-ER 600 V 3/C Cu XHHW-2 + ground, PVC jacket</t>
        </is>
      </c>
      <c r="K5282" s="12" t="inlineStr">
        <is>
          <t>LV|3/C+G|1</t>
        </is>
      </c>
      <c r="L5282" s="12" t="inlineStr">
        <is>
          <t>3/C+G</t>
        </is>
      </c>
      <c r="M5282" s="12" t="inlineStr">
        <is>
          <t>1</t>
        </is>
      </c>
      <c r="N5282" s="12" t="n">
        <v>1</v>
      </c>
      <c r="O5282" s="12" t="n">
        <v>1</v>
      </c>
      <c r="P5282" s="12" t="n">
        <v>480</v>
      </c>
      <c r="Q5282" s="12" t="n">
        <v>60</v>
      </c>
      <c r="R5282" s="12" t="n">
        <v>76</v>
      </c>
      <c r="S5282" s="12" t="inlineStr">
        <is>
          <t>Duct bank</t>
        </is>
      </c>
      <c r="T5282" s="16" t="n">
        <v>550</v>
      </c>
      <c r="U5282" s="16" t="n">
        <v>81</v>
      </c>
      <c r="V5282" s="16">
        <f>ROUNDUP((T5282+U5282+2*'Read Me'!$B$13)*(1+'Read Me'!$B$12),-1)</f>
        <v/>
      </c>
      <c r="W5282" s="16">
        <f>V5282*N5282*O5282</f>
        <v/>
      </c>
      <c r="X5282" s="12">
        <f>IF(LEFT(I5282,2)="MV",2*N5282*IF(L5282="1/C",O5282,1),0)</f>
        <v/>
      </c>
      <c r="Y5282" s="12">
        <f>IF(OR(LEFT(K5282,4)="LVAX",LEFT(K5282,6)="MV15AX",LEFT(K5282,4)="CTAX",LEFT(K5282,2)="W|"),2*N5282*O5282,0)</f>
        <v/>
      </c>
      <c r="Z5282" s="12" t="inlineStr">
        <is>
          <t>VD 2.9 %</t>
        </is>
      </c>
      <c r="AA5282" s="12">
        <f>N5282*O5282</f>
        <v/>
      </c>
    </row>
    <row r="5283">
      <c r="A5283" s="12" t="inlineStr">
        <is>
          <t>I-P-0164</t>
        </is>
      </c>
      <c r="B5283" s="12" t="inlineStr">
        <is>
          <t>I</t>
        </is>
      </c>
      <c r="C5283" s="12" t="inlineStr">
        <is>
          <t>Modular / portable power</t>
        </is>
      </c>
      <c r="D5283" s="12" t="inlineStr">
        <is>
          <t>Motor 1 of 6, 22 kW</t>
        </is>
      </c>
      <c r="E5283" s="12" t="inlineStr"/>
      <c r="F5283" s="12" t="inlineStr">
        <is>
          <t>PCM: power control module</t>
        </is>
      </c>
      <c r="G5283" s="12" t="inlineStr">
        <is>
          <t>RICE-4</t>
        </is>
      </c>
      <c r="H5283" s="12" t="inlineStr">
        <is>
          <t>RICE engine-generator 4</t>
        </is>
      </c>
      <c r="I5283" s="12" t="inlineStr">
        <is>
          <t>LV 600 V</t>
        </is>
      </c>
      <c r="J5283" s="12" t="inlineStr">
        <is>
          <t>Type TC-ER 600 V 3/C Cu XHHW-2 + ground, PVC jacket</t>
        </is>
      </c>
      <c r="K5283" s="12" t="inlineStr">
        <is>
          <t>LV|3/C+G|4</t>
        </is>
      </c>
      <c r="L5283" s="12" t="inlineStr">
        <is>
          <t>3/C+G</t>
        </is>
      </c>
      <c r="M5283" s="12" t="inlineStr">
        <is>
          <t>4</t>
        </is>
      </c>
      <c r="N5283" s="12" t="n">
        <v>1</v>
      </c>
      <c r="O5283" s="12" t="n">
        <v>1</v>
      </c>
      <c r="P5283" s="12" t="n">
        <v>480</v>
      </c>
      <c r="Q5283" s="12" t="n">
        <v>22</v>
      </c>
      <c r="R5283" s="12" t="n">
        <v>31.1</v>
      </c>
      <c r="S5283" s="12" t="inlineStr">
        <is>
          <t>Duct bank</t>
        </is>
      </c>
      <c r="T5283" s="16" t="n">
        <v>550</v>
      </c>
      <c r="U5283" s="16" t="n">
        <v>53</v>
      </c>
      <c r="V5283" s="16">
        <f>ROUNDUP((T5283+U5283+2*'Read Me'!$B$13)*(1+'Read Me'!$B$12),-1)</f>
        <v/>
      </c>
      <c r="W5283" s="16">
        <f>V5283*N5283*O5283</f>
        <v/>
      </c>
      <c r="X5283" s="12">
        <f>IF(LEFT(I5283,2)="MV",2*N5283*IF(L5283="1/C",O5283,1),0)</f>
        <v/>
      </c>
      <c r="Y5283" s="12">
        <f>IF(OR(LEFT(K5283,4)="LVAX",LEFT(K5283,6)="MV15AX",LEFT(K5283,4)="CTAX",LEFT(K5283,2)="W|"),2*N5283*O5283,0)</f>
        <v/>
      </c>
      <c r="Z5283" s="12" t="inlineStr">
        <is>
          <t>VD 2.3 %</t>
        </is>
      </c>
      <c r="AA5283" s="12">
        <f>N5283*O5283</f>
        <v/>
      </c>
    </row>
    <row r="5284">
      <c r="A5284" s="12" t="inlineStr">
        <is>
          <t>I-P-0165</t>
        </is>
      </c>
      <c r="B5284" s="12" t="inlineStr">
        <is>
          <t>I</t>
        </is>
      </c>
      <c r="C5284" s="12" t="inlineStr">
        <is>
          <t>Modular / portable power</t>
        </is>
      </c>
      <c r="D5284" s="12" t="inlineStr">
        <is>
          <t>Motor 2 of 6, 22 kW</t>
        </is>
      </c>
      <c r="E5284" s="12" t="inlineStr"/>
      <c r="F5284" s="12" t="inlineStr">
        <is>
          <t>PCM: power control module</t>
        </is>
      </c>
      <c r="G5284" s="12" t="inlineStr">
        <is>
          <t>RICE-4</t>
        </is>
      </c>
      <c r="H5284" s="12" t="inlineStr">
        <is>
          <t>RICE engine-generator 4</t>
        </is>
      </c>
      <c r="I5284" s="12" t="inlineStr">
        <is>
          <t>LV 600 V</t>
        </is>
      </c>
      <c r="J5284" s="12" t="inlineStr">
        <is>
          <t>Type TC-ER 600 V 3/C Cu XHHW-2 + ground, PVC jacket</t>
        </is>
      </c>
      <c r="K5284" s="12" t="inlineStr">
        <is>
          <t>LV|3/C+G|4</t>
        </is>
      </c>
      <c r="L5284" s="12" t="inlineStr">
        <is>
          <t>3/C+G</t>
        </is>
      </c>
      <c r="M5284" s="12" t="inlineStr">
        <is>
          <t>4</t>
        </is>
      </c>
      <c r="N5284" s="12" t="n">
        <v>1</v>
      </c>
      <c r="O5284" s="12" t="n">
        <v>1</v>
      </c>
      <c r="P5284" s="12" t="n">
        <v>480</v>
      </c>
      <c r="Q5284" s="12" t="n">
        <v>22</v>
      </c>
      <c r="R5284" s="12" t="n">
        <v>31.1</v>
      </c>
      <c r="S5284" s="12" t="inlineStr">
        <is>
          <t>Duct bank</t>
        </is>
      </c>
      <c r="T5284" s="16" t="n">
        <v>550</v>
      </c>
      <c r="U5284" s="16" t="n">
        <v>53</v>
      </c>
      <c r="V5284" s="16">
        <f>ROUNDUP((T5284+U5284+2*'Read Me'!$B$13)*(1+'Read Me'!$B$12),-1)</f>
        <v/>
      </c>
      <c r="W5284" s="16">
        <f>V5284*N5284*O5284</f>
        <v/>
      </c>
      <c r="X5284" s="12">
        <f>IF(LEFT(I5284,2)="MV",2*N5284*IF(L5284="1/C",O5284,1),0)</f>
        <v/>
      </c>
      <c r="Y5284" s="12">
        <f>IF(OR(LEFT(K5284,4)="LVAX",LEFT(K5284,6)="MV15AX",LEFT(K5284,4)="CTAX",LEFT(K5284,2)="W|"),2*N5284*O5284,0)</f>
        <v/>
      </c>
      <c r="Z5284" s="12" t="inlineStr">
        <is>
          <t>VD 2.3 %</t>
        </is>
      </c>
      <c r="AA5284" s="12">
        <f>N5284*O5284</f>
        <v/>
      </c>
    </row>
    <row r="5285">
      <c r="A5285" s="12" t="inlineStr">
        <is>
          <t>I-P-0166</t>
        </is>
      </c>
      <c r="B5285" s="12" t="inlineStr">
        <is>
          <t>I</t>
        </is>
      </c>
      <c r="C5285" s="12" t="inlineStr">
        <is>
          <t>Modular / portable power</t>
        </is>
      </c>
      <c r="D5285" s="12" t="inlineStr">
        <is>
          <t>Motor 3 of 6, 22 kW</t>
        </is>
      </c>
      <c r="E5285" s="12" t="inlineStr"/>
      <c r="F5285" s="12" t="inlineStr">
        <is>
          <t>PCM: power control module</t>
        </is>
      </c>
      <c r="G5285" s="12" t="inlineStr">
        <is>
          <t>RICE-4</t>
        </is>
      </c>
      <c r="H5285" s="12" t="inlineStr">
        <is>
          <t>RICE engine-generator 4</t>
        </is>
      </c>
      <c r="I5285" s="12" t="inlineStr">
        <is>
          <t>LV 600 V</t>
        </is>
      </c>
      <c r="J5285" s="12" t="inlineStr">
        <is>
          <t>Type TC-ER 600 V 3/C Cu XHHW-2 + ground, PVC jacket</t>
        </is>
      </c>
      <c r="K5285" s="12" t="inlineStr">
        <is>
          <t>LV|3/C+G|4</t>
        </is>
      </c>
      <c r="L5285" s="12" t="inlineStr">
        <is>
          <t>3/C+G</t>
        </is>
      </c>
      <c r="M5285" s="12" t="inlineStr">
        <is>
          <t>4</t>
        </is>
      </c>
      <c r="N5285" s="12" t="n">
        <v>1</v>
      </c>
      <c r="O5285" s="12" t="n">
        <v>1</v>
      </c>
      <c r="P5285" s="12" t="n">
        <v>480</v>
      </c>
      <c r="Q5285" s="12" t="n">
        <v>22</v>
      </c>
      <c r="R5285" s="12" t="n">
        <v>31.1</v>
      </c>
      <c r="S5285" s="12" t="inlineStr">
        <is>
          <t>Duct bank</t>
        </is>
      </c>
      <c r="T5285" s="16" t="n">
        <v>550</v>
      </c>
      <c r="U5285" s="16" t="n">
        <v>53</v>
      </c>
      <c r="V5285" s="16">
        <f>ROUNDUP((T5285+U5285+2*'Read Me'!$B$13)*(1+'Read Me'!$B$12),-1)</f>
        <v/>
      </c>
      <c r="W5285" s="16">
        <f>V5285*N5285*O5285</f>
        <v/>
      </c>
      <c r="X5285" s="12">
        <f>IF(LEFT(I5285,2)="MV",2*N5285*IF(L5285="1/C",O5285,1),0)</f>
        <v/>
      </c>
      <c r="Y5285" s="12">
        <f>IF(OR(LEFT(K5285,4)="LVAX",LEFT(K5285,6)="MV15AX",LEFT(K5285,4)="CTAX",LEFT(K5285,2)="W|"),2*N5285*O5285,0)</f>
        <v/>
      </c>
      <c r="Z5285" s="12" t="inlineStr">
        <is>
          <t>VD 2.3 %</t>
        </is>
      </c>
      <c r="AA5285" s="12">
        <f>N5285*O5285</f>
        <v/>
      </c>
    </row>
    <row r="5286">
      <c r="A5286" s="12" t="inlineStr">
        <is>
          <t>I-P-0167</t>
        </is>
      </c>
      <c r="B5286" s="12" t="inlineStr">
        <is>
          <t>I</t>
        </is>
      </c>
      <c r="C5286" s="12" t="inlineStr">
        <is>
          <t>Modular / portable power</t>
        </is>
      </c>
      <c r="D5286" s="12" t="inlineStr">
        <is>
          <t>Motor 4 of 6, 22 kW</t>
        </is>
      </c>
      <c r="E5286" s="12" t="inlineStr"/>
      <c r="F5286" s="12" t="inlineStr">
        <is>
          <t>PCM: power control module</t>
        </is>
      </c>
      <c r="G5286" s="12" t="inlineStr">
        <is>
          <t>RICE-4</t>
        </is>
      </c>
      <c r="H5286" s="12" t="inlineStr">
        <is>
          <t>RICE engine-generator 4</t>
        </is>
      </c>
      <c r="I5286" s="12" t="inlineStr">
        <is>
          <t>LV 600 V</t>
        </is>
      </c>
      <c r="J5286" s="12" t="inlineStr">
        <is>
          <t>Type TC-ER 600 V 3/C Cu XHHW-2 + ground, PVC jacket</t>
        </is>
      </c>
      <c r="K5286" s="12" t="inlineStr">
        <is>
          <t>LV|3/C+G|4</t>
        </is>
      </c>
      <c r="L5286" s="12" t="inlineStr">
        <is>
          <t>3/C+G</t>
        </is>
      </c>
      <c r="M5286" s="12" t="inlineStr">
        <is>
          <t>4</t>
        </is>
      </c>
      <c r="N5286" s="12" t="n">
        <v>1</v>
      </c>
      <c r="O5286" s="12" t="n">
        <v>1</v>
      </c>
      <c r="P5286" s="12" t="n">
        <v>480</v>
      </c>
      <c r="Q5286" s="12" t="n">
        <v>22</v>
      </c>
      <c r="R5286" s="12" t="n">
        <v>31.1</v>
      </c>
      <c r="S5286" s="12" t="inlineStr">
        <is>
          <t>Duct bank</t>
        </is>
      </c>
      <c r="T5286" s="16" t="n">
        <v>550</v>
      </c>
      <c r="U5286" s="16" t="n">
        <v>53</v>
      </c>
      <c r="V5286" s="16">
        <f>ROUNDUP((T5286+U5286+2*'Read Me'!$B$13)*(1+'Read Me'!$B$12),-1)</f>
        <v/>
      </c>
      <c r="W5286" s="16">
        <f>V5286*N5286*O5286</f>
        <v/>
      </c>
      <c r="X5286" s="12">
        <f>IF(LEFT(I5286,2)="MV",2*N5286*IF(L5286="1/C",O5286,1),0)</f>
        <v/>
      </c>
      <c r="Y5286" s="12">
        <f>IF(OR(LEFT(K5286,4)="LVAX",LEFT(K5286,6)="MV15AX",LEFT(K5286,4)="CTAX",LEFT(K5286,2)="W|"),2*N5286*O5286,0)</f>
        <v/>
      </c>
      <c r="Z5286" s="12" t="inlineStr">
        <is>
          <t>VD 2.3 %</t>
        </is>
      </c>
      <c r="AA5286" s="12">
        <f>N5286*O5286</f>
        <v/>
      </c>
    </row>
    <row r="5287">
      <c r="A5287" s="12" t="inlineStr">
        <is>
          <t>I-P-0168</t>
        </is>
      </c>
      <c r="B5287" s="12" t="inlineStr">
        <is>
          <t>I</t>
        </is>
      </c>
      <c r="C5287" s="12" t="inlineStr">
        <is>
          <t>Modular / portable power</t>
        </is>
      </c>
      <c r="D5287" s="12" t="inlineStr">
        <is>
          <t>Motor 5 of 6, 22 kW</t>
        </is>
      </c>
      <c r="E5287" s="12" t="inlineStr"/>
      <c r="F5287" s="12" t="inlineStr">
        <is>
          <t>PCM: power control module</t>
        </is>
      </c>
      <c r="G5287" s="12" t="inlineStr">
        <is>
          <t>RICE-4</t>
        </is>
      </c>
      <c r="H5287" s="12" t="inlineStr">
        <is>
          <t>RICE engine-generator 4</t>
        </is>
      </c>
      <c r="I5287" s="12" t="inlineStr">
        <is>
          <t>LV 600 V</t>
        </is>
      </c>
      <c r="J5287" s="12" t="inlineStr">
        <is>
          <t>Type TC-ER 600 V 3/C Cu XHHW-2 + ground, PVC jacket</t>
        </is>
      </c>
      <c r="K5287" s="12" t="inlineStr">
        <is>
          <t>LV|3/C+G|4</t>
        </is>
      </c>
      <c r="L5287" s="12" t="inlineStr">
        <is>
          <t>3/C+G</t>
        </is>
      </c>
      <c r="M5287" s="12" t="inlineStr">
        <is>
          <t>4</t>
        </is>
      </c>
      <c r="N5287" s="12" t="n">
        <v>1</v>
      </c>
      <c r="O5287" s="12" t="n">
        <v>1</v>
      </c>
      <c r="P5287" s="12" t="n">
        <v>480</v>
      </c>
      <c r="Q5287" s="12" t="n">
        <v>22</v>
      </c>
      <c r="R5287" s="12" t="n">
        <v>31.1</v>
      </c>
      <c r="S5287" s="12" t="inlineStr">
        <is>
          <t>Duct bank</t>
        </is>
      </c>
      <c r="T5287" s="16" t="n">
        <v>550</v>
      </c>
      <c r="U5287" s="16" t="n">
        <v>53</v>
      </c>
      <c r="V5287" s="16">
        <f>ROUNDUP((T5287+U5287+2*'Read Me'!$B$13)*(1+'Read Me'!$B$12),-1)</f>
        <v/>
      </c>
      <c r="W5287" s="16">
        <f>V5287*N5287*O5287</f>
        <v/>
      </c>
      <c r="X5287" s="12">
        <f>IF(LEFT(I5287,2)="MV",2*N5287*IF(L5287="1/C",O5287,1),0)</f>
        <v/>
      </c>
      <c r="Y5287" s="12">
        <f>IF(OR(LEFT(K5287,4)="LVAX",LEFT(K5287,6)="MV15AX",LEFT(K5287,4)="CTAX",LEFT(K5287,2)="W|"),2*N5287*O5287,0)</f>
        <v/>
      </c>
      <c r="Z5287" s="12" t="inlineStr">
        <is>
          <t>VD 2.3 %</t>
        </is>
      </c>
      <c r="AA5287" s="12">
        <f>N5287*O5287</f>
        <v/>
      </c>
    </row>
    <row r="5288">
      <c r="A5288" s="12" t="inlineStr">
        <is>
          <t>I-P-0169</t>
        </is>
      </c>
      <c r="B5288" s="12" t="inlineStr">
        <is>
          <t>I</t>
        </is>
      </c>
      <c r="C5288" s="12" t="inlineStr">
        <is>
          <t>Modular / portable power</t>
        </is>
      </c>
      <c r="D5288" s="12" t="inlineStr">
        <is>
          <t>Motor 6 of 6, 22 kW</t>
        </is>
      </c>
      <c r="E5288" s="12" t="inlineStr"/>
      <c r="F5288" s="12" t="inlineStr">
        <is>
          <t>PCM: power control module</t>
        </is>
      </c>
      <c r="G5288" s="12" t="inlineStr">
        <is>
          <t>RICE-4</t>
        </is>
      </c>
      <c r="H5288" s="12" t="inlineStr">
        <is>
          <t>RICE engine-generator 4</t>
        </is>
      </c>
      <c r="I5288" s="12" t="inlineStr">
        <is>
          <t>LV 600 V</t>
        </is>
      </c>
      <c r="J5288" s="12" t="inlineStr">
        <is>
          <t>Type TC-ER 600 V 3/C Cu XHHW-2 + ground, PVC jacket</t>
        </is>
      </c>
      <c r="K5288" s="12" t="inlineStr">
        <is>
          <t>LV|3/C+G|4</t>
        </is>
      </c>
      <c r="L5288" s="12" t="inlineStr">
        <is>
          <t>3/C+G</t>
        </is>
      </c>
      <c r="M5288" s="12" t="inlineStr">
        <is>
          <t>4</t>
        </is>
      </c>
      <c r="N5288" s="12" t="n">
        <v>1</v>
      </c>
      <c r="O5288" s="12" t="n">
        <v>1</v>
      </c>
      <c r="P5288" s="12" t="n">
        <v>480</v>
      </c>
      <c r="Q5288" s="12" t="n">
        <v>22</v>
      </c>
      <c r="R5288" s="12" t="n">
        <v>31.1</v>
      </c>
      <c r="S5288" s="12" t="inlineStr">
        <is>
          <t>Duct bank</t>
        </is>
      </c>
      <c r="T5288" s="16" t="n">
        <v>550</v>
      </c>
      <c r="U5288" s="16" t="n">
        <v>53</v>
      </c>
      <c r="V5288" s="16">
        <f>ROUNDUP((T5288+U5288+2*'Read Me'!$B$13)*(1+'Read Me'!$B$12),-1)</f>
        <v/>
      </c>
      <c r="W5288" s="16">
        <f>V5288*N5288*O5288</f>
        <v/>
      </c>
      <c r="X5288" s="12">
        <f>IF(LEFT(I5288,2)="MV",2*N5288*IF(L5288="1/C",O5288,1),0)</f>
        <v/>
      </c>
      <c r="Y5288" s="12">
        <f>IF(OR(LEFT(K5288,4)="LVAX",LEFT(K5288,6)="MV15AX",LEFT(K5288,4)="CTAX",LEFT(K5288,2)="W|"),2*N5288*O5288,0)</f>
        <v/>
      </c>
      <c r="Z5288" s="12" t="inlineStr">
        <is>
          <t>VD 2.3 %</t>
        </is>
      </c>
      <c r="AA5288" s="12">
        <f>N5288*O5288</f>
        <v/>
      </c>
    </row>
    <row r="5289">
      <c r="A5289" s="12" t="inlineStr">
        <is>
          <t>I-P-0170</t>
        </is>
      </c>
      <c r="B5289" s="12" t="inlineStr">
        <is>
          <t>I</t>
        </is>
      </c>
      <c r="C5289" s="12" t="inlineStr">
        <is>
          <t>Modular / portable power</t>
        </is>
      </c>
      <c r="D5289" s="12" t="inlineStr">
        <is>
          <t>480 V welding receptacle 1</t>
        </is>
      </c>
      <c r="E5289" s="12" t="inlineStr"/>
      <c r="F5289" s="12" t="inlineStr">
        <is>
          <t>PCM: power control module</t>
        </is>
      </c>
      <c r="G5289" s="12" t="inlineStr">
        <is>
          <t>RICE-4</t>
        </is>
      </c>
      <c r="H5289" s="12" t="inlineStr">
        <is>
          <t>RICE engine-generator 4</t>
        </is>
      </c>
      <c r="I5289" s="12" t="inlineStr">
        <is>
          <t>LV 600 V</t>
        </is>
      </c>
      <c r="J5289" s="12" t="inlineStr">
        <is>
          <t>Type TC-ER 600 V 3/C Cu XHHW-2 + ground, PVC jacket</t>
        </is>
      </c>
      <c r="K5289" s="12" t="inlineStr">
        <is>
          <t>LV|3/C+G|1</t>
        </is>
      </c>
      <c r="L5289" s="12" t="inlineStr">
        <is>
          <t>3/C+G</t>
        </is>
      </c>
      <c r="M5289" s="12" t="inlineStr">
        <is>
          <t>1</t>
        </is>
      </c>
      <c r="N5289" s="12" t="n">
        <v>1</v>
      </c>
      <c r="O5289" s="12" t="n">
        <v>1</v>
      </c>
      <c r="P5289" s="12" t="n">
        <v>480</v>
      </c>
      <c r="Q5289" s="12" t="n">
        <v>60</v>
      </c>
      <c r="R5289" s="12" t="n">
        <v>76</v>
      </c>
      <c r="S5289" s="12" t="inlineStr">
        <is>
          <t>Duct bank</t>
        </is>
      </c>
      <c r="T5289" s="16" t="n">
        <v>550</v>
      </c>
      <c r="U5289" s="16" t="n">
        <v>53</v>
      </c>
      <c r="V5289" s="16">
        <f>ROUNDUP((T5289+U5289+2*'Read Me'!$B$13)*(1+'Read Me'!$B$12),-1)</f>
        <v/>
      </c>
      <c r="W5289" s="16">
        <f>V5289*N5289*O5289</f>
        <v/>
      </c>
      <c r="X5289" s="12">
        <f>IF(LEFT(I5289,2)="MV",2*N5289*IF(L5289="1/C",O5289,1),0)</f>
        <v/>
      </c>
      <c r="Y5289" s="12">
        <f>IF(OR(LEFT(K5289,4)="LVAX",LEFT(K5289,6)="MV15AX",LEFT(K5289,4)="CTAX",LEFT(K5289,2)="W|"),2*N5289*O5289,0)</f>
        <v/>
      </c>
      <c r="Z5289" s="12" t="inlineStr">
        <is>
          <t>VD 2.8 %</t>
        </is>
      </c>
      <c r="AA5289" s="12">
        <f>N5289*O5289</f>
        <v/>
      </c>
    </row>
    <row r="5290">
      <c r="A5290" s="12" t="inlineStr">
        <is>
          <t>I-P-0171</t>
        </is>
      </c>
      <c r="B5290" s="12" t="inlineStr">
        <is>
          <t>I</t>
        </is>
      </c>
      <c r="C5290" s="12" t="inlineStr">
        <is>
          <t>Modular / portable power</t>
        </is>
      </c>
      <c r="D5290" s="12" t="inlineStr">
        <is>
          <t>480 V welding receptacle 2</t>
        </is>
      </c>
      <c r="E5290" s="12" t="inlineStr"/>
      <c r="F5290" s="12" t="inlineStr">
        <is>
          <t>PCM: power control module</t>
        </is>
      </c>
      <c r="G5290" s="12" t="inlineStr">
        <is>
          <t>RICE-4</t>
        </is>
      </c>
      <c r="H5290" s="12" t="inlineStr">
        <is>
          <t>RICE engine-generator 4</t>
        </is>
      </c>
      <c r="I5290" s="12" t="inlineStr">
        <is>
          <t>LV 600 V</t>
        </is>
      </c>
      <c r="J5290" s="12" t="inlineStr">
        <is>
          <t>Type TC-ER 600 V 3/C Cu XHHW-2 + ground, PVC jacket</t>
        </is>
      </c>
      <c r="K5290" s="12" t="inlineStr">
        <is>
          <t>LV|3/C+G|1</t>
        </is>
      </c>
      <c r="L5290" s="12" t="inlineStr">
        <is>
          <t>3/C+G</t>
        </is>
      </c>
      <c r="M5290" s="12" t="inlineStr">
        <is>
          <t>1</t>
        </is>
      </c>
      <c r="N5290" s="12" t="n">
        <v>1</v>
      </c>
      <c r="O5290" s="12" t="n">
        <v>1</v>
      </c>
      <c r="P5290" s="12" t="n">
        <v>480</v>
      </c>
      <c r="Q5290" s="12" t="n">
        <v>60</v>
      </c>
      <c r="R5290" s="12" t="n">
        <v>76</v>
      </c>
      <c r="S5290" s="12" t="inlineStr">
        <is>
          <t>Duct bank</t>
        </is>
      </c>
      <c r="T5290" s="16" t="n">
        <v>550</v>
      </c>
      <c r="U5290" s="16" t="n">
        <v>53</v>
      </c>
      <c r="V5290" s="16">
        <f>ROUNDUP((T5290+U5290+2*'Read Me'!$B$13)*(1+'Read Me'!$B$12),-1)</f>
        <v/>
      </c>
      <c r="W5290" s="16">
        <f>V5290*N5290*O5290</f>
        <v/>
      </c>
      <c r="X5290" s="12">
        <f>IF(LEFT(I5290,2)="MV",2*N5290*IF(L5290="1/C",O5290,1),0)</f>
        <v/>
      </c>
      <c r="Y5290" s="12">
        <f>IF(OR(LEFT(K5290,4)="LVAX",LEFT(K5290,6)="MV15AX",LEFT(K5290,4)="CTAX",LEFT(K5290,2)="W|"),2*N5290*O5290,0)</f>
        <v/>
      </c>
      <c r="Z5290" s="12" t="inlineStr">
        <is>
          <t>VD 2.8 %</t>
        </is>
      </c>
      <c r="AA5290" s="12">
        <f>N5290*O5290</f>
        <v/>
      </c>
    </row>
    <row r="5291">
      <c r="A5291" s="12" t="inlineStr">
        <is>
          <t>I-P-0172</t>
        </is>
      </c>
      <c r="B5291" s="12" t="inlineStr">
        <is>
          <t>I</t>
        </is>
      </c>
      <c r="C5291" s="12" t="inlineStr">
        <is>
          <t>Modular / portable power</t>
        </is>
      </c>
      <c r="D5291" s="12" t="inlineStr">
        <is>
          <t>480 V welding receptacle 3</t>
        </is>
      </c>
      <c r="E5291" s="12" t="inlineStr"/>
      <c r="F5291" s="12" t="inlineStr">
        <is>
          <t>PCM: power control module</t>
        </is>
      </c>
      <c r="G5291" s="12" t="inlineStr">
        <is>
          <t>RICE-4</t>
        </is>
      </c>
      <c r="H5291" s="12" t="inlineStr">
        <is>
          <t>RICE engine-generator 4</t>
        </is>
      </c>
      <c r="I5291" s="12" t="inlineStr">
        <is>
          <t>LV 600 V</t>
        </is>
      </c>
      <c r="J5291" s="12" t="inlineStr">
        <is>
          <t>Type TC-ER 600 V 3/C Cu XHHW-2 + ground, PVC jacket</t>
        </is>
      </c>
      <c r="K5291" s="12" t="inlineStr">
        <is>
          <t>LV|3/C+G|1</t>
        </is>
      </c>
      <c r="L5291" s="12" t="inlineStr">
        <is>
          <t>3/C+G</t>
        </is>
      </c>
      <c r="M5291" s="12" t="inlineStr">
        <is>
          <t>1</t>
        </is>
      </c>
      <c r="N5291" s="12" t="n">
        <v>1</v>
      </c>
      <c r="O5291" s="12" t="n">
        <v>1</v>
      </c>
      <c r="P5291" s="12" t="n">
        <v>480</v>
      </c>
      <c r="Q5291" s="12" t="n">
        <v>60</v>
      </c>
      <c r="R5291" s="12" t="n">
        <v>76</v>
      </c>
      <c r="S5291" s="12" t="inlineStr">
        <is>
          <t>Duct bank</t>
        </is>
      </c>
      <c r="T5291" s="16" t="n">
        <v>550</v>
      </c>
      <c r="U5291" s="16" t="n">
        <v>53</v>
      </c>
      <c r="V5291" s="16">
        <f>ROUNDUP((T5291+U5291+2*'Read Me'!$B$13)*(1+'Read Me'!$B$12),-1)</f>
        <v/>
      </c>
      <c r="W5291" s="16">
        <f>V5291*N5291*O5291</f>
        <v/>
      </c>
      <c r="X5291" s="12">
        <f>IF(LEFT(I5291,2)="MV",2*N5291*IF(L5291="1/C",O5291,1),0)</f>
        <v/>
      </c>
      <c r="Y5291" s="12">
        <f>IF(OR(LEFT(K5291,4)="LVAX",LEFT(K5291,6)="MV15AX",LEFT(K5291,4)="CTAX",LEFT(K5291,2)="W|"),2*N5291*O5291,0)</f>
        <v/>
      </c>
      <c r="Z5291" s="12" t="inlineStr">
        <is>
          <t>VD 2.8 %</t>
        </is>
      </c>
      <c r="AA5291" s="12">
        <f>N5291*O5291</f>
        <v/>
      </c>
    </row>
    <row r="5292">
      <c r="A5292" s="12" t="inlineStr">
        <is>
          <t>I-P-0173</t>
        </is>
      </c>
      <c r="B5292" s="12" t="inlineStr">
        <is>
          <t>I</t>
        </is>
      </c>
      <c r="C5292" s="12" t="inlineStr">
        <is>
          <t>Modular / portable power</t>
        </is>
      </c>
      <c r="D5292" s="12" t="inlineStr">
        <is>
          <t>480 V welding receptacle 4</t>
        </is>
      </c>
      <c r="E5292" s="12" t="inlineStr"/>
      <c r="F5292" s="12" t="inlineStr">
        <is>
          <t>PCM: power control module</t>
        </is>
      </c>
      <c r="G5292" s="12" t="inlineStr">
        <is>
          <t>RICE-4</t>
        </is>
      </c>
      <c r="H5292" s="12" t="inlineStr">
        <is>
          <t>RICE engine-generator 4</t>
        </is>
      </c>
      <c r="I5292" s="12" t="inlineStr">
        <is>
          <t>LV 600 V</t>
        </is>
      </c>
      <c r="J5292" s="12" t="inlineStr">
        <is>
          <t>Type TC-ER 600 V 3/C Cu XHHW-2 + ground, PVC jacket</t>
        </is>
      </c>
      <c r="K5292" s="12" t="inlineStr">
        <is>
          <t>LV|3/C+G|1</t>
        </is>
      </c>
      <c r="L5292" s="12" t="inlineStr">
        <is>
          <t>3/C+G</t>
        </is>
      </c>
      <c r="M5292" s="12" t="inlineStr">
        <is>
          <t>1</t>
        </is>
      </c>
      <c r="N5292" s="12" t="n">
        <v>1</v>
      </c>
      <c r="O5292" s="12" t="n">
        <v>1</v>
      </c>
      <c r="P5292" s="12" t="n">
        <v>480</v>
      </c>
      <c r="Q5292" s="12" t="n">
        <v>60</v>
      </c>
      <c r="R5292" s="12" t="n">
        <v>76</v>
      </c>
      <c r="S5292" s="12" t="inlineStr">
        <is>
          <t>Duct bank</t>
        </is>
      </c>
      <c r="T5292" s="16" t="n">
        <v>550</v>
      </c>
      <c r="U5292" s="16" t="n">
        <v>53</v>
      </c>
      <c r="V5292" s="16">
        <f>ROUNDUP((T5292+U5292+2*'Read Me'!$B$13)*(1+'Read Me'!$B$12),-1)</f>
        <v/>
      </c>
      <c r="W5292" s="16">
        <f>V5292*N5292*O5292</f>
        <v/>
      </c>
      <c r="X5292" s="12">
        <f>IF(LEFT(I5292,2)="MV",2*N5292*IF(L5292="1/C",O5292,1),0)</f>
        <v/>
      </c>
      <c r="Y5292" s="12">
        <f>IF(OR(LEFT(K5292,4)="LVAX",LEFT(K5292,6)="MV15AX",LEFT(K5292,4)="CTAX",LEFT(K5292,2)="W|"),2*N5292*O5292,0)</f>
        <v/>
      </c>
      <c r="Z5292" s="12" t="inlineStr">
        <is>
          <t>VD 2.8 %</t>
        </is>
      </c>
      <c r="AA5292" s="12">
        <f>N5292*O5292</f>
        <v/>
      </c>
    </row>
    <row r="5293">
      <c r="A5293" s="12" t="inlineStr">
        <is>
          <t>I-P-0174</t>
        </is>
      </c>
      <c r="B5293" s="12" t="inlineStr">
        <is>
          <t>I</t>
        </is>
      </c>
      <c r="C5293" s="12" t="inlineStr">
        <is>
          <t>Modular / portable power</t>
        </is>
      </c>
      <c r="D5293" s="12" t="inlineStr">
        <is>
          <t>Motor 1 of 6, 22 kW</t>
        </is>
      </c>
      <c r="E5293" s="12" t="inlineStr"/>
      <c r="F5293" s="12" t="inlineStr">
        <is>
          <t>PCM: power control module</t>
        </is>
      </c>
      <c r="G5293" s="12" t="inlineStr">
        <is>
          <t>RICE-5</t>
        </is>
      </c>
      <c r="H5293" s="12" t="inlineStr">
        <is>
          <t>RICE engine-generator 5</t>
        </is>
      </c>
      <c r="I5293" s="12" t="inlineStr">
        <is>
          <t>LV 600 V</t>
        </is>
      </c>
      <c r="J5293" s="12" t="inlineStr">
        <is>
          <t>Type TC-ER 600 V 3/C Cu XHHW-2 + ground, PVC jacket</t>
        </is>
      </c>
      <c r="K5293" s="12" t="inlineStr">
        <is>
          <t>LV|3/C+G|4</t>
        </is>
      </c>
      <c r="L5293" s="12" t="inlineStr">
        <is>
          <t>3/C+G</t>
        </is>
      </c>
      <c r="M5293" s="12" t="inlineStr">
        <is>
          <t>4</t>
        </is>
      </c>
      <c r="N5293" s="12" t="n">
        <v>1</v>
      </c>
      <c r="O5293" s="12" t="n">
        <v>1</v>
      </c>
      <c r="P5293" s="12" t="n">
        <v>480</v>
      </c>
      <c r="Q5293" s="12" t="n">
        <v>22</v>
      </c>
      <c r="R5293" s="12" t="n">
        <v>31.1</v>
      </c>
      <c r="S5293" s="12" t="inlineStr">
        <is>
          <t>Duct bank</t>
        </is>
      </c>
      <c r="T5293" s="16" t="n">
        <v>367</v>
      </c>
      <c r="U5293" s="16" t="n">
        <v>208</v>
      </c>
      <c r="V5293" s="16">
        <f>ROUNDUP((T5293+U5293+2*'Read Me'!$B$13)*(1+'Read Me'!$B$12),-1)</f>
        <v/>
      </c>
      <c r="W5293" s="16">
        <f>V5293*N5293*O5293</f>
        <v/>
      </c>
      <c r="X5293" s="12">
        <f>IF(LEFT(I5293,2)="MV",2*N5293*IF(L5293="1/C",O5293,1),0)</f>
        <v/>
      </c>
      <c r="Y5293" s="12">
        <f>IF(OR(LEFT(K5293,4)="LVAX",LEFT(K5293,6)="MV15AX",LEFT(K5293,4)="CTAX",LEFT(K5293,2)="W|"),2*N5293*O5293,0)</f>
        <v/>
      </c>
      <c r="Z5293" s="12" t="inlineStr">
        <is>
          <t>VD 2.2 %</t>
        </is>
      </c>
      <c r="AA5293" s="12">
        <f>N5293*O5293</f>
        <v/>
      </c>
    </row>
    <row r="5294">
      <c r="A5294" s="12" t="inlineStr">
        <is>
          <t>I-P-0175</t>
        </is>
      </c>
      <c r="B5294" s="12" t="inlineStr">
        <is>
          <t>I</t>
        </is>
      </c>
      <c r="C5294" s="12" t="inlineStr">
        <is>
          <t>Modular / portable power</t>
        </is>
      </c>
      <c r="D5294" s="12" t="inlineStr">
        <is>
          <t>Motor 2 of 6, 22 kW</t>
        </is>
      </c>
      <c r="E5294" s="12" t="inlineStr"/>
      <c r="F5294" s="12" t="inlineStr">
        <is>
          <t>PCM: power control module</t>
        </is>
      </c>
      <c r="G5294" s="12" t="inlineStr">
        <is>
          <t>RICE-5</t>
        </is>
      </c>
      <c r="H5294" s="12" t="inlineStr">
        <is>
          <t>RICE engine-generator 5</t>
        </is>
      </c>
      <c r="I5294" s="12" t="inlineStr">
        <is>
          <t>LV 600 V</t>
        </is>
      </c>
      <c r="J5294" s="12" t="inlineStr">
        <is>
          <t>Type TC-ER 600 V 3/C Cu XHHW-2 + ground, PVC jacket</t>
        </is>
      </c>
      <c r="K5294" s="12" t="inlineStr">
        <is>
          <t>LV|3/C+G|4</t>
        </is>
      </c>
      <c r="L5294" s="12" t="inlineStr">
        <is>
          <t>3/C+G</t>
        </is>
      </c>
      <c r="M5294" s="12" t="inlineStr">
        <is>
          <t>4</t>
        </is>
      </c>
      <c r="N5294" s="12" t="n">
        <v>1</v>
      </c>
      <c r="O5294" s="12" t="n">
        <v>1</v>
      </c>
      <c r="P5294" s="12" t="n">
        <v>480</v>
      </c>
      <c r="Q5294" s="12" t="n">
        <v>22</v>
      </c>
      <c r="R5294" s="12" t="n">
        <v>31.1</v>
      </c>
      <c r="S5294" s="12" t="inlineStr">
        <is>
          <t>Duct bank</t>
        </is>
      </c>
      <c r="T5294" s="16" t="n">
        <v>367</v>
      </c>
      <c r="U5294" s="16" t="n">
        <v>208</v>
      </c>
      <c r="V5294" s="16">
        <f>ROUNDUP((T5294+U5294+2*'Read Me'!$B$13)*(1+'Read Me'!$B$12),-1)</f>
        <v/>
      </c>
      <c r="W5294" s="16">
        <f>V5294*N5294*O5294</f>
        <v/>
      </c>
      <c r="X5294" s="12">
        <f>IF(LEFT(I5294,2)="MV",2*N5294*IF(L5294="1/C",O5294,1),0)</f>
        <v/>
      </c>
      <c r="Y5294" s="12">
        <f>IF(OR(LEFT(K5294,4)="LVAX",LEFT(K5294,6)="MV15AX",LEFT(K5294,4)="CTAX",LEFT(K5294,2)="W|"),2*N5294*O5294,0)</f>
        <v/>
      </c>
      <c r="Z5294" s="12" t="inlineStr">
        <is>
          <t>VD 2.2 %</t>
        </is>
      </c>
      <c r="AA5294" s="12">
        <f>N5294*O5294</f>
        <v/>
      </c>
    </row>
    <row r="5295">
      <c r="A5295" s="12" t="inlineStr">
        <is>
          <t>I-P-0176</t>
        </is>
      </c>
      <c r="B5295" s="12" t="inlineStr">
        <is>
          <t>I</t>
        </is>
      </c>
      <c r="C5295" s="12" t="inlineStr">
        <is>
          <t>Modular / portable power</t>
        </is>
      </c>
      <c r="D5295" s="12" t="inlineStr">
        <is>
          <t>Motor 3 of 6, 22 kW</t>
        </is>
      </c>
      <c r="E5295" s="12" t="inlineStr"/>
      <c r="F5295" s="12" t="inlineStr">
        <is>
          <t>PCM: power control module</t>
        </is>
      </c>
      <c r="G5295" s="12" t="inlineStr">
        <is>
          <t>RICE-5</t>
        </is>
      </c>
      <c r="H5295" s="12" t="inlineStr">
        <is>
          <t>RICE engine-generator 5</t>
        </is>
      </c>
      <c r="I5295" s="12" t="inlineStr">
        <is>
          <t>LV 600 V</t>
        </is>
      </c>
      <c r="J5295" s="12" t="inlineStr">
        <is>
          <t>Type TC-ER 600 V 3/C Cu XHHW-2 + ground, PVC jacket</t>
        </is>
      </c>
      <c r="K5295" s="12" t="inlineStr">
        <is>
          <t>LV|3/C+G|4</t>
        </is>
      </c>
      <c r="L5295" s="12" t="inlineStr">
        <is>
          <t>3/C+G</t>
        </is>
      </c>
      <c r="M5295" s="12" t="inlineStr">
        <is>
          <t>4</t>
        </is>
      </c>
      <c r="N5295" s="12" t="n">
        <v>1</v>
      </c>
      <c r="O5295" s="12" t="n">
        <v>1</v>
      </c>
      <c r="P5295" s="12" t="n">
        <v>480</v>
      </c>
      <c r="Q5295" s="12" t="n">
        <v>22</v>
      </c>
      <c r="R5295" s="12" t="n">
        <v>31.1</v>
      </c>
      <c r="S5295" s="12" t="inlineStr">
        <is>
          <t>Duct bank</t>
        </is>
      </c>
      <c r="T5295" s="16" t="n">
        <v>367</v>
      </c>
      <c r="U5295" s="16" t="n">
        <v>208</v>
      </c>
      <c r="V5295" s="16">
        <f>ROUNDUP((T5295+U5295+2*'Read Me'!$B$13)*(1+'Read Me'!$B$12),-1)</f>
        <v/>
      </c>
      <c r="W5295" s="16">
        <f>V5295*N5295*O5295</f>
        <v/>
      </c>
      <c r="X5295" s="12">
        <f>IF(LEFT(I5295,2)="MV",2*N5295*IF(L5295="1/C",O5295,1),0)</f>
        <v/>
      </c>
      <c r="Y5295" s="12">
        <f>IF(OR(LEFT(K5295,4)="LVAX",LEFT(K5295,6)="MV15AX",LEFT(K5295,4)="CTAX",LEFT(K5295,2)="W|"),2*N5295*O5295,0)</f>
        <v/>
      </c>
      <c r="Z5295" s="12" t="inlineStr">
        <is>
          <t>VD 2.2 %</t>
        </is>
      </c>
      <c r="AA5295" s="12">
        <f>N5295*O5295</f>
        <v/>
      </c>
    </row>
    <row r="5296">
      <c r="A5296" s="12" t="inlineStr">
        <is>
          <t>I-P-0177</t>
        </is>
      </c>
      <c r="B5296" s="12" t="inlineStr">
        <is>
          <t>I</t>
        </is>
      </c>
      <c r="C5296" s="12" t="inlineStr">
        <is>
          <t>Modular / portable power</t>
        </is>
      </c>
      <c r="D5296" s="12" t="inlineStr">
        <is>
          <t>Motor 4 of 6, 22 kW</t>
        </is>
      </c>
      <c r="E5296" s="12" t="inlineStr"/>
      <c r="F5296" s="12" t="inlineStr">
        <is>
          <t>PCM: power control module</t>
        </is>
      </c>
      <c r="G5296" s="12" t="inlineStr">
        <is>
          <t>RICE-5</t>
        </is>
      </c>
      <c r="H5296" s="12" t="inlineStr">
        <is>
          <t>RICE engine-generator 5</t>
        </is>
      </c>
      <c r="I5296" s="12" t="inlineStr">
        <is>
          <t>LV 600 V</t>
        </is>
      </c>
      <c r="J5296" s="12" t="inlineStr">
        <is>
          <t>Type TC-ER 600 V 3/C Cu XHHW-2 + ground, PVC jacket</t>
        </is>
      </c>
      <c r="K5296" s="12" t="inlineStr">
        <is>
          <t>LV|3/C+G|4</t>
        </is>
      </c>
      <c r="L5296" s="12" t="inlineStr">
        <is>
          <t>3/C+G</t>
        </is>
      </c>
      <c r="M5296" s="12" t="inlineStr">
        <is>
          <t>4</t>
        </is>
      </c>
      <c r="N5296" s="12" t="n">
        <v>1</v>
      </c>
      <c r="O5296" s="12" t="n">
        <v>1</v>
      </c>
      <c r="P5296" s="12" t="n">
        <v>480</v>
      </c>
      <c r="Q5296" s="12" t="n">
        <v>22</v>
      </c>
      <c r="R5296" s="12" t="n">
        <v>31.1</v>
      </c>
      <c r="S5296" s="12" t="inlineStr">
        <is>
          <t>Duct bank</t>
        </is>
      </c>
      <c r="T5296" s="16" t="n">
        <v>367</v>
      </c>
      <c r="U5296" s="16" t="n">
        <v>208</v>
      </c>
      <c r="V5296" s="16">
        <f>ROUNDUP((T5296+U5296+2*'Read Me'!$B$13)*(1+'Read Me'!$B$12),-1)</f>
        <v/>
      </c>
      <c r="W5296" s="16">
        <f>V5296*N5296*O5296</f>
        <v/>
      </c>
      <c r="X5296" s="12">
        <f>IF(LEFT(I5296,2)="MV",2*N5296*IF(L5296="1/C",O5296,1),0)</f>
        <v/>
      </c>
      <c r="Y5296" s="12">
        <f>IF(OR(LEFT(K5296,4)="LVAX",LEFT(K5296,6)="MV15AX",LEFT(K5296,4)="CTAX",LEFT(K5296,2)="W|"),2*N5296*O5296,0)</f>
        <v/>
      </c>
      <c r="Z5296" s="12" t="inlineStr">
        <is>
          <t>VD 2.2 %</t>
        </is>
      </c>
      <c r="AA5296" s="12">
        <f>N5296*O5296</f>
        <v/>
      </c>
    </row>
    <row r="5297">
      <c r="A5297" s="12" t="inlineStr">
        <is>
          <t>I-P-0178</t>
        </is>
      </c>
      <c r="B5297" s="12" t="inlineStr">
        <is>
          <t>I</t>
        </is>
      </c>
      <c r="C5297" s="12" t="inlineStr">
        <is>
          <t>Modular / portable power</t>
        </is>
      </c>
      <c r="D5297" s="12" t="inlineStr">
        <is>
          <t>Motor 5 of 6, 22 kW</t>
        </is>
      </c>
      <c r="E5297" s="12" t="inlineStr"/>
      <c r="F5297" s="12" t="inlineStr">
        <is>
          <t>PCM: power control module</t>
        </is>
      </c>
      <c r="G5297" s="12" t="inlineStr">
        <is>
          <t>RICE-5</t>
        </is>
      </c>
      <c r="H5297" s="12" t="inlineStr">
        <is>
          <t>RICE engine-generator 5</t>
        </is>
      </c>
      <c r="I5297" s="12" t="inlineStr">
        <is>
          <t>LV 600 V</t>
        </is>
      </c>
      <c r="J5297" s="12" t="inlineStr">
        <is>
          <t>Type TC-ER 600 V 3/C Cu XHHW-2 + ground, PVC jacket</t>
        </is>
      </c>
      <c r="K5297" s="12" t="inlineStr">
        <is>
          <t>LV|3/C+G|4</t>
        </is>
      </c>
      <c r="L5297" s="12" t="inlineStr">
        <is>
          <t>3/C+G</t>
        </is>
      </c>
      <c r="M5297" s="12" t="inlineStr">
        <is>
          <t>4</t>
        </is>
      </c>
      <c r="N5297" s="12" t="n">
        <v>1</v>
      </c>
      <c r="O5297" s="12" t="n">
        <v>1</v>
      </c>
      <c r="P5297" s="12" t="n">
        <v>480</v>
      </c>
      <c r="Q5297" s="12" t="n">
        <v>22</v>
      </c>
      <c r="R5297" s="12" t="n">
        <v>31.1</v>
      </c>
      <c r="S5297" s="12" t="inlineStr">
        <is>
          <t>Duct bank</t>
        </is>
      </c>
      <c r="T5297" s="16" t="n">
        <v>367</v>
      </c>
      <c r="U5297" s="16" t="n">
        <v>208</v>
      </c>
      <c r="V5297" s="16">
        <f>ROUNDUP((T5297+U5297+2*'Read Me'!$B$13)*(1+'Read Me'!$B$12),-1)</f>
        <v/>
      </c>
      <c r="W5297" s="16">
        <f>V5297*N5297*O5297</f>
        <v/>
      </c>
      <c r="X5297" s="12">
        <f>IF(LEFT(I5297,2)="MV",2*N5297*IF(L5297="1/C",O5297,1),0)</f>
        <v/>
      </c>
      <c r="Y5297" s="12">
        <f>IF(OR(LEFT(K5297,4)="LVAX",LEFT(K5297,6)="MV15AX",LEFT(K5297,4)="CTAX",LEFT(K5297,2)="W|"),2*N5297*O5297,0)</f>
        <v/>
      </c>
      <c r="Z5297" s="12" t="inlineStr">
        <is>
          <t>VD 2.2 %</t>
        </is>
      </c>
      <c r="AA5297" s="12">
        <f>N5297*O5297</f>
        <v/>
      </c>
    </row>
    <row r="5298">
      <c r="A5298" s="12" t="inlineStr">
        <is>
          <t>I-P-0179</t>
        </is>
      </c>
      <c r="B5298" s="12" t="inlineStr">
        <is>
          <t>I</t>
        </is>
      </c>
      <c r="C5298" s="12" t="inlineStr">
        <is>
          <t>Modular / portable power</t>
        </is>
      </c>
      <c r="D5298" s="12" t="inlineStr">
        <is>
          <t>Motor 6 of 6, 22 kW</t>
        </is>
      </c>
      <c r="E5298" s="12" t="inlineStr"/>
      <c r="F5298" s="12" t="inlineStr">
        <is>
          <t>PCM: power control module</t>
        </is>
      </c>
      <c r="G5298" s="12" t="inlineStr">
        <is>
          <t>RICE-5</t>
        </is>
      </c>
      <c r="H5298" s="12" t="inlineStr">
        <is>
          <t>RICE engine-generator 5</t>
        </is>
      </c>
      <c r="I5298" s="12" t="inlineStr">
        <is>
          <t>LV 600 V</t>
        </is>
      </c>
      <c r="J5298" s="12" t="inlineStr">
        <is>
          <t>Type TC-ER 600 V 3/C Cu XHHW-2 + ground, PVC jacket</t>
        </is>
      </c>
      <c r="K5298" s="12" t="inlineStr">
        <is>
          <t>LV|3/C+G|4</t>
        </is>
      </c>
      <c r="L5298" s="12" t="inlineStr">
        <is>
          <t>3/C+G</t>
        </is>
      </c>
      <c r="M5298" s="12" t="inlineStr">
        <is>
          <t>4</t>
        </is>
      </c>
      <c r="N5298" s="12" t="n">
        <v>1</v>
      </c>
      <c r="O5298" s="12" t="n">
        <v>1</v>
      </c>
      <c r="P5298" s="12" t="n">
        <v>480</v>
      </c>
      <c r="Q5298" s="12" t="n">
        <v>22</v>
      </c>
      <c r="R5298" s="12" t="n">
        <v>31.1</v>
      </c>
      <c r="S5298" s="12" t="inlineStr">
        <is>
          <t>Duct bank</t>
        </is>
      </c>
      <c r="T5298" s="16" t="n">
        <v>367</v>
      </c>
      <c r="U5298" s="16" t="n">
        <v>208</v>
      </c>
      <c r="V5298" s="16">
        <f>ROUNDUP((T5298+U5298+2*'Read Me'!$B$13)*(1+'Read Me'!$B$12),-1)</f>
        <v/>
      </c>
      <c r="W5298" s="16">
        <f>V5298*N5298*O5298</f>
        <v/>
      </c>
      <c r="X5298" s="12">
        <f>IF(LEFT(I5298,2)="MV",2*N5298*IF(L5298="1/C",O5298,1),0)</f>
        <v/>
      </c>
      <c r="Y5298" s="12">
        <f>IF(OR(LEFT(K5298,4)="LVAX",LEFT(K5298,6)="MV15AX",LEFT(K5298,4)="CTAX",LEFT(K5298,2)="W|"),2*N5298*O5298,0)</f>
        <v/>
      </c>
      <c r="Z5298" s="12" t="inlineStr">
        <is>
          <t>VD 2.2 %</t>
        </is>
      </c>
      <c r="AA5298" s="12">
        <f>N5298*O5298</f>
        <v/>
      </c>
    </row>
    <row r="5299">
      <c r="A5299" s="12" t="inlineStr">
        <is>
          <t>I-P-0180</t>
        </is>
      </c>
      <c r="B5299" s="12" t="inlineStr">
        <is>
          <t>I</t>
        </is>
      </c>
      <c r="C5299" s="12" t="inlineStr">
        <is>
          <t>Modular / portable power</t>
        </is>
      </c>
      <c r="D5299" s="12" t="inlineStr">
        <is>
          <t>480 V welding receptacle 1</t>
        </is>
      </c>
      <c r="E5299" s="12" t="inlineStr"/>
      <c r="F5299" s="12" t="inlineStr">
        <is>
          <t>PCM: power control module</t>
        </is>
      </c>
      <c r="G5299" s="12" t="inlineStr">
        <is>
          <t>RICE-5</t>
        </is>
      </c>
      <c r="H5299" s="12" t="inlineStr">
        <is>
          <t>RICE engine-generator 5</t>
        </is>
      </c>
      <c r="I5299" s="12" t="inlineStr">
        <is>
          <t>LV 600 V</t>
        </is>
      </c>
      <c r="J5299" s="12" t="inlineStr">
        <is>
          <t>Type TC-ER 600 V 3/C Cu XHHW-2 + ground, PVC jacket</t>
        </is>
      </c>
      <c r="K5299" s="12" t="inlineStr">
        <is>
          <t>LV|3/C+G|1</t>
        </is>
      </c>
      <c r="L5299" s="12" t="inlineStr">
        <is>
          <t>3/C+G</t>
        </is>
      </c>
      <c r="M5299" s="12" t="inlineStr">
        <is>
          <t>1</t>
        </is>
      </c>
      <c r="N5299" s="12" t="n">
        <v>1</v>
      </c>
      <c r="O5299" s="12" t="n">
        <v>1</v>
      </c>
      <c r="P5299" s="12" t="n">
        <v>480</v>
      </c>
      <c r="Q5299" s="12" t="n">
        <v>60</v>
      </c>
      <c r="R5299" s="12" t="n">
        <v>76</v>
      </c>
      <c r="S5299" s="12" t="inlineStr">
        <is>
          <t>Duct bank</t>
        </is>
      </c>
      <c r="T5299" s="16" t="n">
        <v>367</v>
      </c>
      <c r="U5299" s="16" t="n">
        <v>208</v>
      </c>
      <c r="V5299" s="16">
        <f>ROUNDUP((T5299+U5299+2*'Read Me'!$B$13)*(1+'Read Me'!$B$12),-1)</f>
        <v/>
      </c>
      <c r="W5299" s="16">
        <f>V5299*N5299*O5299</f>
        <v/>
      </c>
      <c r="X5299" s="12">
        <f>IF(LEFT(I5299,2)="MV",2*N5299*IF(L5299="1/C",O5299,1),0)</f>
        <v/>
      </c>
      <c r="Y5299" s="12">
        <f>IF(OR(LEFT(K5299,4)="LVAX",LEFT(K5299,6)="MV15AX",LEFT(K5299,4)="CTAX",LEFT(K5299,2)="W|"),2*N5299*O5299,0)</f>
        <v/>
      </c>
      <c r="Z5299" s="12" t="inlineStr">
        <is>
          <t>VD 2.7 %</t>
        </is>
      </c>
      <c r="AA5299" s="12">
        <f>N5299*O5299</f>
        <v/>
      </c>
    </row>
    <row r="5300">
      <c r="A5300" s="12" t="inlineStr">
        <is>
          <t>I-P-0181</t>
        </is>
      </c>
      <c r="B5300" s="12" t="inlineStr">
        <is>
          <t>I</t>
        </is>
      </c>
      <c r="C5300" s="12" t="inlineStr">
        <is>
          <t>Modular / portable power</t>
        </is>
      </c>
      <c r="D5300" s="12" t="inlineStr">
        <is>
          <t>480 V welding receptacle 2</t>
        </is>
      </c>
      <c r="E5300" s="12" t="inlineStr"/>
      <c r="F5300" s="12" t="inlineStr">
        <is>
          <t>PCM: power control module</t>
        </is>
      </c>
      <c r="G5300" s="12" t="inlineStr">
        <is>
          <t>RICE-5</t>
        </is>
      </c>
      <c r="H5300" s="12" t="inlineStr">
        <is>
          <t>RICE engine-generator 5</t>
        </is>
      </c>
      <c r="I5300" s="12" t="inlineStr">
        <is>
          <t>LV 600 V</t>
        </is>
      </c>
      <c r="J5300" s="12" t="inlineStr">
        <is>
          <t>Type TC-ER 600 V 3/C Cu XHHW-2 + ground, PVC jacket</t>
        </is>
      </c>
      <c r="K5300" s="12" t="inlineStr">
        <is>
          <t>LV|3/C+G|1</t>
        </is>
      </c>
      <c r="L5300" s="12" t="inlineStr">
        <is>
          <t>3/C+G</t>
        </is>
      </c>
      <c r="M5300" s="12" t="inlineStr">
        <is>
          <t>1</t>
        </is>
      </c>
      <c r="N5300" s="12" t="n">
        <v>1</v>
      </c>
      <c r="O5300" s="12" t="n">
        <v>1</v>
      </c>
      <c r="P5300" s="12" t="n">
        <v>480</v>
      </c>
      <c r="Q5300" s="12" t="n">
        <v>60</v>
      </c>
      <c r="R5300" s="12" t="n">
        <v>76</v>
      </c>
      <c r="S5300" s="12" t="inlineStr">
        <is>
          <t>Duct bank</t>
        </is>
      </c>
      <c r="T5300" s="16" t="n">
        <v>367</v>
      </c>
      <c r="U5300" s="16" t="n">
        <v>208</v>
      </c>
      <c r="V5300" s="16">
        <f>ROUNDUP((T5300+U5300+2*'Read Me'!$B$13)*(1+'Read Me'!$B$12),-1)</f>
        <v/>
      </c>
      <c r="W5300" s="16">
        <f>V5300*N5300*O5300</f>
        <v/>
      </c>
      <c r="X5300" s="12">
        <f>IF(LEFT(I5300,2)="MV",2*N5300*IF(L5300="1/C",O5300,1),0)</f>
        <v/>
      </c>
      <c r="Y5300" s="12">
        <f>IF(OR(LEFT(K5300,4)="LVAX",LEFT(K5300,6)="MV15AX",LEFT(K5300,4)="CTAX",LEFT(K5300,2)="W|"),2*N5300*O5300,0)</f>
        <v/>
      </c>
      <c r="Z5300" s="12" t="inlineStr">
        <is>
          <t>VD 2.7 %</t>
        </is>
      </c>
      <c r="AA5300" s="12">
        <f>N5300*O5300</f>
        <v/>
      </c>
    </row>
    <row r="5301">
      <c r="A5301" s="12" t="inlineStr">
        <is>
          <t>I-P-0182</t>
        </is>
      </c>
      <c r="B5301" s="12" t="inlineStr">
        <is>
          <t>I</t>
        </is>
      </c>
      <c r="C5301" s="12" t="inlineStr">
        <is>
          <t>Modular / portable power</t>
        </is>
      </c>
      <c r="D5301" s="12" t="inlineStr">
        <is>
          <t>480 V welding receptacle 3</t>
        </is>
      </c>
      <c r="E5301" s="12" t="inlineStr"/>
      <c r="F5301" s="12" t="inlineStr">
        <is>
          <t>PCM: power control module</t>
        </is>
      </c>
      <c r="G5301" s="12" t="inlineStr">
        <is>
          <t>RICE-5</t>
        </is>
      </c>
      <c r="H5301" s="12" t="inlineStr">
        <is>
          <t>RICE engine-generator 5</t>
        </is>
      </c>
      <c r="I5301" s="12" t="inlineStr">
        <is>
          <t>LV 600 V</t>
        </is>
      </c>
      <c r="J5301" s="12" t="inlineStr">
        <is>
          <t>Type TC-ER 600 V 3/C Cu XHHW-2 + ground, PVC jacket</t>
        </is>
      </c>
      <c r="K5301" s="12" t="inlineStr">
        <is>
          <t>LV|3/C+G|1</t>
        </is>
      </c>
      <c r="L5301" s="12" t="inlineStr">
        <is>
          <t>3/C+G</t>
        </is>
      </c>
      <c r="M5301" s="12" t="inlineStr">
        <is>
          <t>1</t>
        </is>
      </c>
      <c r="N5301" s="12" t="n">
        <v>1</v>
      </c>
      <c r="O5301" s="12" t="n">
        <v>1</v>
      </c>
      <c r="P5301" s="12" t="n">
        <v>480</v>
      </c>
      <c r="Q5301" s="12" t="n">
        <v>60</v>
      </c>
      <c r="R5301" s="12" t="n">
        <v>76</v>
      </c>
      <c r="S5301" s="12" t="inlineStr">
        <is>
          <t>Duct bank</t>
        </is>
      </c>
      <c r="T5301" s="16" t="n">
        <v>367</v>
      </c>
      <c r="U5301" s="16" t="n">
        <v>208</v>
      </c>
      <c r="V5301" s="16">
        <f>ROUNDUP((T5301+U5301+2*'Read Me'!$B$13)*(1+'Read Me'!$B$12),-1)</f>
        <v/>
      </c>
      <c r="W5301" s="16">
        <f>V5301*N5301*O5301</f>
        <v/>
      </c>
      <c r="X5301" s="12">
        <f>IF(LEFT(I5301,2)="MV",2*N5301*IF(L5301="1/C",O5301,1),0)</f>
        <v/>
      </c>
      <c r="Y5301" s="12">
        <f>IF(OR(LEFT(K5301,4)="LVAX",LEFT(K5301,6)="MV15AX",LEFT(K5301,4)="CTAX",LEFT(K5301,2)="W|"),2*N5301*O5301,0)</f>
        <v/>
      </c>
      <c r="Z5301" s="12" t="inlineStr">
        <is>
          <t>VD 2.7 %</t>
        </is>
      </c>
      <c r="AA5301" s="12">
        <f>N5301*O5301</f>
        <v/>
      </c>
    </row>
    <row r="5302">
      <c r="A5302" s="12" t="inlineStr">
        <is>
          <t>I-P-0183</t>
        </is>
      </c>
      <c r="B5302" s="12" t="inlineStr">
        <is>
          <t>I</t>
        </is>
      </c>
      <c r="C5302" s="12" t="inlineStr">
        <is>
          <t>Modular / portable power</t>
        </is>
      </c>
      <c r="D5302" s="12" t="inlineStr">
        <is>
          <t>480 V welding receptacle 4</t>
        </is>
      </c>
      <c r="E5302" s="12" t="inlineStr"/>
      <c r="F5302" s="12" t="inlineStr">
        <is>
          <t>PCM: power control module</t>
        </is>
      </c>
      <c r="G5302" s="12" t="inlineStr">
        <is>
          <t>RICE-5</t>
        </is>
      </c>
      <c r="H5302" s="12" t="inlineStr">
        <is>
          <t>RICE engine-generator 5</t>
        </is>
      </c>
      <c r="I5302" s="12" t="inlineStr">
        <is>
          <t>LV 600 V</t>
        </is>
      </c>
      <c r="J5302" s="12" t="inlineStr">
        <is>
          <t>Type TC-ER 600 V 3/C Cu XHHW-2 + ground, PVC jacket</t>
        </is>
      </c>
      <c r="K5302" s="12" t="inlineStr">
        <is>
          <t>LV|3/C+G|1</t>
        </is>
      </c>
      <c r="L5302" s="12" t="inlineStr">
        <is>
          <t>3/C+G</t>
        </is>
      </c>
      <c r="M5302" s="12" t="inlineStr">
        <is>
          <t>1</t>
        </is>
      </c>
      <c r="N5302" s="12" t="n">
        <v>1</v>
      </c>
      <c r="O5302" s="12" t="n">
        <v>1</v>
      </c>
      <c r="P5302" s="12" t="n">
        <v>480</v>
      </c>
      <c r="Q5302" s="12" t="n">
        <v>60</v>
      </c>
      <c r="R5302" s="12" t="n">
        <v>76</v>
      </c>
      <c r="S5302" s="12" t="inlineStr">
        <is>
          <t>Duct bank</t>
        </is>
      </c>
      <c r="T5302" s="16" t="n">
        <v>367</v>
      </c>
      <c r="U5302" s="16" t="n">
        <v>208</v>
      </c>
      <c r="V5302" s="16">
        <f>ROUNDUP((T5302+U5302+2*'Read Me'!$B$13)*(1+'Read Me'!$B$12),-1)</f>
        <v/>
      </c>
      <c r="W5302" s="16">
        <f>V5302*N5302*O5302</f>
        <v/>
      </c>
      <c r="X5302" s="12">
        <f>IF(LEFT(I5302,2)="MV",2*N5302*IF(L5302="1/C",O5302,1),0)</f>
        <v/>
      </c>
      <c r="Y5302" s="12">
        <f>IF(OR(LEFT(K5302,4)="LVAX",LEFT(K5302,6)="MV15AX",LEFT(K5302,4)="CTAX",LEFT(K5302,2)="W|"),2*N5302*O5302,0)</f>
        <v/>
      </c>
      <c r="Z5302" s="12" t="inlineStr">
        <is>
          <t>VD 2.7 %</t>
        </is>
      </c>
      <c r="AA5302" s="12">
        <f>N5302*O5302</f>
        <v/>
      </c>
    </row>
    <row r="5303">
      <c r="A5303" s="12" t="inlineStr">
        <is>
          <t>I-P-0184</t>
        </is>
      </c>
      <c r="B5303" s="12" t="inlineStr">
        <is>
          <t>I</t>
        </is>
      </c>
      <c r="C5303" s="12" t="inlineStr">
        <is>
          <t>Modular / portable power</t>
        </is>
      </c>
      <c r="D5303" s="12" t="inlineStr">
        <is>
          <t>Motor 1 of 6, 22 kW</t>
        </is>
      </c>
      <c r="E5303" s="12" t="inlineStr"/>
      <c r="F5303" s="12" t="inlineStr">
        <is>
          <t>PCM: power control module</t>
        </is>
      </c>
      <c r="G5303" s="12" t="inlineStr">
        <is>
          <t>RICE-6</t>
        </is>
      </c>
      <c r="H5303" s="12" t="inlineStr">
        <is>
          <t>RICE engine-generator 6</t>
        </is>
      </c>
      <c r="I5303" s="12" t="inlineStr">
        <is>
          <t>LV 600 V</t>
        </is>
      </c>
      <c r="J5303" s="12" t="inlineStr">
        <is>
          <t>Type TC-ER 600 V 3/C Cu XHHW-2 + ground, PVC jacket</t>
        </is>
      </c>
      <c r="K5303" s="12" t="inlineStr">
        <is>
          <t>LV|3/C+G|4</t>
        </is>
      </c>
      <c r="L5303" s="12" t="inlineStr">
        <is>
          <t>3/C+G</t>
        </is>
      </c>
      <c r="M5303" s="12" t="inlineStr">
        <is>
          <t>4</t>
        </is>
      </c>
      <c r="N5303" s="12" t="n">
        <v>1</v>
      </c>
      <c r="O5303" s="12" t="n">
        <v>1</v>
      </c>
      <c r="P5303" s="12" t="n">
        <v>480</v>
      </c>
      <c r="Q5303" s="12" t="n">
        <v>22</v>
      </c>
      <c r="R5303" s="12" t="n">
        <v>31.1</v>
      </c>
      <c r="S5303" s="12" t="inlineStr">
        <is>
          <t>Duct bank</t>
        </is>
      </c>
      <c r="T5303" s="16" t="n">
        <v>367</v>
      </c>
      <c r="U5303" s="16" t="n">
        <v>180</v>
      </c>
      <c r="V5303" s="16">
        <f>ROUNDUP((T5303+U5303+2*'Read Me'!$B$13)*(1+'Read Me'!$B$12),-1)</f>
        <v/>
      </c>
      <c r="W5303" s="16">
        <f>V5303*N5303*O5303</f>
        <v/>
      </c>
      <c r="X5303" s="12">
        <f>IF(LEFT(I5303,2)="MV",2*N5303*IF(L5303="1/C",O5303,1),0)</f>
        <v/>
      </c>
      <c r="Y5303" s="12">
        <f>IF(OR(LEFT(K5303,4)="LVAX",LEFT(K5303,6)="MV15AX",LEFT(K5303,4)="CTAX",LEFT(K5303,2)="W|"),2*N5303*O5303,0)</f>
        <v/>
      </c>
      <c r="Z5303" s="12" t="inlineStr">
        <is>
          <t>VD 2.1 %</t>
        </is>
      </c>
      <c r="AA5303" s="12">
        <f>N5303*O5303</f>
        <v/>
      </c>
    </row>
    <row r="5304">
      <c r="A5304" s="12" t="inlineStr">
        <is>
          <t>I-P-0185</t>
        </is>
      </c>
      <c r="B5304" s="12" t="inlineStr">
        <is>
          <t>I</t>
        </is>
      </c>
      <c r="C5304" s="12" t="inlineStr">
        <is>
          <t>Modular / portable power</t>
        </is>
      </c>
      <c r="D5304" s="12" t="inlineStr">
        <is>
          <t>Motor 2 of 6, 22 kW</t>
        </is>
      </c>
      <c r="E5304" s="12" t="inlineStr"/>
      <c r="F5304" s="12" t="inlineStr">
        <is>
          <t>PCM: power control module</t>
        </is>
      </c>
      <c r="G5304" s="12" t="inlineStr">
        <is>
          <t>RICE-6</t>
        </is>
      </c>
      <c r="H5304" s="12" t="inlineStr">
        <is>
          <t>RICE engine-generator 6</t>
        </is>
      </c>
      <c r="I5304" s="12" t="inlineStr">
        <is>
          <t>LV 600 V</t>
        </is>
      </c>
      <c r="J5304" s="12" t="inlineStr">
        <is>
          <t>Type TC-ER 600 V 3/C Cu XHHW-2 + ground, PVC jacket</t>
        </is>
      </c>
      <c r="K5304" s="12" t="inlineStr">
        <is>
          <t>LV|3/C+G|4</t>
        </is>
      </c>
      <c r="L5304" s="12" t="inlineStr">
        <is>
          <t>3/C+G</t>
        </is>
      </c>
      <c r="M5304" s="12" t="inlineStr">
        <is>
          <t>4</t>
        </is>
      </c>
      <c r="N5304" s="12" t="n">
        <v>1</v>
      </c>
      <c r="O5304" s="12" t="n">
        <v>1</v>
      </c>
      <c r="P5304" s="12" t="n">
        <v>480</v>
      </c>
      <c r="Q5304" s="12" t="n">
        <v>22</v>
      </c>
      <c r="R5304" s="12" t="n">
        <v>31.1</v>
      </c>
      <c r="S5304" s="12" t="inlineStr">
        <is>
          <t>Duct bank</t>
        </is>
      </c>
      <c r="T5304" s="16" t="n">
        <v>367</v>
      </c>
      <c r="U5304" s="16" t="n">
        <v>180</v>
      </c>
      <c r="V5304" s="16">
        <f>ROUNDUP((T5304+U5304+2*'Read Me'!$B$13)*(1+'Read Me'!$B$12),-1)</f>
        <v/>
      </c>
      <c r="W5304" s="16">
        <f>V5304*N5304*O5304</f>
        <v/>
      </c>
      <c r="X5304" s="12">
        <f>IF(LEFT(I5304,2)="MV",2*N5304*IF(L5304="1/C",O5304,1),0)</f>
        <v/>
      </c>
      <c r="Y5304" s="12">
        <f>IF(OR(LEFT(K5304,4)="LVAX",LEFT(K5304,6)="MV15AX",LEFT(K5304,4)="CTAX",LEFT(K5304,2)="W|"),2*N5304*O5304,0)</f>
        <v/>
      </c>
      <c r="Z5304" s="12" t="inlineStr">
        <is>
          <t>VD 2.1 %</t>
        </is>
      </c>
      <c r="AA5304" s="12">
        <f>N5304*O5304</f>
        <v/>
      </c>
    </row>
    <row r="5305">
      <c r="A5305" s="12" t="inlineStr">
        <is>
          <t>I-P-0186</t>
        </is>
      </c>
      <c r="B5305" s="12" t="inlineStr">
        <is>
          <t>I</t>
        </is>
      </c>
      <c r="C5305" s="12" t="inlineStr">
        <is>
          <t>Modular / portable power</t>
        </is>
      </c>
      <c r="D5305" s="12" t="inlineStr">
        <is>
          <t>Motor 3 of 6, 22 kW</t>
        </is>
      </c>
      <c r="E5305" s="12" t="inlineStr"/>
      <c r="F5305" s="12" t="inlineStr">
        <is>
          <t>PCM: power control module</t>
        </is>
      </c>
      <c r="G5305" s="12" t="inlineStr">
        <is>
          <t>RICE-6</t>
        </is>
      </c>
      <c r="H5305" s="12" t="inlineStr">
        <is>
          <t>RICE engine-generator 6</t>
        </is>
      </c>
      <c r="I5305" s="12" t="inlineStr">
        <is>
          <t>LV 600 V</t>
        </is>
      </c>
      <c r="J5305" s="12" t="inlineStr">
        <is>
          <t>Type TC-ER 600 V 3/C Cu XHHW-2 + ground, PVC jacket</t>
        </is>
      </c>
      <c r="K5305" s="12" t="inlineStr">
        <is>
          <t>LV|3/C+G|4</t>
        </is>
      </c>
      <c r="L5305" s="12" t="inlineStr">
        <is>
          <t>3/C+G</t>
        </is>
      </c>
      <c r="M5305" s="12" t="inlineStr">
        <is>
          <t>4</t>
        </is>
      </c>
      <c r="N5305" s="12" t="n">
        <v>1</v>
      </c>
      <c r="O5305" s="12" t="n">
        <v>1</v>
      </c>
      <c r="P5305" s="12" t="n">
        <v>480</v>
      </c>
      <c r="Q5305" s="12" t="n">
        <v>22</v>
      </c>
      <c r="R5305" s="12" t="n">
        <v>31.1</v>
      </c>
      <c r="S5305" s="12" t="inlineStr">
        <is>
          <t>Duct bank</t>
        </is>
      </c>
      <c r="T5305" s="16" t="n">
        <v>367</v>
      </c>
      <c r="U5305" s="16" t="n">
        <v>180</v>
      </c>
      <c r="V5305" s="16">
        <f>ROUNDUP((T5305+U5305+2*'Read Me'!$B$13)*(1+'Read Me'!$B$12),-1)</f>
        <v/>
      </c>
      <c r="W5305" s="16">
        <f>V5305*N5305*O5305</f>
        <v/>
      </c>
      <c r="X5305" s="12">
        <f>IF(LEFT(I5305,2)="MV",2*N5305*IF(L5305="1/C",O5305,1),0)</f>
        <v/>
      </c>
      <c r="Y5305" s="12">
        <f>IF(OR(LEFT(K5305,4)="LVAX",LEFT(K5305,6)="MV15AX",LEFT(K5305,4)="CTAX",LEFT(K5305,2)="W|"),2*N5305*O5305,0)</f>
        <v/>
      </c>
      <c r="Z5305" s="12" t="inlineStr">
        <is>
          <t>VD 2.1 %</t>
        </is>
      </c>
      <c r="AA5305" s="12">
        <f>N5305*O5305</f>
        <v/>
      </c>
    </row>
    <row r="5306">
      <c r="A5306" s="12" t="inlineStr">
        <is>
          <t>I-P-0187</t>
        </is>
      </c>
      <c r="B5306" s="12" t="inlineStr">
        <is>
          <t>I</t>
        </is>
      </c>
      <c r="C5306" s="12" t="inlineStr">
        <is>
          <t>Modular / portable power</t>
        </is>
      </c>
      <c r="D5306" s="12" t="inlineStr">
        <is>
          <t>Motor 4 of 6, 22 kW</t>
        </is>
      </c>
      <c r="E5306" s="12" t="inlineStr"/>
      <c r="F5306" s="12" t="inlineStr">
        <is>
          <t>PCM: power control module</t>
        </is>
      </c>
      <c r="G5306" s="12" t="inlineStr">
        <is>
          <t>RICE-6</t>
        </is>
      </c>
      <c r="H5306" s="12" t="inlineStr">
        <is>
          <t>RICE engine-generator 6</t>
        </is>
      </c>
      <c r="I5306" s="12" t="inlineStr">
        <is>
          <t>LV 600 V</t>
        </is>
      </c>
      <c r="J5306" s="12" t="inlineStr">
        <is>
          <t>Type TC-ER 600 V 3/C Cu XHHW-2 + ground, PVC jacket</t>
        </is>
      </c>
      <c r="K5306" s="12" t="inlineStr">
        <is>
          <t>LV|3/C+G|4</t>
        </is>
      </c>
      <c r="L5306" s="12" t="inlineStr">
        <is>
          <t>3/C+G</t>
        </is>
      </c>
      <c r="M5306" s="12" t="inlineStr">
        <is>
          <t>4</t>
        </is>
      </c>
      <c r="N5306" s="12" t="n">
        <v>1</v>
      </c>
      <c r="O5306" s="12" t="n">
        <v>1</v>
      </c>
      <c r="P5306" s="12" t="n">
        <v>480</v>
      </c>
      <c r="Q5306" s="12" t="n">
        <v>22</v>
      </c>
      <c r="R5306" s="12" t="n">
        <v>31.1</v>
      </c>
      <c r="S5306" s="12" t="inlineStr">
        <is>
          <t>Duct bank</t>
        </is>
      </c>
      <c r="T5306" s="16" t="n">
        <v>367</v>
      </c>
      <c r="U5306" s="16" t="n">
        <v>180</v>
      </c>
      <c r="V5306" s="16">
        <f>ROUNDUP((T5306+U5306+2*'Read Me'!$B$13)*(1+'Read Me'!$B$12),-1)</f>
        <v/>
      </c>
      <c r="W5306" s="16">
        <f>V5306*N5306*O5306</f>
        <v/>
      </c>
      <c r="X5306" s="12">
        <f>IF(LEFT(I5306,2)="MV",2*N5306*IF(L5306="1/C",O5306,1),0)</f>
        <v/>
      </c>
      <c r="Y5306" s="12">
        <f>IF(OR(LEFT(K5306,4)="LVAX",LEFT(K5306,6)="MV15AX",LEFT(K5306,4)="CTAX",LEFT(K5306,2)="W|"),2*N5306*O5306,0)</f>
        <v/>
      </c>
      <c r="Z5306" s="12" t="inlineStr">
        <is>
          <t>VD 2.1 %</t>
        </is>
      </c>
      <c r="AA5306" s="12">
        <f>N5306*O5306</f>
        <v/>
      </c>
    </row>
    <row r="5307">
      <c r="A5307" s="12" t="inlineStr">
        <is>
          <t>I-P-0188</t>
        </is>
      </c>
      <c r="B5307" s="12" t="inlineStr">
        <is>
          <t>I</t>
        </is>
      </c>
      <c r="C5307" s="12" t="inlineStr">
        <is>
          <t>Modular / portable power</t>
        </is>
      </c>
      <c r="D5307" s="12" t="inlineStr">
        <is>
          <t>Motor 5 of 6, 22 kW</t>
        </is>
      </c>
      <c r="E5307" s="12" t="inlineStr"/>
      <c r="F5307" s="12" t="inlineStr">
        <is>
          <t>PCM: power control module</t>
        </is>
      </c>
      <c r="G5307" s="12" t="inlineStr">
        <is>
          <t>RICE-6</t>
        </is>
      </c>
      <c r="H5307" s="12" t="inlineStr">
        <is>
          <t>RICE engine-generator 6</t>
        </is>
      </c>
      <c r="I5307" s="12" t="inlineStr">
        <is>
          <t>LV 600 V</t>
        </is>
      </c>
      <c r="J5307" s="12" t="inlineStr">
        <is>
          <t>Type TC-ER 600 V 3/C Cu XHHW-2 + ground, PVC jacket</t>
        </is>
      </c>
      <c r="K5307" s="12" t="inlineStr">
        <is>
          <t>LV|3/C+G|4</t>
        </is>
      </c>
      <c r="L5307" s="12" t="inlineStr">
        <is>
          <t>3/C+G</t>
        </is>
      </c>
      <c r="M5307" s="12" t="inlineStr">
        <is>
          <t>4</t>
        </is>
      </c>
      <c r="N5307" s="12" t="n">
        <v>1</v>
      </c>
      <c r="O5307" s="12" t="n">
        <v>1</v>
      </c>
      <c r="P5307" s="12" t="n">
        <v>480</v>
      </c>
      <c r="Q5307" s="12" t="n">
        <v>22</v>
      </c>
      <c r="R5307" s="12" t="n">
        <v>31.1</v>
      </c>
      <c r="S5307" s="12" t="inlineStr">
        <is>
          <t>Duct bank</t>
        </is>
      </c>
      <c r="T5307" s="16" t="n">
        <v>367</v>
      </c>
      <c r="U5307" s="16" t="n">
        <v>180</v>
      </c>
      <c r="V5307" s="16">
        <f>ROUNDUP((T5307+U5307+2*'Read Me'!$B$13)*(1+'Read Me'!$B$12),-1)</f>
        <v/>
      </c>
      <c r="W5307" s="16">
        <f>V5307*N5307*O5307</f>
        <v/>
      </c>
      <c r="X5307" s="12">
        <f>IF(LEFT(I5307,2)="MV",2*N5307*IF(L5307="1/C",O5307,1),0)</f>
        <v/>
      </c>
      <c r="Y5307" s="12">
        <f>IF(OR(LEFT(K5307,4)="LVAX",LEFT(K5307,6)="MV15AX",LEFT(K5307,4)="CTAX",LEFT(K5307,2)="W|"),2*N5307*O5307,0)</f>
        <v/>
      </c>
      <c r="Z5307" s="12" t="inlineStr">
        <is>
          <t>VD 2.1 %</t>
        </is>
      </c>
      <c r="AA5307" s="12">
        <f>N5307*O5307</f>
        <v/>
      </c>
    </row>
    <row r="5308">
      <c r="A5308" s="12" t="inlineStr">
        <is>
          <t>I-P-0189</t>
        </is>
      </c>
      <c r="B5308" s="12" t="inlineStr">
        <is>
          <t>I</t>
        </is>
      </c>
      <c r="C5308" s="12" t="inlineStr">
        <is>
          <t>Modular / portable power</t>
        </is>
      </c>
      <c r="D5308" s="12" t="inlineStr">
        <is>
          <t>Motor 6 of 6, 22 kW</t>
        </is>
      </c>
      <c r="E5308" s="12" t="inlineStr"/>
      <c r="F5308" s="12" t="inlineStr">
        <is>
          <t>PCM: power control module</t>
        </is>
      </c>
      <c r="G5308" s="12" t="inlineStr">
        <is>
          <t>RICE-6</t>
        </is>
      </c>
      <c r="H5308" s="12" t="inlineStr">
        <is>
          <t>RICE engine-generator 6</t>
        </is>
      </c>
      <c r="I5308" s="12" t="inlineStr">
        <is>
          <t>LV 600 V</t>
        </is>
      </c>
      <c r="J5308" s="12" t="inlineStr">
        <is>
          <t>Type TC-ER 600 V 3/C Cu XHHW-2 + ground, PVC jacket</t>
        </is>
      </c>
      <c r="K5308" s="12" t="inlineStr">
        <is>
          <t>LV|3/C+G|4</t>
        </is>
      </c>
      <c r="L5308" s="12" t="inlineStr">
        <is>
          <t>3/C+G</t>
        </is>
      </c>
      <c r="M5308" s="12" t="inlineStr">
        <is>
          <t>4</t>
        </is>
      </c>
      <c r="N5308" s="12" t="n">
        <v>1</v>
      </c>
      <c r="O5308" s="12" t="n">
        <v>1</v>
      </c>
      <c r="P5308" s="12" t="n">
        <v>480</v>
      </c>
      <c r="Q5308" s="12" t="n">
        <v>22</v>
      </c>
      <c r="R5308" s="12" t="n">
        <v>31.1</v>
      </c>
      <c r="S5308" s="12" t="inlineStr">
        <is>
          <t>Duct bank</t>
        </is>
      </c>
      <c r="T5308" s="16" t="n">
        <v>367</v>
      </c>
      <c r="U5308" s="16" t="n">
        <v>180</v>
      </c>
      <c r="V5308" s="16">
        <f>ROUNDUP((T5308+U5308+2*'Read Me'!$B$13)*(1+'Read Me'!$B$12),-1)</f>
        <v/>
      </c>
      <c r="W5308" s="16">
        <f>V5308*N5308*O5308</f>
        <v/>
      </c>
      <c r="X5308" s="12">
        <f>IF(LEFT(I5308,2)="MV",2*N5308*IF(L5308="1/C",O5308,1),0)</f>
        <v/>
      </c>
      <c r="Y5308" s="12">
        <f>IF(OR(LEFT(K5308,4)="LVAX",LEFT(K5308,6)="MV15AX",LEFT(K5308,4)="CTAX",LEFT(K5308,2)="W|"),2*N5308*O5308,0)</f>
        <v/>
      </c>
      <c r="Z5308" s="12" t="inlineStr">
        <is>
          <t>VD 2.1 %</t>
        </is>
      </c>
      <c r="AA5308" s="12">
        <f>N5308*O5308</f>
        <v/>
      </c>
    </row>
    <row r="5309">
      <c r="A5309" s="12" t="inlineStr">
        <is>
          <t>I-P-0190</t>
        </is>
      </c>
      <c r="B5309" s="12" t="inlineStr">
        <is>
          <t>I</t>
        </is>
      </c>
      <c r="C5309" s="12" t="inlineStr">
        <is>
          <t>Modular / portable power</t>
        </is>
      </c>
      <c r="D5309" s="12" t="inlineStr">
        <is>
          <t>480 V welding receptacle 1</t>
        </is>
      </c>
      <c r="E5309" s="12" t="inlineStr"/>
      <c r="F5309" s="12" t="inlineStr">
        <is>
          <t>PCM: power control module</t>
        </is>
      </c>
      <c r="G5309" s="12" t="inlineStr">
        <is>
          <t>RICE-6</t>
        </is>
      </c>
      <c r="H5309" s="12" t="inlineStr">
        <is>
          <t>RICE engine-generator 6</t>
        </is>
      </c>
      <c r="I5309" s="12" t="inlineStr">
        <is>
          <t>LV 600 V</t>
        </is>
      </c>
      <c r="J5309" s="12" t="inlineStr">
        <is>
          <t>Type TC-ER 600 V 3/C Cu XHHW-2 + ground, PVC jacket</t>
        </is>
      </c>
      <c r="K5309" s="12" t="inlineStr">
        <is>
          <t>LV|3/C+G|1</t>
        </is>
      </c>
      <c r="L5309" s="12" t="inlineStr">
        <is>
          <t>3/C+G</t>
        </is>
      </c>
      <c r="M5309" s="12" t="inlineStr">
        <is>
          <t>1</t>
        </is>
      </c>
      <c r="N5309" s="12" t="n">
        <v>1</v>
      </c>
      <c r="O5309" s="12" t="n">
        <v>1</v>
      </c>
      <c r="P5309" s="12" t="n">
        <v>480</v>
      </c>
      <c r="Q5309" s="12" t="n">
        <v>60</v>
      </c>
      <c r="R5309" s="12" t="n">
        <v>76</v>
      </c>
      <c r="S5309" s="12" t="inlineStr">
        <is>
          <t>Duct bank</t>
        </is>
      </c>
      <c r="T5309" s="16" t="n">
        <v>367</v>
      </c>
      <c r="U5309" s="16" t="n">
        <v>180</v>
      </c>
      <c r="V5309" s="16">
        <f>ROUNDUP((T5309+U5309+2*'Read Me'!$B$13)*(1+'Read Me'!$B$12),-1)</f>
        <v/>
      </c>
      <c r="W5309" s="16">
        <f>V5309*N5309*O5309</f>
        <v/>
      </c>
      <c r="X5309" s="12">
        <f>IF(LEFT(I5309,2)="MV",2*N5309*IF(L5309="1/C",O5309,1),0)</f>
        <v/>
      </c>
      <c r="Y5309" s="12">
        <f>IF(OR(LEFT(K5309,4)="LVAX",LEFT(K5309,6)="MV15AX",LEFT(K5309,4)="CTAX",LEFT(K5309,2)="W|"),2*N5309*O5309,0)</f>
        <v/>
      </c>
      <c r="Z5309" s="12" t="inlineStr">
        <is>
          <t>VD 2.5 %</t>
        </is>
      </c>
      <c r="AA5309" s="12">
        <f>N5309*O5309</f>
        <v/>
      </c>
    </row>
    <row r="5310">
      <c r="A5310" s="12" t="inlineStr">
        <is>
          <t>I-P-0191</t>
        </is>
      </c>
      <c r="B5310" s="12" t="inlineStr">
        <is>
          <t>I</t>
        </is>
      </c>
      <c r="C5310" s="12" t="inlineStr">
        <is>
          <t>Modular / portable power</t>
        </is>
      </c>
      <c r="D5310" s="12" t="inlineStr">
        <is>
          <t>480 V welding receptacle 2</t>
        </is>
      </c>
      <c r="E5310" s="12" t="inlineStr"/>
      <c r="F5310" s="12" t="inlineStr">
        <is>
          <t>PCM: power control module</t>
        </is>
      </c>
      <c r="G5310" s="12" t="inlineStr">
        <is>
          <t>RICE-6</t>
        </is>
      </c>
      <c r="H5310" s="12" t="inlineStr">
        <is>
          <t>RICE engine-generator 6</t>
        </is>
      </c>
      <c r="I5310" s="12" t="inlineStr">
        <is>
          <t>LV 600 V</t>
        </is>
      </c>
      <c r="J5310" s="12" t="inlineStr">
        <is>
          <t>Type TC-ER 600 V 3/C Cu XHHW-2 + ground, PVC jacket</t>
        </is>
      </c>
      <c r="K5310" s="12" t="inlineStr">
        <is>
          <t>LV|3/C+G|1</t>
        </is>
      </c>
      <c r="L5310" s="12" t="inlineStr">
        <is>
          <t>3/C+G</t>
        </is>
      </c>
      <c r="M5310" s="12" t="inlineStr">
        <is>
          <t>1</t>
        </is>
      </c>
      <c r="N5310" s="12" t="n">
        <v>1</v>
      </c>
      <c r="O5310" s="12" t="n">
        <v>1</v>
      </c>
      <c r="P5310" s="12" t="n">
        <v>480</v>
      </c>
      <c r="Q5310" s="12" t="n">
        <v>60</v>
      </c>
      <c r="R5310" s="12" t="n">
        <v>76</v>
      </c>
      <c r="S5310" s="12" t="inlineStr">
        <is>
          <t>Duct bank</t>
        </is>
      </c>
      <c r="T5310" s="16" t="n">
        <v>367</v>
      </c>
      <c r="U5310" s="16" t="n">
        <v>180</v>
      </c>
      <c r="V5310" s="16">
        <f>ROUNDUP((T5310+U5310+2*'Read Me'!$B$13)*(1+'Read Me'!$B$12),-1)</f>
        <v/>
      </c>
      <c r="W5310" s="16">
        <f>V5310*N5310*O5310</f>
        <v/>
      </c>
      <c r="X5310" s="12">
        <f>IF(LEFT(I5310,2)="MV",2*N5310*IF(L5310="1/C",O5310,1),0)</f>
        <v/>
      </c>
      <c r="Y5310" s="12">
        <f>IF(OR(LEFT(K5310,4)="LVAX",LEFT(K5310,6)="MV15AX",LEFT(K5310,4)="CTAX",LEFT(K5310,2)="W|"),2*N5310*O5310,0)</f>
        <v/>
      </c>
      <c r="Z5310" s="12" t="inlineStr">
        <is>
          <t>VD 2.5 %</t>
        </is>
      </c>
      <c r="AA5310" s="12">
        <f>N5310*O5310</f>
        <v/>
      </c>
    </row>
    <row r="5311">
      <c r="A5311" s="12" t="inlineStr">
        <is>
          <t>I-P-0192</t>
        </is>
      </c>
      <c r="B5311" s="12" t="inlineStr">
        <is>
          <t>I</t>
        </is>
      </c>
      <c r="C5311" s="12" t="inlineStr">
        <is>
          <t>Modular / portable power</t>
        </is>
      </c>
      <c r="D5311" s="12" t="inlineStr">
        <is>
          <t>480 V welding receptacle 3</t>
        </is>
      </c>
      <c r="E5311" s="12" t="inlineStr"/>
      <c r="F5311" s="12" t="inlineStr">
        <is>
          <t>PCM: power control module</t>
        </is>
      </c>
      <c r="G5311" s="12" t="inlineStr">
        <is>
          <t>RICE-6</t>
        </is>
      </c>
      <c r="H5311" s="12" t="inlineStr">
        <is>
          <t>RICE engine-generator 6</t>
        </is>
      </c>
      <c r="I5311" s="12" t="inlineStr">
        <is>
          <t>LV 600 V</t>
        </is>
      </c>
      <c r="J5311" s="12" t="inlineStr">
        <is>
          <t>Type TC-ER 600 V 3/C Cu XHHW-2 + ground, PVC jacket</t>
        </is>
      </c>
      <c r="K5311" s="12" t="inlineStr">
        <is>
          <t>LV|3/C+G|1</t>
        </is>
      </c>
      <c r="L5311" s="12" t="inlineStr">
        <is>
          <t>3/C+G</t>
        </is>
      </c>
      <c r="M5311" s="12" t="inlineStr">
        <is>
          <t>1</t>
        </is>
      </c>
      <c r="N5311" s="12" t="n">
        <v>1</v>
      </c>
      <c r="O5311" s="12" t="n">
        <v>1</v>
      </c>
      <c r="P5311" s="12" t="n">
        <v>480</v>
      </c>
      <c r="Q5311" s="12" t="n">
        <v>60</v>
      </c>
      <c r="R5311" s="12" t="n">
        <v>76</v>
      </c>
      <c r="S5311" s="12" t="inlineStr">
        <is>
          <t>Duct bank</t>
        </is>
      </c>
      <c r="T5311" s="16" t="n">
        <v>367</v>
      </c>
      <c r="U5311" s="16" t="n">
        <v>180</v>
      </c>
      <c r="V5311" s="16">
        <f>ROUNDUP((T5311+U5311+2*'Read Me'!$B$13)*(1+'Read Me'!$B$12),-1)</f>
        <v/>
      </c>
      <c r="W5311" s="16">
        <f>V5311*N5311*O5311</f>
        <v/>
      </c>
      <c r="X5311" s="12">
        <f>IF(LEFT(I5311,2)="MV",2*N5311*IF(L5311="1/C",O5311,1),0)</f>
        <v/>
      </c>
      <c r="Y5311" s="12">
        <f>IF(OR(LEFT(K5311,4)="LVAX",LEFT(K5311,6)="MV15AX",LEFT(K5311,4)="CTAX",LEFT(K5311,2)="W|"),2*N5311*O5311,0)</f>
        <v/>
      </c>
      <c r="Z5311" s="12" t="inlineStr">
        <is>
          <t>VD 2.5 %</t>
        </is>
      </c>
      <c r="AA5311" s="12">
        <f>N5311*O5311</f>
        <v/>
      </c>
    </row>
    <row r="5312">
      <c r="A5312" s="12" t="inlineStr">
        <is>
          <t>I-P-0193</t>
        </is>
      </c>
      <c r="B5312" s="12" t="inlineStr">
        <is>
          <t>I</t>
        </is>
      </c>
      <c r="C5312" s="12" t="inlineStr">
        <is>
          <t>Modular / portable power</t>
        </is>
      </c>
      <c r="D5312" s="12" t="inlineStr">
        <is>
          <t>480 V welding receptacle 4</t>
        </is>
      </c>
      <c r="E5312" s="12" t="inlineStr"/>
      <c r="F5312" s="12" t="inlineStr">
        <is>
          <t>PCM: power control module</t>
        </is>
      </c>
      <c r="G5312" s="12" t="inlineStr">
        <is>
          <t>RICE-6</t>
        </is>
      </c>
      <c r="H5312" s="12" t="inlineStr">
        <is>
          <t>RICE engine-generator 6</t>
        </is>
      </c>
      <c r="I5312" s="12" t="inlineStr">
        <is>
          <t>LV 600 V</t>
        </is>
      </c>
      <c r="J5312" s="12" t="inlineStr">
        <is>
          <t>Type TC-ER 600 V 3/C Cu XHHW-2 + ground, PVC jacket</t>
        </is>
      </c>
      <c r="K5312" s="12" t="inlineStr">
        <is>
          <t>LV|3/C+G|1</t>
        </is>
      </c>
      <c r="L5312" s="12" t="inlineStr">
        <is>
          <t>3/C+G</t>
        </is>
      </c>
      <c r="M5312" s="12" t="inlineStr">
        <is>
          <t>1</t>
        </is>
      </c>
      <c r="N5312" s="12" t="n">
        <v>1</v>
      </c>
      <c r="O5312" s="12" t="n">
        <v>1</v>
      </c>
      <c r="P5312" s="12" t="n">
        <v>480</v>
      </c>
      <c r="Q5312" s="12" t="n">
        <v>60</v>
      </c>
      <c r="R5312" s="12" t="n">
        <v>76</v>
      </c>
      <c r="S5312" s="12" t="inlineStr">
        <is>
          <t>Duct bank</t>
        </is>
      </c>
      <c r="T5312" s="16" t="n">
        <v>367</v>
      </c>
      <c r="U5312" s="16" t="n">
        <v>180</v>
      </c>
      <c r="V5312" s="16">
        <f>ROUNDUP((T5312+U5312+2*'Read Me'!$B$13)*(1+'Read Me'!$B$12),-1)</f>
        <v/>
      </c>
      <c r="W5312" s="16">
        <f>V5312*N5312*O5312</f>
        <v/>
      </c>
      <c r="X5312" s="12">
        <f>IF(LEFT(I5312,2)="MV",2*N5312*IF(L5312="1/C",O5312,1),0)</f>
        <v/>
      </c>
      <c r="Y5312" s="12">
        <f>IF(OR(LEFT(K5312,4)="LVAX",LEFT(K5312,6)="MV15AX",LEFT(K5312,4)="CTAX",LEFT(K5312,2)="W|"),2*N5312*O5312,0)</f>
        <v/>
      </c>
      <c r="Z5312" s="12" t="inlineStr">
        <is>
          <t>VD 2.5 %</t>
        </is>
      </c>
      <c r="AA5312" s="12">
        <f>N5312*O5312</f>
        <v/>
      </c>
    </row>
    <row r="5313">
      <c r="A5313" s="12" t="inlineStr">
        <is>
          <t>I-P-0194</t>
        </is>
      </c>
      <c r="B5313" s="12" t="inlineStr">
        <is>
          <t>I</t>
        </is>
      </c>
      <c r="C5313" s="12" t="inlineStr">
        <is>
          <t>Modular / portable power</t>
        </is>
      </c>
      <c r="D5313" s="12" t="inlineStr">
        <is>
          <t>Motor 1 of 6, 22 kW</t>
        </is>
      </c>
      <c r="E5313" s="12" t="inlineStr"/>
      <c r="F5313" s="12" t="inlineStr">
        <is>
          <t>PCM: power control module</t>
        </is>
      </c>
      <c r="G5313" s="12" t="inlineStr">
        <is>
          <t>RICE-7</t>
        </is>
      </c>
      <c r="H5313" s="12" t="inlineStr">
        <is>
          <t>RICE engine-generator 7</t>
        </is>
      </c>
      <c r="I5313" s="12" t="inlineStr">
        <is>
          <t>LV 600 V</t>
        </is>
      </c>
      <c r="J5313" s="12" t="inlineStr">
        <is>
          <t>Type TC-ER 600 V 3/C Cu XHHW-2 + ground, PVC jacket</t>
        </is>
      </c>
      <c r="K5313" s="12" t="inlineStr">
        <is>
          <t>LV|3/C+G|8</t>
        </is>
      </c>
      <c r="L5313" s="12" t="inlineStr">
        <is>
          <t>3/C+G</t>
        </is>
      </c>
      <c r="M5313" s="12" t="inlineStr">
        <is>
          <t>8</t>
        </is>
      </c>
      <c r="N5313" s="12" t="n">
        <v>1</v>
      </c>
      <c r="O5313" s="12" t="n">
        <v>1</v>
      </c>
      <c r="P5313" s="12" t="n">
        <v>480</v>
      </c>
      <c r="Q5313" s="12" t="n">
        <v>22</v>
      </c>
      <c r="R5313" s="12" t="n">
        <v>31.1</v>
      </c>
      <c r="S5313" s="12" t="inlineStr">
        <is>
          <t>Tray</t>
        </is>
      </c>
      <c r="T5313" s="16" t="n">
        <v>0</v>
      </c>
      <c r="U5313" s="16" t="n">
        <v>189</v>
      </c>
      <c r="V5313" s="16">
        <f>ROUNDUP((T5313+U5313+2*'Read Me'!$B$13)*(1+'Read Me'!$B$12),-1)</f>
        <v/>
      </c>
      <c r="W5313" s="16">
        <f>V5313*N5313*O5313</f>
        <v/>
      </c>
      <c r="X5313" s="12">
        <f>IF(LEFT(I5313,2)="MV",2*N5313*IF(L5313="1/C",O5313,1),0)</f>
        <v/>
      </c>
      <c r="Y5313" s="12">
        <f>IF(OR(LEFT(K5313,4)="LVAX",LEFT(K5313,6)="MV15AX",LEFT(K5313,4)="CTAX",LEFT(K5313,2)="W|"),2*N5313*O5313,0)</f>
        <v/>
      </c>
      <c r="Z5313" s="12" t="inlineStr">
        <is>
          <t>VD 1.8 %</t>
        </is>
      </c>
      <c r="AA5313" s="12">
        <f>N5313*O5313</f>
        <v/>
      </c>
    </row>
    <row r="5314">
      <c r="A5314" s="12" t="inlineStr">
        <is>
          <t>I-P-0195</t>
        </is>
      </c>
      <c r="B5314" s="12" t="inlineStr">
        <is>
          <t>I</t>
        </is>
      </c>
      <c r="C5314" s="12" t="inlineStr">
        <is>
          <t>Modular / portable power</t>
        </is>
      </c>
      <c r="D5314" s="12" t="inlineStr">
        <is>
          <t>Motor 2 of 6, 22 kW</t>
        </is>
      </c>
      <c r="E5314" s="12" t="inlineStr"/>
      <c r="F5314" s="12" t="inlineStr">
        <is>
          <t>PCM: power control module</t>
        </is>
      </c>
      <c r="G5314" s="12" t="inlineStr">
        <is>
          <t>RICE-7</t>
        </is>
      </c>
      <c r="H5314" s="12" t="inlineStr">
        <is>
          <t>RICE engine-generator 7</t>
        </is>
      </c>
      <c r="I5314" s="12" t="inlineStr">
        <is>
          <t>LV 600 V</t>
        </is>
      </c>
      <c r="J5314" s="12" t="inlineStr">
        <is>
          <t>Type TC-ER 600 V 3/C Cu XHHW-2 + ground, PVC jacket</t>
        </is>
      </c>
      <c r="K5314" s="12" t="inlineStr">
        <is>
          <t>LV|3/C+G|8</t>
        </is>
      </c>
      <c r="L5314" s="12" t="inlineStr">
        <is>
          <t>3/C+G</t>
        </is>
      </c>
      <c r="M5314" s="12" t="inlineStr">
        <is>
          <t>8</t>
        </is>
      </c>
      <c r="N5314" s="12" t="n">
        <v>1</v>
      </c>
      <c r="O5314" s="12" t="n">
        <v>1</v>
      </c>
      <c r="P5314" s="12" t="n">
        <v>480</v>
      </c>
      <c r="Q5314" s="12" t="n">
        <v>22</v>
      </c>
      <c r="R5314" s="12" t="n">
        <v>31.1</v>
      </c>
      <c r="S5314" s="12" t="inlineStr">
        <is>
          <t>Tray</t>
        </is>
      </c>
      <c r="T5314" s="16" t="n">
        <v>0</v>
      </c>
      <c r="U5314" s="16" t="n">
        <v>189</v>
      </c>
      <c r="V5314" s="16">
        <f>ROUNDUP((T5314+U5314+2*'Read Me'!$B$13)*(1+'Read Me'!$B$12),-1)</f>
        <v/>
      </c>
      <c r="W5314" s="16">
        <f>V5314*N5314*O5314</f>
        <v/>
      </c>
      <c r="X5314" s="12">
        <f>IF(LEFT(I5314,2)="MV",2*N5314*IF(L5314="1/C",O5314,1),0)</f>
        <v/>
      </c>
      <c r="Y5314" s="12">
        <f>IF(OR(LEFT(K5314,4)="LVAX",LEFT(K5314,6)="MV15AX",LEFT(K5314,4)="CTAX",LEFT(K5314,2)="W|"),2*N5314*O5314,0)</f>
        <v/>
      </c>
      <c r="Z5314" s="12" t="inlineStr">
        <is>
          <t>VD 1.8 %</t>
        </is>
      </c>
      <c r="AA5314" s="12">
        <f>N5314*O5314</f>
        <v/>
      </c>
    </row>
    <row r="5315">
      <c r="A5315" s="12" t="inlineStr">
        <is>
          <t>I-P-0196</t>
        </is>
      </c>
      <c r="B5315" s="12" t="inlineStr">
        <is>
          <t>I</t>
        </is>
      </c>
      <c r="C5315" s="12" t="inlineStr">
        <is>
          <t>Modular / portable power</t>
        </is>
      </c>
      <c r="D5315" s="12" t="inlineStr">
        <is>
          <t>Motor 3 of 6, 22 kW</t>
        </is>
      </c>
      <c r="E5315" s="12" t="inlineStr"/>
      <c r="F5315" s="12" t="inlineStr">
        <is>
          <t>PCM: power control module</t>
        </is>
      </c>
      <c r="G5315" s="12" t="inlineStr">
        <is>
          <t>RICE-7</t>
        </is>
      </c>
      <c r="H5315" s="12" t="inlineStr">
        <is>
          <t>RICE engine-generator 7</t>
        </is>
      </c>
      <c r="I5315" s="12" t="inlineStr">
        <is>
          <t>LV 600 V</t>
        </is>
      </c>
      <c r="J5315" s="12" t="inlineStr">
        <is>
          <t>Type TC-ER 600 V 3/C Cu XHHW-2 + ground, PVC jacket</t>
        </is>
      </c>
      <c r="K5315" s="12" t="inlineStr">
        <is>
          <t>LV|3/C+G|8</t>
        </is>
      </c>
      <c r="L5315" s="12" t="inlineStr">
        <is>
          <t>3/C+G</t>
        </is>
      </c>
      <c r="M5315" s="12" t="inlineStr">
        <is>
          <t>8</t>
        </is>
      </c>
      <c r="N5315" s="12" t="n">
        <v>1</v>
      </c>
      <c r="O5315" s="12" t="n">
        <v>1</v>
      </c>
      <c r="P5315" s="12" t="n">
        <v>480</v>
      </c>
      <c r="Q5315" s="12" t="n">
        <v>22</v>
      </c>
      <c r="R5315" s="12" t="n">
        <v>31.1</v>
      </c>
      <c r="S5315" s="12" t="inlineStr">
        <is>
          <t>Tray</t>
        </is>
      </c>
      <c r="T5315" s="16" t="n">
        <v>0</v>
      </c>
      <c r="U5315" s="16" t="n">
        <v>189</v>
      </c>
      <c r="V5315" s="16">
        <f>ROUNDUP((T5315+U5315+2*'Read Me'!$B$13)*(1+'Read Me'!$B$12),-1)</f>
        <v/>
      </c>
      <c r="W5315" s="16">
        <f>V5315*N5315*O5315</f>
        <v/>
      </c>
      <c r="X5315" s="12">
        <f>IF(LEFT(I5315,2)="MV",2*N5315*IF(L5315="1/C",O5315,1),0)</f>
        <v/>
      </c>
      <c r="Y5315" s="12">
        <f>IF(OR(LEFT(K5315,4)="LVAX",LEFT(K5315,6)="MV15AX",LEFT(K5315,4)="CTAX",LEFT(K5315,2)="W|"),2*N5315*O5315,0)</f>
        <v/>
      </c>
      <c r="Z5315" s="12" t="inlineStr">
        <is>
          <t>VD 1.8 %</t>
        </is>
      </c>
      <c r="AA5315" s="12">
        <f>N5315*O5315</f>
        <v/>
      </c>
    </row>
    <row r="5316">
      <c r="A5316" s="12" t="inlineStr">
        <is>
          <t>I-P-0197</t>
        </is>
      </c>
      <c r="B5316" s="12" t="inlineStr">
        <is>
          <t>I</t>
        </is>
      </c>
      <c r="C5316" s="12" t="inlineStr">
        <is>
          <t>Modular / portable power</t>
        </is>
      </c>
      <c r="D5316" s="12" t="inlineStr">
        <is>
          <t>Motor 4 of 6, 22 kW</t>
        </is>
      </c>
      <c r="E5316" s="12" t="inlineStr"/>
      <c r="F5316" s="12" t="inlineStr">
        <is>
          <t>PCM: power control module</t>
        </is>
      </c>
      <c r="G5316" s="12" t="inlineStr">
        <is>
          <t>RICE-7</t>
        </is>
      </c>
      <c r="H5316" s="12" t="inlineStr">
        <is>
          <t>RICE engine-generator 7</t>
        </is>
      </c>
      <c r="I5316" s="12" t="inlineStr">
        <is>
          <t>LV 600 V</t>
        </is>
      </c>
      <c r="J5316" s="12" t="inlineStr">
        <is>
          <t>Type TC-ER 600 V 3/C Cu XHHW-2 + ground, PVC jacket</t>
        </is>
      </c>
      <c r="K5316" s="12" t="inlineStr">
        <is>
          <t>LV|3/C+G|8</t>
        </is>
      </c>
      <c r="L5316" s="12" t="inlineStr">
        <is>
          <t>3/C+G</t>
        </is>
      </c>
      <c r="M5316" s="12" t="inlineStr">
        <is>
          <t>8</t>
        </is>
      </c>
      <c r="N5316" s="12" t="n">
        <v>1</v>
      </c>
      <c r="O5316" s="12" t="n">
        <v>1</v>
      </c>
      <c r="P5316" s="12" t="n">
        <v>480</v>
      </c>
      <c r="Q5316" s="12" t="n">
        <v>22</v>
      </c>
      <c r="R5316" s="12" t="n">
        <v>31.1</v>
      </c>
      <c r="S5316" s="12" t="inlineStr">
        <is>
          <t>Tray</t>
        </is>
      </c>
      <c r="T5316" s="16" t="n">
        <v>0</v>
      </c>
      <c r="U5316" s="16" t="n">
        <v>189</v>
      </c>
      <c r="V5316" s="16">
        <f>ROUNDUP((T5316+U5316+2*'Read Me'!$B$13)*(1+'Read Me'!$B$12),-1)</f>
        <v/>
      </c>
      <c r="W5316" s="16">
        <f>V5316*N5316*O5316</f>
        <v/>
      </c>
      <c r="X5316" s="12">
        <f>IF(LEFT(I5316,2)="MV",2*N5316*IF(L5316="1/C",O5316,1),0)</f>
        <v/>
      </c>
      <c r="Y5316" s="12">
        <f>IF(OR(LEFT(K5316,4)="LVAX",LEFT(K5316,6)="MV15AX",LEFT(K5316,4)="CTAX",LEFT(K5316,2)="W|"),2*N5316*O5316,0)</f>
        <v/>
      </c>
      <c r="Z5316" s="12" t="inlineStr">
        <is>
          <t>VD 1.8 %</t>
        </is>
      </c>
      <c r="AA5316" s="12">
        <f>N5316*O5316</f>
        <v/>
      </c>
    </row>
    <row r="5317">
      <c r="A5317" s="12" t="inlineStr">
        <is>
          <t>I-P-0198</t>
        </is>
      </c>
      <c r="B5317" s="12" t="inlineStr">
        <is>
          <t>I</t>
        </is>
      </c>
      <c r="C5317" s="12" t="inlineStr">
        <is>
          <t>Modular / portable power</t>
        </is>
      </c>
      <c r="D5317" s="12" t="inlineStr">
        <is>
          <t>Motor 5 of 6, 22 kW</t>
        </is>
      </c>
      <c r="E5317" s="12" t="inlineStr"/>
      <c r="F5317" s="12" t="inlineStr">
        <is>
          <t>PCM: power control module</t>
        </is>
      </c>
      <c r="G5317" s="12" t="inlineStr">
        <is>
          <t>RICE-7</t>
        </is>
      </c>
      <c r="H5317" s="12" t="inlineStr">
        <is>
          <t>RICE engine-generator 7</t>
        </is>
      </c>
      <c r="I5317" s="12" t="inlineStr">
        <is>
          <t>LV 600 V</t>
        </is>
      </c>
      <c r="J5317" s="12" t="inlineStr">
        <is>
          <t>Type TC-ER 600 V 3/C Cu XHHW-2 + ground, PVC jacket</t>
        </is>
      </c>
      <c r="K5317" s="12" t="inlineStr">
        <is>
          <t>LV|3/C+G|8</t>
        </is>
      </c>
      <c r="L5317" s="12" t="inlineStr">
        <is>
          <t>3/C+G</t>
        </is>
      </c>
      <c r="M5317" s="12" t="inlineStr">
        <is>
          <t>8</t>
        </is>
      </c>
      <c r="N5317" s="12" t="n">
        <v>1</v>
      </c>
      <c r="O5317" s="12" t="n">
        <v>1</v>
      </c>
      <c r="P5317" s="12" t="n">
        <v>480</v>
      </c>
      <c r="Q5317" s="12" t="n">
        <v>22</v>
      </c>
      <c r="R5317" s="12" t="n">
        <v>31.1</v>
      </c>
      <c r="S5317" s="12" t="inlineStr">
        <is>
          <t>Tray</t>
        </is>
      </c>
      <c r="T5317" s="16" t="n">
        <v>0</v>
      </c>
      <c r="U5317" s="16" t="n">
        <v>189</v>
      </c>
      <c r="V5317" s="16">
        <f>ROUNDUP((T5317+U5317+2*'Read Me'!$B$13)*(1+'Read Me'!$B$12),-1)</f>
        <v/>
      </c>
      <c r="W5317" s="16">
        <f>V5317*N5317*O5317</f>
        <v/>
      </c>
      <c r="X5317" s="12">
        <f>IF(LEFT(I5317,2)="MV",2*N5317*IF(L5317="1/C",O5317,1),0)</f>
        <v/>
      </c>
      <c r="Y5317" s="12">
        <f>IF(OR(LEFT(K5317,4)="LVAX",LEFT(K5317,6)="MV15AX",LEFT(K5317,4)="CTAX",LEFT(K5317,2)="W|"),2*N5317*O5317,0)</f>
        <v/>
      </c>
      <c r="Z5317" s="12" t="inlineStr">
        <is>
          <t>VD 1.8 %</t>
        </is>
      </c>
      <c r="AA5317" s="12">
        <f>N5317*O5317</f>
        <v/>
      </c>
    </row>
    <row r="5318">
      <c r="A5318" s="12" t="inlineStr">
        <is>
          <t>I-P-0199</t>
        </is>
      </c>
      <c r="B5318" s="12" t="inlineStr">
        <is>
          <t>I</t>
        </is>
      </c>
      <c r="C5318" s="12" t="inlineStr">
        <is>
          <t>Modular / portable power</t>
        </is>
      </c>
      <c r="D5318" s="12" t="inlineStr">
        <is>
          <t>Motor 6 of 6, 22 kW</t>
        </is>
      </c>
      <c r="E5318" s="12" t="inlineStr"/>
      <c r="F5318" s="12" t="inlineStr">
        <is>
          <t>PCM: power control module</t>
        </is>
      </c>
      <c r="G5318" s="12" t="inlineStr">
        <is>
          <t>RICE-7</t>
        </is>
      </c>
      <c r="H5318" s="12" t="inlineStr">
        <is>
          <t>RICE engine-generator 7</t>
        </is>
      </c>
      <c r="I5318" s="12" t="inlineStr">
        <is>
          <t>LV 600 V</t>
        </is>
      </c>
      <c r="J5318" s="12" t="inlineStr">
        <is>
          <t>Type TC-ER 600 V 3/C Cu XHHW-2 + ground, PVC jacket</t>
        </is>
      </c>
      <c r="K5318" s="12" t="inlineStr">
        <is>
          <t>LV|3/C+G|8</t>
        </is>
      </c>
      <c r="L5318" s="12" t="inlineStr">
        <is>
          <t>3/C+G</t>
        </is>
      </c>
      <c r="M5318" s="12" t="inlineStr">
        <is>
          <t>8</t>
        </is>
      </c>
      <c r="N5318" s="12" t="n">
        <v>1</v>
      </c>
      <c r="O5318" s="12" t="n">
        <v>1</v>
      </c>
      <c r="P5318" s="12" t="n">
        <v>480</v>
      </c>
      <c r="Q5318" s="12" t="n">
        <v>22</v>
      </c>
      <c r="R5318" s="12" t="n">
        <v>31.1</v>
      </c>
      <c r="S5318" s="12" t="inlineStr">
        <is>
          <t>Tray</t>
        </is>
      </c>
      <c r="T5318" s="16" t="n">
        <v>0</v>
      </c>
      <c r="U5318" s="16" t="n">
        <v>189</v>
      </c>
      <c r="V5318" s="16">
        <f>ROUNDUP((T5318+U5318+2*'Read Me'!$B$13)*(1+'Read Me'!$B$12),-1)</f>
        <v/>
      </c>
      <c r="W5318" s="16">
        <f>V5318*N5318*O5318</f>
        <v/>
      </c>
      <c r="X5318" s="12">
        <f>IF(LEFT(I5318,2)="MV",2*N5318*IF(L5318="1/C",O5318,1),0)</f>
        <v/>
      </c>
      <c r="Y5318" s="12">
        <f>IF(OR(LEFT(K5318,4)="LVAX",LEFT(K5318,6)="MV15AX",LEFT(K5318,4)="CTAX",LEFT(K5318,2)="W|"),2*N5318*O5318,0)</f>
        <v/>
      </c>
      <c r="Z5318" s="12" t="inlineStr">
        <is>
          <t>VD 1.8 %</t>
        </is>
      </c>
      <c r="AA5318" s="12">
        <f>N5318*O5318</f>
        <v/>
      </c>
    </row>
    <row r="5319">
      <c r="A5319" s="12" t="inlineStr">
        <is>
          <t>I-P-0200</t>
        </is>
      </c>
      <c r="B5319" s="12" t="inlineStr">
        <is>
          <t>I</t>
        </is>
      </c>
      <c r="C5319" s="12" t="inlineStr">
        <is>
          <t>Modular / portable power</t>
        </is>
      </c>
      <c r="D5319" s="12" t="inlineStr">
        <is>
          <t>480 V welding receptacle 1</t>
        </is>
      </c>
      <c r="E5319" s="12" t="inlineStr"/>
      <c r="F5319" s="12" t="inlineStr">
        <is>
          <t>PCM: power control module</t>
        </is>
      </c>
      <c r="G5319" s="12" t="inlineStr">
        <is>
          <t>RICE-7</t>
        </is>
      </c>
      <c r="H5319" s="12" t="inlineStr">
        <is>
          <t>RICE engine-generator 7</t>
        </is>
      </c>
      <c r="I5319" s="12" t="inlineStr">
        <is>
          <t>LV 600 V</t>
        </is>
      </c>
      <c r="J5319" s="12" t="inlineStr">
        <is>
          <t>Type TC-ER 600 V 3/C Cu XHHW-2 + ground, PVC jacket</t>
        </is>
      </c>
      <c r="K5319" s="12" t="inlineStr">
        <is>
          <t>LV|3/C+G|2</t>
        </is>
      </c>
      <c r="L5319" s="12" t="inlineStr">
        <is>
          <t>3/C+G</t>
        </is>
      </c>
      <c r="M5319" s="12" t="inlineStr">
        <is>
          <t>2</t>
        </is>
      </c>
      <c r="N5319" s="12" t="n">
        <v>1</v>
      </c>
      <c r="O5319" s="12" t="n">
        <v>1</v>
      </c>
      <c r="P5319" s="12" t="n">
        <v>480</v>
      </c>
      <c r="Q5319" s="12" t="n">
        <v>60</v>
      </c>
      <c r="R5319" s="12" t="n">
        <v>76</v>
      </c>
      <c r="S5319" s="12" t="inlineStr">
        <is>
          <t>Tray</t>
        </is>
      </c>
      <c r="T5319" s="16" t="n">
        <v>0</v>
      </c>
      <c r="U5319" s="16" t="n">
        <v>189</v>
      </c>
      <c r="V5319" s="16">
        <f>ROUNDUP((T5319+U5319+2*'Read Me'!$B$13)*(1+'Read Me'!$B$12),-1)</f>
        <v/>
      </c>
      <c r="W5319" s="16">
        <f>V5319*N5319*O5319</f>
        <v/>
      </c>
      <c r="X5319" s="12">
        <f>IF(LEFT(I5319,2)="MV",2*N5319*IF(L5319="1/C",O5319,1),0)</f>
        <v/>
      </c>
      <c r="Y5319" s="12">
        <f>IF(OR(LEFT(K5319,4)="LVAX",LEFT(K5319,6)="MV15AX",LEFT(K5319,4)="CTAX",LEFT(K5319,2)="W|"),2*N5319*O5319,0)</f>
        <v/>
      </c>
      <c r="Z5319" s="12" t="inlineStr">
        <is>
          <t>VD 1.1 %</t>
        </is>
      </c>
      <c r="AA5319" s="12">
        <f>N5319*O5319</f>
        <v/>
      </c>
    </row>
    <row r="5320">
      <c r="A5320" s="12" t="inlineStr">
        <is>
          <t>I-P-0201</t>
        </is>
      </c>
      <c r="B5320" s="12" t="inlineStr">
        <is>
          <t>I</t>
        </is>
      </c>
      <c r="C5320" s="12" t="inlineStr">
        <is>
          <t>Modular / portable power</t>
        </is>
      </c>
      <c r="D5320" s="12" t="inlineStr">
        <is>
          <t>480 V welding receptacle 2</t>
        </is>
      </c>
      <c r="E5320" s="12" t="inlineStr"/>
      <c r="F5320" s="12" t="inlineStr">
        <is>
          <t>PCM: power control module</t>
        </is>
      </c>
      <c r="G5320" s="12" t="inlineStr">
        <is>
          <t>RICE-7</t>
        </is>
      </c>
      <c r="H5320" s="12" t="inlineStr">
        <is>
          <t>RICE engine-generator 7</t>
        </is>
      </c>
      <c r="I5320" s="12" t="inlineStr">
        <is>
          <t>LV 600 V</t>
        </is>
      </c>
      <c r="J5320" s="12" t="inlineStr">
        <is>
          <t>Type TC-ER 600 V 3/C Cu XHHW-2 + ground, PVC jacket</t>
        </is>
      </c>
      <c r="K5320" s="12" t="inlineStr">
        <is>
          <t>LV|3/C+G|2</t>
        </is>
      </c>
      <c r="L5320" s="12" t="inlineStr">
        <is>
          <t>3/C+G</t>
        </is>
      </c>
      <c r="M5320" s="12" t="inlineStr">
        <is>
          <t>2</t>
        </is>
      </c>
      <c r="N5320" s="12" t="n">
        <v>1</v>
      </c>
      <c r="O5320" s="12" t="n">
        <v>1</v>
      </c>
      <c r="P5320" s="12" t="n">
        <v>480</v>
      </c>
      <c r="Q5320" s="12" t="n">
        <v>60</v>
      </c>
      <c r="R5320" s="12" t="n">
        <v>76</v>
      </c>
      <c r="S5320" s="12" t="inlineStr">
        <is>
          <t>Tray</t>
        </is>
      </c>
      <c r="T5320" s="16" t="n">
        <v>0</v>
      </c>
      <c r="U5320" s="16" t="n">
        <v>189</v>
      </c>
      <c r="V5320" s="16">
        <f>ROUNDUP((T5320+U5320+2*'Read Me'!$B$13)*(1+'Read Me'!$B$12),-1)</f>
        <v/>
      </c>
      <c r="W5320" s="16">
        <f>V5320*N5320*O5320</f>
        <v/>
      </c>
      <c r="X5320" s="12">
        <f>IF(LEFT(I5320,2)="MV",2*N5320*IF(L5320="1/C",O5320,1),0)</f>
        <v/>
      </c>
      <c r="Y5320" s="12">
        <f>IF(OR(LEFT(K5320,4)="LVAX",LEFT(K5320,6)="MV15AX",LEFT(K5320,4)="CTAX",LEFT(K5320,2)="W|"),2*N5320*O5320,0)</f>
        <v/>
      </c>
      <c r="Z5320" s="12" t="inlineStr">
        <is>
          <t>VD 1.1 %</t>
        </is>
      </c>
      <c r="AA5320" s="12">
        <f>N5320*O5320</f>
        <v/>
      </c>
    </row>
    <row r="5321">
      <c r="A5321" s="12" t="inlineStr">
        <is>
          <t>I-P-0202</t>
        </is>
      </c>
      <c r="B5321" s="12" t="inlineStr">
        <is>
          <t>I</t>
        </is>
      </c>
      <c r="C5321" s="12" t="inlineStr">
        <is>
          <t>Modular / portable power</t>
        </is>
      </c>
      <c r="D5321" s="12" t="inlineStr">
        <is>
          <t>480 V welding receptacle 3</t>
        </is>
      </c>
      <c r="E5321" s="12" t="inlineStr"/>
      <c r="F5321" s="12" t="inlineStr">
        <is>
          <t>PCM: power control module</t>
        </is>
      </c>
      <c r="G5321" s="12" t="inlineStr">
        <is>
          <t>RICE-7</t>
        </is>
      </c>
      <c r="H5321" s="12" t="inlineStr">
        <is>
          <t>RICE engine-generator 7</t>
        </is>
      </c>
      <c r="I5321" s="12" t="inlineStr">
        <is>
          <t>LV 600 V</t>
        </is>
      </c>
      <c r="J5321" s="12" t="inlineStr">
        <is>
          <t>Type TC-ER 600 V 3/C Cu XHHW-2 + ground, PVC jacket</t>
        </is>
      </c>
      <c r="K5321" s="12" t="inlineStr">
        <is>
          <t>LV|3/C+G|2</t>
        </is>
      </c>
      <c r="L5321" s="12" t="inlineStr">
        <is>
          <t>3/C+G</t>
        </is>
      </c>
      <c r="M5321" s="12" t="inlineStr">
        <is>
          <t>2</t>
        </is>
      </c>
      <c r="N5321" s="12" t="n">
        <v>1</v>
      </c>
      <c r="O5321" s="12" t="n">
        <v>1</v>
      </c>
      <c r="P5321" s="12" t="n">
        <v>480</v>
      </c>
      <c r="Q5321" s="12" t="n">
        <v>60</v>
      </c>
      <c r="R5321" s="12" t="n">
        <v>76</v>
      </c>
      <c r="S5321" s="12" t="inlineStr">
        <is>
          <t>Tray</t>
        </is>
      </c>
      <c r="T5321" s="16" t="n">
        <v>0</v>
      </c>
      <c r="U5321" s="16" t="n">
        <v>189</v>
      </c>
      <c r="V5321" s="16">
        <f>ROUNDUP((T5321+U5321+2*'Read Me'!$B$13)*(1+'Read Me'!$B$12),-1)</f>
        <v/>
      </c>
      <c r="W5321" s="16">
        <f>V5321*N5321*O5321</f>
        <v/>
      </c>
      <c r="X5321" s="12">
        <f>IF(LEFT(I5321,2)="MV",2*N5321*IF(L5321="1/C",O5321,1),0)</f>
        <v/>
      </c>
      <c r="Y5321" s="12">
        <f>IF(OR(LEFT(K5321,4)="LVAX",LEFT(K5321,6)="MV15AX",LEFT(K5321,4)="CTAX",LEFT(K5321,2)="W|"),2*N5321*O5321,0)</f>
        <v/>
      </c>
      <c r="Z5321" s="12" t="inlineStr">
        <is>
          <t>VD 1.1 %</t>
        </is>
      </c>
      <c r="AA5321" s="12">
        <f>N5321*O5321</f>
        <v/>
      </c>
    </row>
    <row r="5322">
      <c r="A5322" s="12" t="inlineStr">
        <is>
          <t>I-P-0203</t>
        </is>
      </c>
      <c r="B5322" s="12" t="inlineStr">
        <is>
          <t>I</t>
        </is>
      </c>
      <c r="C5322" s="12" t="inlineStr">
        <is>
          <t>Modular / portable power</t>
        </is>
      </c>
      <c r="D5322" s="12" t="inlineStr">
        <is>
          <t>480 V welding receptacle 4</t>
        </is>
      </c>
      <c r="E5322" s="12" t="inlineStr"/>
      <c r="F5322" s="12" t="inlineStr">
        <is>
          <t>PCM: power control module</t>
        </is>
      </c>
      <c r="G5322" s="12" t="inlineStr">
        <is>
          <t>RICE-7</t>
        </is>
      </c>
      <c r="H5322" s="12" t="inlineStr">
        <is>
          <t>RICE engine-generator 7</t>
        </is>
      </c>
      <c r="I5322" s="12" t="inlineStr">
        <is>
          <t>LV 600 V</t>
        </is>
      </c>
      <c r="J5322" s="12" t="inlineStr">
        <is>
          <t>Type TC-ER 600 V 3/C Cu XHHW-2 + ground, PVC jacket</t>
        </is>
      </c>
      <c r="K5322" s="12" t="inlineStr">
        <is>
          <t>LV|3/C+G|2</t>
        </is>
      </c>
      <c r="L5322" s="12" t="inlineStr">
        <is>
          <t>3/C+G</t>
        </is>
      </c>
      <c r="M5322" s="12" t="inlineStr">
        <is>
          <t>2</t>
        </is>
      </c>
      <c r="N5322" s="12" t="n">
        <v>1</v>
      </c>
      <c r="O5322" s="12" t="n">
        <v>1</v>
      </c>
      <c r="P5322" s="12" t="n">
        <v>480</v>
      </c>
      <c r="Q5322" s="12" t="n">
        <v>60</v>
      </c>
      <c r="R5322" s="12" t="n">
        <v>76</v>
      </c>
      <c r="S5322" s="12" t="inlineStr">
        <is>
          <t>Tray</t>
        </is>
      </c>
      <c r="T5322" s="16" t="n">
        <v>0</v>
      </c>
      <c r="U5322" s="16" t="n">
        <v>189</v>
      </c>
      <c r="V5322" s="16">
        <f>ROUNDUP((T5322+U5322+2*'Read Me'!$B$13)*(1+'Read Me'!$B$12),-1)</f>
        <v/>
      </c>
      <c r="W5322" s="16">
        <f>V5322*N5322*O5322</f>
        <v/>
      </c>
      <c r="X5322" s="12">
        <f>IF(LEFT(I5322,2)="MV",2*N5322*IF(L5322="1/C",O5322,1),0)</f>
        <v/>
      </c>
      <c r="Y5322" s="12">
        <f>IF(OR(LEFT(K5322,4)="LVAX",LEFT(K5322,6)="MV15AX",LEFT(K5322,4)="CTAX",LEFT(K5322,2)="W|"),2*N5322*O5322,0)</f>
        <v/>
      </c>
      <c r="Z5322" s="12" t="inlineStr">
        <is>
          <t>VD 1.1 %</t>
        </is>
      </c>
      <c r="AA5322" s="12">
        <f>N5322*O5322</f>
        <v/>
      </c>
    </row>
    <row r="5323">
      <c r="A5323" s="12" t="inlineStr">
        <is>
          <t>I-P-0204</t>
        </is>
      </c>
      <c r="B5323" s="12" t="inlineStr">
        <is>
          <t>I</t>
        </is>
      </c>
      <c r="C5323" s="12" t="inlineStr">
        <is>
          <t>Modular / portable power</t>
        </is>
      </c>
      <c r="D5323" s="12" t="inlineStr">
        <is>
          <t>Motor 1 of 6, 22 kW</t>
        </is>
      </c>
      <c r="E5323" s="12" t="inlineStr"/>
      <c r="F5323" s="12" t="inlineStr">
        <is>
          <t>PCM: power control module</t>
        </is>
      </c>
      <c r="G5323" s="12" t="inlineStr">
        <is>
          <t>RICE-8</t>
        </is>
      </c>
      <c r="H5323" s="12" t="inlineStr">
        <is>
          <t>RICE engine-generator 8</t>
        </is>
      </c>
      <c r="I5323" s="12" t="inlineStr">
        <is>
          <t>LV 600 V</t>
        </is>
      </c>
      <c r="J5323" s="12" t="inlineStr">
        <is>
          <t>Type TC-ER 600 V 3/C Cu XHHW-2 + ground, PVC jacket</t>
        </is>
      </c>
      <c r="K5323" s="12" t="inlineStr">
        <is>
          <t>LV|3/C+G|8</t>
        </is>
      </c>
      <c r="L5323" s="12" t="inlineStr">
        <is>
          <t>3/C+G</t>
        </is>
      </c>
      <c r="M5323" s="12" t="inlineStr">
        <is>
          <t>8</t>
        </is>
      </c>
      <c r="N5323" s="12" t="n">
        <v>1</v>
      </c>
      <c r="O5323" s="12" t="n">
        <v>1</v>
      </c>
      <c r="P5323" s="12" t="n">
        <v>480</v>
      </c>
      <c r="Q5323" s="12" t="n">
        <v>22</v>
      </c>
      <c r="R5323" s="12" t="n">
        <v>31.1</v>
      </c>
      <c r="S5323" s="12" t="inlineStr">
        <is>
          <t>Tray</t>
        </is>
      </c>
      <c r="T5323" s="16" t="n">
        <v>0</v>
      </c>
      <c r="U5323" s="16" t="n">
        <v>161</v>
      </c>
      <c r="V5323" s="16">
        <f>ROUNDUP((T5323+U5323+2*'Read Me'!$B$13)*(1+'Read Me'!$B$12),-1)</f>
        <v/>
      </c>
      <c r="W5323" s="16">
        <f>V5323*N5323*O5323</f>
        <v/>
      </c>
      <c r="X5323" s="12">
        <f>IF(LEFT(I5323,2)="MV",2*N5323*IF(L5323="1/C",O5323,1),0)</f>
        <v/>
      </c>
      <c r="Y5323" s="12">
        <f>IF(OR(LEFT(K5323,4)="LVAX",LEFT(K5323,6)="MV15AX",LEFT(K5323,4)="CTAX",LEFT(K5323,2)="W|"),2*N5323*O5323,0)</f>
        <v/>
      </c>
      <c r="Z5323" s="12" t="inlineStr">
        <is>
          <t>VD 1.5 %</t>
        </is>
      </c>
      <c r="AA5323" s="12">
        <f>N5323*O5323</f>
        <v/>
      </c>
    </row>
    <row r="5324">
      <c r="A5324" s="12" t="inlineStr">
        <is>
          <t>I-P-0205</t>
        </is>
      </c>
      <c r="B5324" s="12" t="inlineStr">
        <is>
          <t>I</t>
        </is>
      </c>
      <c r="C5324" s="12" t="inlineStr">
        <is>
          <t>Modular / portable power</t>
        </is>
      </c>
      <c r="D5324" s="12" t="inlineStr">
        <is>
          <t>Motor 2 of 6, 22 kW</t>
        </is>
      </c>
      <c r="E5324" s="12" t="inlineStr"/>
      <c r="F5324" s="12" t="inlineStr">
        <is>
          <t>PCM: power control module</t>
        </is>
      </c>
      <c r="G5324" s="12" t="inlineStr">
        <is>
          <t>RICE-8</t>
        </is>
      </c>
      <c r="H5324" s="12" t="inlineStr">
        <is>
          <t>RICE engine-generator 8</t>
        </is>
      </c>
      <c r="I5324" s="12" t="inlineStr">
        <is>
          <t>LV 600 V</t>
        </is>
      </c>
      <c r="J5324" s="12" t="inlineStr">
        <is>
          <t>Type TC-ER 600 V 3/C Cu XHHW-2 + ground, PVC jacket</t>
        </is>
      </c>
      <c r="K5324" s="12" t="inlineStr">
        <is>
          <t>LV|3/C+G|8</t>
        </is>
      </c>
      <c r="L5324" s="12" t="inlineStr">
        <is>
          <t>3/C+G</t>
        </is>
      </c>
      <c r="M5324" s="12" t="inlineStr">
        <is>
          <t>8</t>
        </is>
      </c>
      <c r="N5324" s="12" t="n">
        <v>1</v>
      </c>
      <c r="O5324" s="12" t="n">
        <v>1</v>
      </c>
      <c r="P5324" s="12" t="n">
        <v>480</v>
      </c>
      <c r="Q5324" s="12" t="n">
        <v>22</v>
      </c>
      <c r="R5324" s="12" t="n">
        <v>31.1</v>
      </c>
      <c r="S5324" s="12" t="inlineStr">
        <is>
          <t>Tray</t>
        </is>
      </c>
      <c r="T5324" s="16" t="n">
        <v>0</v>
      </c>
      <c r="U5324" s="16" t="n">
        <v>161</v>
      </c>
      <c r="V5324" s="16">
        <f>ROUNDUP((T5324+U5324+2*'Read Me'!$B$13)*(1+'Read Me'!$B$12),-1)</f>
        <v/>
      </c>
      <c r="W5324" s="16">
        <f>V5324*N5324*O5324</f>
        <v/>
      </c>
      <c r="X5324" s="12">
        <f>IF(LEFT(I5324,2)="MV",2*N5324*IF(L5324="1/C",O5324,1),0)</f>
        <v/>
      </c>
      <c r="Y5324" s="12">
        <f>IF(OR(LEFT(K5324,4)="LVAX",LEFT(K5324,6)="MV15AX",LEFT(K5324,4)="CTAX",LEFT(K5324,2)="W|"),2*N5324*O5324,0)</f>
        <v/>
      </c>
      <c r="Z5324" s="12" t="inlineStr">
        <is>
          <t>VD 1.5 %</t>
        </is>
      </c>
      <c r="AA5324" s="12">
        <f>N5324*O5324</f>
        <v/>
      </c>
    </row>
    <row r="5325">
      <c r="A5325" s="12" t="inlineStr">
        <is>
          <t>I-P-0206</t>
        </is>
      </c>
      <c r="B5325" s="12" t="inlineStr">
        <is>
          <t>I</t>
        </is>
      </c>
      <c r="C5325" s="12" t="inlineStr">
        <is>
          <t>Modular / portable power</t>
        </is>
      </c>
      <c r="D5325" s="12" t="inlineStr">
        <is>
          <t>Motor 3 of 6, 22 kW</t>
        </is>
      </c>
      <c r="E5325" s="12" t="inlineStr"/>
      <c r="F5325" s="12" t="inlineStr">
        <is>
          <t>PCM: power control module</t>
        </is>
      </c>
      <c r="G5325" s="12" t="inlineStr">
        <is>
          <t>RICE-8</t>
        </is>
      </c>
      <c r="H5325" s="12" t="inlineStr">
        <is>
          <t>RICE engine-generator 8</t>
        </is>
      </c>
      <c r="I5325" s="12" t="inlineStr">
        <is>
          <t>LV 600 V</t>
        </is>
      </c>
      <c r="J5325" s="12" t="inlineStr">
        <is>
          <t>Type TC-ER 600 V 3/C Cu XHHW-2 + ground, PVC jacket</t>
        </is>
      </c>
      <c r="K5325" s="12" t="inlineStr">
        <is>
          <t>LV|3/C+G|8</t>
        </is>
      </c>
      <c r="L5325" s="12" t="inlineStr">
        <is>
          <t>3/C+G</t>
        </is>
      </c>
      <c r="M5325" s="12" t="inlineStr">
        <is>
          <t>8</t>
        </is>
      </c>
      <c r="N5325" s="12" t="n">
        <v>1</v>
      </c>
      <c r="O5325" s="12" t="n">
        <v>1</v>
      </c>
      <c r="P5325" s="12" t="n">
        <v>480</v>
      </c>
      <c r="Q5325" s="12" t="n">
        <v>22</v>
      </c>
      <c r="R5325" s="12" t="n">
        <v>31.1</v>
      </c>
      <c r="S5325" s="12" t="inlineStr">
        <is>
          <t>Tray</t>
        </is>
      </c>
      <c r="T5325" s="16" t="n">
        <v>0</v>
      </c>
      <c r="U5325" s="16" t="n">
        <v>161</v>
      </c>
      <c r="V5325" s="16">
        <f>ROUNDUP((T5325+U5325+2*'Read Me'!$B$13)*(1+'Read Me'!$B$12),-1)</f>
        <v/>
      </c>
      <c r="W5325" s="16">
        <f>V5325*N5325*O5325</f>
        <v/>
      </c>
      <c r="X5325" s="12">
        <f>IF(LEFT(I5325,2)="MV",2*N5325*IF(L5325="1/C",O5325,1),0)</f>
        <v/>
      </c>
      <c r="Y5325" s="12">
        <f>IF(OR(LEFT(K5325,4)="LVAX",LEFT(K5325,6)="MV15AX",LEFT(K5325,4)="CTAX",LEFT(K5325,2)="W|"),2*N5325*O5325,0)</f>
        <v/>
      </c>
      <c r="Z5325" s="12" t="inlineStr">
        <is>
          <t>VD 1.5 %</t>
        </is>
      </c>
      <c r="AA5325" s="12">
        <f>N5325*O5325</f>
        <v/>
      </c>
    </row>
    <row r="5326">
      <c r="A5326" s="12" t="inlineStr">
        <is>
          <t>I-P-0207</t>
        </is>
      </c>
      <c r="B5326" s="12" t="inlineStr">
        <is>
          <t>I</t>
        </is>
      </c>
      <c r="C5326" s="12" t="inlineStr">
        <is>
          <t>Modular / portable power</t>
        </is>
      </c>
      <c r="D5326" s="12" t="inlineStr">
        <is>
          <t>Motor 4 of 6, 22 kW</t>
        </is>
      </c>
      <c r="E5326" s="12" t="inlineStr"/>
      <c r="F5326" s="12" t="inlineStr">
        <is>
          <t>PCM: power control module</t>
        </is>
      </c>
      <c r="G5326" s="12" t="inlineStr">
        <is>
          <t>RICE-8</t>
        </is>
      </c>
      <c r="H5326" s="12" t="inlineStr">
        <is>
          <t>RICE engine-generator 8</t>
        </is>
      </c>
      <c r="I5326" s="12" t="inlineStr">
        <is>
          <t>LV 600 V</t>
        </is>
      </c>
      <c r="J5326" s="12" t="inlineStr">
        <is>
          <t>Type TC-ER 600 V 3/C Cu XHHW-2 + ground, PVC jacket</t>
        </is>
      </c>
      <c r="K5326" s="12" t="inlineStr">
        <is>
          <t>LV|3/C+G|8</t>
        </is>
      </c>
      <c r="L5326" s="12" t="inlineStr">
        <is>
          <t>3/C+G</t>
        </is>
      </c>
      <c r="M5326" s="12" t="inlineStr">
        <is>
          <t>8</t>
        </is>
      </c>
      <c r="N5326" s="12" t="n">
        <v>1</v>
      </c>
      <c r="O5326" s="12" t="n">
        <v>1</v>
      </c>
      <c r="P5326" s="12" t="n">
        <v>480</v>
      </c>
      <c r="Q5326" s="12" t="n">
        <v>22</v>
      </c>
      <c r="R5326" s="12" t="n">
        <v>31.1</v>
      </c>
      <c r="S5326" s="12" t="inlineStr">
        <is>
          <t>Tray</t>
        </is>
      </c>
      <c r="T5326" s="16" t="n">
        <v>0</v>
      </c>
      <c r="U5326" s="16" t="n">
        <v>161</v>
      </c>
      <c r="V5326" s="16">
        <f>ROUNDUP((T5326+U5326+2*'Read Me'!$B$13)*(1+'Read Me'!$B$12),-1)</f>
        <v/>
      </c>
      <c r="W5326" s="16">
        <f>V5326*N5326*O5326</f>
        <v/>
      </c>
      <c r="X5326" s="12">
        <f>IF(LEFT(I5326,2)="MV",2*N5326*IF(L5326="1/C",O5326,1),0)</f>
        <v/>
      </c>
      <c r="Y5326" s="12">
        <f>IF(OR(LEFT(K5326,4)="LVAX",LEFT(K5326,6)="MV15AX",LEFT(K5326,4)="CTAX",LEFT(K5326,2)="W|"),2*N5326*O5326,0)</f>
        <v/>
      </c>
      <c r="Z5326" s="12" t="inlineStr">
        <is>
          <t>VD 1.5 %</t>
        </is>
      </c>
      <c r="AA5326" s="12">
        <f>N5326*O5326</f>
        <v/>
      </c>
    </row>
    <row r="5327">
      <c r="A5327" s="12" t="inlineStr">
        <is>
          <t>I-P-0208</t>
        </is>
      </c>
      <c r="B5327" s="12" t="inlineStr">
        <is>
          <t>I</t>
        </is>
      </c>
      <c r="C5327" s="12" t="inlineStr">
        <is>
          <t>Modular / portable power</t>
        </is>
      </c>
      <c r="D5327" s="12" t="inlineStr">
        <is>
          <t>Motor 5 of 6, 22 kW</t>
        </is>
      </c>
      <c r="E5327" s="12" t="inlineStr"/>
      <c r="F5327" s="12" t="inlineStr">
        <is>
          <t>PCM: power control module</t>
        </is>
      </c>
      <c r="G5327" s="12" t="inlineStr">
        <is>
          <t>RICE-8</t>
        </is>
      </c>
      <c r="H5327" s="12" t="inlineStr">
        <is>
          <t>RICE engine-generator 8</t>
        </is>
      </c>
      <c r="I5327" s="12" t="inlineStr">
        <is>
          <t>LV 600 V</t>
        </is>
      </c>
      <c r="J5327" s="12" t="inlineStr">
        <is>
          <t>Type TC-ER 600 V 3/C Cu XHHW-2 + ground, PVC jacket</t>
        </is>
      </c>
      <c r="K5327" s="12" t="inlineStr">
        <is>
          <t>LV|3/C+G|8</t>
        </is>
      </c>
      <c r="L5327" s="12" t="inlineStr">
        <is>
          <t>3/C+G</t>
        </is>
      </c>
      <c r="M5327" s="12" t="inlineStr">
        <is>
          <t>8</t>
        </is>
      </c>
      <c r="N5327" s="12" t="n">
        <v>1</v>
      </c>
      <c r="O5327" s="12" t="n">
        <v>1</v>
      </c>
      <c r="P5327" s="12" t="n">
        <v>480</v>
      </c>
      <c r="Q5327" s="12" t="n">
        <v>22</v>
      </c>
      <c r="R5327" s="12" t="n">
        <v>31.1</v>
      </c>
      <c r="S5327" s="12" t="inlineStr">
        <is>
          <t>Tray</t>
        </is>
      </c>
      <c r="T5327" s="16" t="n">
        <v>0</v>
      </c>
      <c r="U5327" s="16" t="n">
        <v>161</v>
      </c>
      <c r="V5327" s="16">
        <f>ROUNDUP((T5327+U5327+2*'Read Me'!$B$13)*(1+'Read Me'!$B$12),-1)</f>
        <v/>
      </c>
      <c r="W5327" s="16">
        <f>V5327*N5327*O5327</f>
        <v/>
      </c>
      <c r="X5327" s="12">
        <f>IF(LEFT(I5327,2)="MV",2*N5327*IF(L5327="1/C",O5327,1),0)</f>
        <v/>
      </c>
      <c r="Y5327" s="12">
        <f>IF(OR(LEFT(K5327,4)="LVAX",LEFT(K5327,6)="MV15AX",LEFT(K5327,4)="CTAX",LEFT(K5327,2)="W|"),2*N5327*O5327,0)</f>
        <v/>
      </c>
      <c r="Z5327" s="12" t="inlineStr">
        <is>
          <t>VD 1.5 %</t>
        </is>
      </c>
      <c r="AA5327" s="12">
        <f>N5327*O5327</f>
        <v/>
      </c>
    </row>
    <row r="5328">
      <c r="A5328" s="12" t="inlineStr">
        <is>
          <t>I-P-0209</t>
        </is>
      </c>
      <c r="B5328" s="12" t="inlineStr">
        <is>
          <t>I</t>
        </is>
      </c>
      <c r="C5328" s="12" t="inlineStr">
        <is>
          <t>Modular / portable power</t>
        </is>
      </c>
      <c r="D5328" s="12" t="inlineStr">
        <is>
          <t>Motor 6 of 6, 22 kW</t>
        </is>
      </c>
      <c r="E5328" s="12" t="inlineStr"/>
      <c r="F5328" s="12" t="inlineStr">
        <is>
          <t>PCM: power control module</t>
        </is>
      </c>
      <c r="G5328" s="12" t="inlineStr">
        <is>
          <t>RICE-8</t>
        </is>
      </c>
      <c r="H5328" s="12" t="inlineStr">
        <is>
          <t>RICE engine-generator 8</t>
        </is>
      </c>
      <c r="I5328" s="12" t="inlineStr">
        <is>
          <t>LV 600 V</t>
        </is>
      </c>
      <c r="J5328" s="12" t="inlineStr">
        <is>
          <t>Type TC-ER 600 V 3/C Cu XHHW-2 + ground, PVC jacket</t>
        </is>
      </c>
      <c r="K5328" s="12" t="inlineStr">
        <is>
          <t>LV|3/C+G|8</t>
        </is>
      </c>
      <c r="L5328" s="12" t="inlineStr">
        <is>
          <t>3/C+G</t>
        </is>
      </c>
      <c r="M5328" s="12" t="inlineStr">
        <is>
          <t>8</t>
        </is>
      </c>
      <c r="N5328" s="12" t="n">
        <v>1</v>
      </c>
      <c r="O5328" s="12" t="n">
        <v>1</v>
      </c>
      <c r="P5328" s="12" t="n">
        <v>480</v>
      </c>
      <c r="Q5328" s="12" t="n">
        <v>22</v>
      </c>
      <c r="R5328" s="12" t="n">
        <v>31.1</v>
      </c>
      <c r="S5328" s="12" t="inlineStr">
        <is>
          <t>Tray</t>
        </is>
      </c>
      <c r="T5328" s="16" t="n">
        <v>0</v>
      </c>
      <c r="U5328" s="16" t="n">
        <v>161</v>
      </c>
      <c r="V5328" s="16">
        <f>ROUNDUP((T5328+U5328+2*'Read Me'!$B$13)*(1+'Read Me'!$B$12),-1)</f>
        <v/>
      </c>
      <c r="W5328" s="16">
        <f>V5328*N5328*O5328</f>
        <v/>
      </c>
      <c r="X5328" s="12">
        <f>IF(LEFT(I5328,2)="MV",2*N5328*IF(L5328="1/C",O5328,1),0)</f>
        <v/>
      </c>
      <c r="Y5328" s="12">
        <f>IF(OR(LEFT(K5328,4)="LVAX",LEFT(K5328,6)="MV15AX",LEFT(K5328,4)="CTAX",LEFT(K5328,2)="W|"),2*N5328*O5328,0)</f>
        <v/>
      </c>
      <c r="Z5328" s="12" t="inlineStr">
        <is>
          <t>VD 1.5 %</t>
        </is>
      </c>
      <c r="AA5328" s="12">
        <f>N5328*O5328</f>
        <v/>
      </c>
    </row>
    <row r="5329">
      <c r="A5329" s="12" t="inlineStr">
        <is>
          <t>I-P-0210</t>
        </is>
      </c>
      <c r="B5329" s="12" t="inlineStr">
        <is>
          <t>I</t>
        </is>
      </c>
      <c r="C5329" s="12" t="inlineStr">
        <is>
          <t>Modular / portable power</t>
        </is>
      </c>
      <c r="D5329" s="12" t="inlineStr">
        <is>
          <t>480 V welding receptacle 1</t>
        </is>
      </c>
      <c r="E5329" s="12" t="inlineStr"/>
      <c r="F5329" s="12" t="inlineStr">
        <is>
          <t>PCM: power control module</t>
        </is>
      </c>
      <c r="G5329" s="12" t="inlineStr">
        <is>
          <t>RICE-8</t>
        </is>
      </c>
      <c r="H5329" s="12" t="inlineStr">
        <is>
          <t>RICE engine-generator 8</t>
        </is>
      </c>
      <c r="I5329" s="12" t="inlineStr">
        <is>
          <t>LV 600 V</t>
        </is>
      </c>
      <c r="J5329" s="12" t="inlineStr">
        <is>
          <t>Type TC-ER 600 V 3/C Cu XHHW-2 + ground, PVC jacket</t>
        </is>
      </c>
      <c r="K5329" s="12" t="inlineStr">
        <is>
          <t>LV|3/C+G|2</t>
        </is>
      </c>
      <c r="L5329" s="12" t="inlineStr">
        <is>
          <t>3/C+G</t>
        </is>
      </c>
      <c r="M5329" s="12" t="inlineStr">
        <is>
          <t>2</t>
        </is>
      </c>
      <c r="N5329" s="12" t="n">
        <v>1</v>
      </c>
      <c r="O5329" s="12" t="n">
        <v>1</v>
      </c>
      <c r="P5329" s="12" t="n">
        <v>480</v>
      </c>
      <c r="Q5329" s="12" t="n">
        <v>60</v>
      </c>
      <c r="R5329" s="12" t="n">
        <v>76</v>
      </c>
      <c r="S5329" s="12" t="inlineStr">
        <is>
          <t>Tray</t>
        </is>
      </c>
      <c r="T5329" s="16" t="n">
        <v>0</v>
      </c>
      <c r="U5329" s="16" t="n">
        <v>161</v>
      </c>
      <c r="V5329" s="16">
        <f>ROUNDUP((T5329+U5329+2*'Read Me'!$B$13)*(1+'Read Me'!$B$12),-1)</f>
        <v/>
      </c>
      <c r="W5329" s="16">
        <f>V5329*N5329*O5329</f>
        <v/>
      </c>
      <c r="X5329" s="12">
        <f>IF(LEFT(I5329,2)="MV",2*N5329*IF(L5329="1/C",O5329,1),0)</f>
        <v/>
      </c>
      <c r="Y5329" s="12">
        <f>IF(OR(LEFT(K5329,4)="LVAX",LEFT(K5329,6)="MV15AX",LEFT(K5329,4)="CTAX",LEFT(K5329,2)="W|"),2*N5329*O5329,0)</f>
        <v/>
      </c>
      <c r="Z5329" s="12" t="inlineStr">
        <is>
          <t>VD 0.9 %</t>
        </is>
      </c>
      <c r="AA5329" s="12">
        <f>N5329*O5329</f>
        <v/>
      </c>
    </row>
    <row r="5330">
      <c r="A5330" s="12" t="inlineStr">
        <is>
          <t>I-P-0211</t>
        </is>
      </c>
      <c r="B5330" s="12" t="inlineStr">
        <is>
          <t>I</t>
        </is>
      </c>
      <c r="C5330" s="12" t="inlineStr">
        <is>
          <t>Modular / portable power</t>
        </is>
      </c>
      <c r="D5330" s="12" t="inlineStr">
        <is>
          <t>480 V welding receptacle 2</t>
        </is>
      </c>
      <c r="E5330" s="12" t="inlineStr"/>
      <c r="F5330" s="12" t="inlineStr">
        <is>
          <t>PCM: power control module</t>
        </is>
      </c>
      <c r="G5330" s="12" t="inlineStr">
        <is>
          <t>RICE-8</t>
        </is>
      </c>
      <c r="H5330" s="12" t="inlineStr">
        <is>
          <t>RICE engine-generator 8</t>
        </is>
      </c>
      <c r="I5330" s="12" t="inlineStr">
        <is>
          <t>LV 600 V</t>
        </is>
      </c>
      <c r="J5330" s="12" t="inlineStr">
        <is>
          <t>Type TC-ER 600 V 3/C Cu XHHW-2 + ground, PVC jacket</t>
        </is>
      </c>
      <c r="K5330" s="12" t="inlineStr">
        <is>
          <t>LV|3/C+G|2</t>
        </is>
      </c>
      <c r="L5330" s="12" t="inlineStr">
        <is>
          <t>3/C+G</t>
        </is>
      </c>
      <c r="M5330" s="12" t="inlineStr">
        <is>
          <t>2</t>
        </is>
      </c>
      <c r="N5330" s="12" t="n">
        <v>1</v>
      </c>
      <c r="O5330" s="12" t="n">
        <v>1</v>
      </c>
      <c r="P5330" s="12" t="n">
        <v>480</v>
      </c>
      <c r="Q5330" s="12" t="n">
        <v>60</v>
      </c>
      <c r="R5330" s="12" t="n">
        <v>76</v>
      </c>
      <c r="S5330" s="12" t="inlineStr">
        <is>
          <t>Tray</t>
        </is>
      </c>
      <c r="T5330" s="16" t="n">
        <v>0</v>
      </c>
      <c r="U5330" s="16" t="n">
        <v>161</v>
      </c>
      <c r="V5330" s="16">
        <f>ROUNDUP((T5330+U5330+2*'Read Me'!$B$13)*(1+'Read Me'!$B$12),-1)</f>
        <v/>
      </c>
      <c r="W5330" s="16">
        <f>V5330*N5330*O5330</f>
        <v/>
      </c>
      <c r="X5330" s="12">
        <f>IF(LEFT(I5330,2)="MV",2*N5330*IF(L5330="1/C",O5330,1),0)</f>
        <v/>
      </c>
      <c r="Y5330" s="12">
        <f>IF(OR(LEFT(K5330,4)="LVAX",LEFT(K5330,6)="MV15AX",LEFT(K5330,4)="CTAX",LEFT(K5330,2)="W|"),2*N5330*O5330,0)</f>
        <v/>
      </c>
      <c r="Z5330" s="12" t="inlineStr">
        <is>
          <t>VD 0.9 %</t>
        </is>
      </c>
      <c r="AA5330" s="12">
        <f>N5330*O5330</f>
        <v/>
      </c>
    </row>
    <row r="5331">
      <c r="A5331" s="12" t="inlineStr">
        <is>
          <t>I-P-0212</t>
        </is>
      </c>
      <c r="B5331" s="12" t="inlineStr">
        <is>
          <t>I</t>
        </is>
      </c>
      <c r="C5331" s="12" t="inlineStr">
        <is>
          <t>Modular / portable power</t>
        </is>
      </c>
      <c r="D5331" s="12" t="inlineStr">
        <is>
          <t>480 V welding receptacle 3</t>
        </is>
      </c>
      <c r="E5331" s="12" t="inlineStr"/>
      <c r="F5331" s="12" t="inlineStr">
        <is>
          <t>PCM: power control module</t>
        </is>
      </c>
      <c r="G5331" s="12" t="inlineStr">
        <is>
          <t>RICE-8</t>
        </is>
      </c>
      <c r="H5331" s="12" t="inlineStr">
        <is>
          <t>RICE engine-generator 8</t>
        </is>
      </c>
      <c r="I5331" s="12" t="inlineStr">
        <is>
          <t>LV 600 V</t>
        </is>
      </c>
      <c r="J5331" s="12" t="inlineStr">
        <is>
          <t>Type TC-ER 600 V 3/C Cu XHHW-2 + ground, PVC jacket</t>
        </is>
      </c>
      <c r="K5331" s="12" t="inlineStr">
        <is>
          <t>LV|3/C+G|2</t>
        </is>
      </c>
      <c r="L5331" s="12" t="inlineStr">
        <is>
          <t>3/C+G</t>
        </is>
      </c>
      <c r="M5331" s="12" t="inlineStr">
        <is>
          <t>2</t>
        </is>
      </c>
      <c r="N5331" s="12" t="n">
        <v>1</v>
      </c>
      <c r="O5331" s="12" t="n">
        <v>1</v>
      </c>
      <c r="P5331" s="12" t="n">
        <v>480</v>
      </c>
      <c r="Q5331" s="12" t="n">
        <v>60</v>
      </c>
      <c r="R5331" s="12" t="n">
        <v>76</v>
      </c>
      <c r="S5331" s="12" t="inlineStr">
        <is>
          <t>Tray</t>
        </is>
      </c>
      <c r="T5331" s="16" t="n">
        <v>0</v>
      </c>
      <c r="U5331" s="16" t="n">
        <v>161</v>
      </c>
      <c r="V5331" s="16">
        <f>ROUNDUP((T5331+U5331+2*'Read Me'!$B$13)*(1+'Read Me'!$B$12),-1)</f>
        <v/>
      </c>
      <c r="W5331" s="16">
        <f>V5331*N5331*O5331</f>
        <v/>
      </c>
      <c r="X5331" s="12">
        <f>IF(LEFT(I5331,2)="MV",2*N5331*IF(L5331="1/C",O5331,1),0)</f>
        <v/>
      </c>
      <c r="Y5331" s="12">
        <f>IF(OR(LEFT(K5331,4)="LVAX",LEFT(K5331,6)="MV15AX",LEFT(K5331,4)="CTAX",LEFT(K5331,2)="W|"),2*N5331*O5331,0)</f>
        <v/>
      </c>
      <c r="Z5331" s="12" t="inlineStr">
        <is>
          <t>VD 0.9 %</t>
        </is>
      </c>
      <c r="AA5331" s="12">
        <f>N5331*O5331</f>
        <v/>
      </c>
    </row>
    <row r="5332">
      <c r="A5332" s="12" t="inlineStr">
        <is>
          <t>I-P-0213</t>
        </is>
      </c>
      <c r="B5332" s="12" t="inlineStr">
        <is>
          <t>I</t>
        </is>
      </c>
      <c r="C5332" s="12" t="inlineStr">
        <is>
          <t>Modular / portable power</t>
        </is>
      </c>
      <c r="D5332" s="12" t="inlineStr">
        <is>
          <t>480 V welding receptacle 4</t>
        </is>
      </c>
      <c r="E5332" s="12" t="inlineStr"/>
      <c r="F5332" s="12" t="inlineStr">
        <is>
          <t>PCM: power control module</t>
        </is>
      </c>
      <c r="G5332" s="12" t="inlineStr">
        <is>
          <t>RICE-8</t>
        </is>
      </c>
      <c r="H5332" s="12" t="inlineStr">
        <is>
          <t>RICE engine-generator 8</t>
        </is>
      </c>
      <c r="I5332" s="12" t="inlineStr">
        <is>
          <t>LV 600 V</t>
        </is>
      </c>
      <c r="J5332" s="12" t="inlineStr">
        <is>
          <t>Type TC-ER 600 V 3/C Cu XHHW-2 + ground, PVC jacket</t>
        </is>
      </c>
      <c r="K5332" s="12" t="inlineStr">
        <is>
          <t>LV|3/C+G|2</t>
        </is>
      </c>
      <c r="L5332" s="12" t="inlineStr">
        <is>
          <t>3/C+G</t>
        </is>
      </c>
      <c r="M5332" s="12" t="inlineStr">
        <is>
          <t>2</t>
        </is>
      </c>
      <c r="N5332" s="12" t="n">
        <v>1</v>
      </c>
      <c r="O5332" s="12" t="n">
        <v>1</v>
      </c>
      <c r="P5332" s="12" t="n">
        <v>480</v>
      </c>
      <c r="Q5332" s="12" t="n">
        <v>60</v>
      </c>
      <c r="R5332" s="12" t="n">
        <v>76</v>
      </c>
      <c r="S5332" s="12" t="inlineStr">
        <is>
          <t>Tray</t>
        </is>
      </c>
      <c r="T5332" s="16" t="n">
        <v>0</v>
      </c>
      <c r="U5332" s="16" t="n">
        <v>161</v>
      </c>
      <c r="V5332" s="16">
        <f>ROUNDUP((T5332+U5332+2*'Read Me'!$B$13)*(1+'Read Me'!$B$12),-1)</f>
        <v/>
      </c>
      <c r="W5332" s="16">
        <f>V5332*N5332*O5332</f>
        <v/>
      </c>
      <c r="X5332" s="12">
        <f>IF(LEFT(I5332,2)="MV",2*N5332*IF(L5332="1/C",O5332,1),0)</f>
        <v/>
      </c>
      <c r="Y5332" s="12">
        <f>IF(OR(LEFT(K5332,4)="LVAX",LEFT(K5332,6)="MV15AX",LEFT(K5332,4)="CTAX",LEFT(K5332,2)="W|"),2*N5332*O5332,0)</f>
        <v/>
      </c>
      <c r="Z5332" s="12" t="inlineStr">
        <is>
          <t>VD 0.9 %</t>
        </is>
      </c>
      <c r="AA5332" s="12">
        <f>N5332*O5332</f>
        <v/>
      </c>
    </row>
    <row r="5333">
      <c r="A5333" s="12" t="inlineStr">
        <is>
          <t>I-P-0214</t>
        </is>
      </c>
      <c r="B5333" s="12" t="inlineStr">
        <is>
          <t>I</t>
        </is>
      </c>
      <c r="C5333" s="12" t="inlineStr">
        <is>
          <t>Modular / portable power</t>
        </is>
      </c>
      <c r="D5333" s="12" t="inlineStr">
        <is>
          <t>LV power feeder</t>
        </is>
      </c>
      <c r="E5333" s="12" t="inlineStr"/>
      <c r="F5333" s="12" t="inlineStr">
        <is>
          <t>PCM: power control module</t>
        </is>
      </c>
      <c r="G5333" s="12" t="inlineStr"/>
      <c r="H5333" s="12" t="inlineStr">
        <is>
          <t>Reagent storage</t>
        </is>
      </c>
      <c r="I5333" s="12" t="inlineStr">
        <is>
          <t>LV 600 V</t>
        </is>
      </c>
      <c r="J5333" s="12" t="inlineStr">
        <is>
          <t>Type TC-ER 600 V 3/C Cu XHHW-2 + ground, PVC jacket</t>
        </is>
      </c>
      <c r="K5333" s="12" t="inlineStr">
        <is>
          <t>LV|3/C+G|10</t>
        </is>
      </c>
      <c r="L5333" s="12" t="inlineStr">
        <is>
          <t>3/C+G</t>
        </is>
      </c>
      <c r="M5333" s="12" t="inlineStr">
        <is>
          <t>10</t>
        </is>
      </c>
      <c r="N5333" s="12" t="n">
        <v>1</v>
      </c>
      <c r="O5333" s="12" t="n">
        <v>1</v>
      </c>
      <c r="P5333" s="12" t="n">
        <v>480</v>
      </c>
      <c r="Q5333" s="12" t="n">
        <v>15</v>
      </c>
      <c r="R5333" s="12" t="n">
        <v>21.2</v>
      </c>
      <c r="S5333" s="12" t="inlineStr">
        <is>
          <t>Tray</t>
        </is>
      </c>
      <c r="T5333" s="16" t="n">
        <v>40</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is>
          <t>VD 0.7 %</t>
        </is>
      </c>
      <c r="AA5333" s="12">
        <f>N5333*O5333</f>
        <v/>
      </c>
    </row>
    <row r="5334">
      <c r="A5334" s="12" t="inlineStr">
        <is>
          <t>I-P-0215</t>
        </is>
      </c>
      <c r="B5334" s="12" t="inlineStr">
        <is>
          <t>I</t>
        </is>
      </c>
      <c r="C5334" s="12" t="inlineStr">
        <is>
          <t>Modular / portable power</t>
        </is>
      </c>
      <c r="D5334" s="12" t="inlineStr">
        <is>
          <t>SC-1 CEMS shelter panel: analysers, heated sample line, lighting</t>
        </is>
      </c>
      <c r="E5334" s="12" t="inlineStr"/>
      <c r="F5334" s="12" t="inlineStr">
        <is>
          <t>SC-1 PCM + 15 kV GCB</t>
        </is>
      </c>
      <c r="G5334" s="12" t="inlineStr"/>
      <c r="H5334" s="12" t="inlineStr">
        <is>
          <t>SC-1 CEMS shelter</t>
        </is>
      </c>
      <c r="I5334" s="12" t="inlineStr">
        <is>
          <t>LV 600 V</t>
        </is>
      </c>
      <c r="J5334" s="12" t="inlineStr">
        <is>
          <t>Type TC-ER 600 V 3/C Cu XHHW-2 + ground, PVC jacket</t>
        </is>
      </c>
      <c r="K5334" s="12" t="inlineStr">
        <is>
          <t>LV|3/C+G|10</t>
        </is>
      </c>
      <c r="L5334" s="12" t="inlineStr">
        <is>
          <t>3/C+G</t>
        </is>
      </c>
      <c r="M5334" s="12" t="inlineStr">
        <is>
          <t>10</t>
        </is>
      </c>
      <c r="N5334" s="12" t="n">
        <v>1</v>
      </c>
      <c r="O5334" s="12" t="n">
        <v>1</v>
      </c>
      <c r="P5334" s="12" t="n">
        <v>480</v>
      </c>
      <c r="Q5334" s="12" t="n">
        <v>15</v>
      </c>
      <c r="R5334" s="12" t="n">
        <v>19</v>
      </c>
      <c r="S5334" s="12" t="inlineStr">
        <is>
          <t>Tray</t>
        </is>
      </c>
      <c r="T5334" s="16" t="n">
        <v>0</v>
      </c>
      <c r="U5334" s="16" t="n">
        <v>229</v>
      </c>
      <c r="V5334" s="16">
        <f>ROUNDUP((T5334+U5334+2*'Read Me'!$B$13)*(1+'Read Me'!$B$12),-1)</f>
        <v/>
      </c>
      <c r="W5334" s="16">
        <f>V5334*N5334*O5334</f>
        <v/>
      </c>
      <c r="X5334" s="12">
        <f>IF(LEFT(I5334,2)="MV",2*N5334*IF(L5334="1/C",O5334,1),0)</f>
        <v/>
      </c>
      <c r="Y5334" s="12">
        <f>IF(OR(LEFT(K5334,4)="LVAX",LEFT(K5334,6)="MV15AX",LEFT(K5334,4)="CTAX",LEFT(K5334,2)="W|"),2*N5334*O5334,0)</f>
        <v/>
      </c>
      <c r="Z5334" s="12" t="inlineStr">
        <is>
          <t>VD 2.1 %</t>
        </is>
      </c>
      <c r="AA5334" s="12">
        <f>N5334*O5334</f>
        <v/>
      </c>
    </row>
    <row r="5335">
      <c r="A5335" s="12" t="inlineStr">
        <is>
          <t>I-P-0216</t>
        </is>
      </c>
      <c r="B5335" s="12" t="inlineStr">
        <is>
          <t>I</t>
        </is>
      </c>
      <c r="C5335" s="12" t="inlineStr">
        <is>
          <t>Modular / portable power</t>
        </is>
      </c>
      <c r="D5335" s="12" t="inlineStr">
        <is>
          <t>Motor 1 of 2, 5 kW</t>
        </is>
      </c>
      <c r="E5335" s="12" t="inlineStr"/>
      <c r="F5335" s="12" t="inlineStr">
        <is>
          <t>SC-1 PCM + 15 kV GCB</t>
        </is>
      </c>
      <c r="G5335" s="12" t="inlineStr"/>
      <c r="H5335" s="12" t="inlineStr">
        <is>
          <t>SC-1 CEMS shelter</t>
        </is>
      </c>
      <c r="I5335" s="12" t="inlineStr">
        <is>
          <t>LV 600 V</t>
        </is>
      </c>
      <c r="J5335" s="12" t="inlineStr">
        <is>
          <t>Type TC-ER 600 V 3/C Cu XHHW-2 + ground, PVC jacket</t>
        </is>
      </c>
      <c r="K5335" s="12" t="inlineStr">
        <is>
          <t>LV|3/C+G|10</t>
        </is>
      </c>
      <c r="L5335" s="12" t="inlineStr">
        <is>
          <t>3/C+G</t>
        </is>
      </c>
      <c r="M5335" s="12" t="inlineStr">
        <is>
          <t>10</t>
        </is>
      </c>
      <c r="N5335" s="12" t="n">
        <v>1</v>
      </c>
      <c r="O5335" s="12" t="n">
        <v>1</v>
      </c>
      <c r="P5335" s="12" t="n">
        <v>480</v>
      </c>
      <c r="Q5335" s="12" t="n">
        <v>5</v>
      </c>
      <c r="R5335" s="12" t="n">
        <v>7.1</v>
      </c>
      <c r="S5335" s="12" t="inlineStr">
        <is>
          <t>Tray</t>
        </is>
      </c>
      <c r="T5335" s="16" t="n">
        <v>0</v>
      </c>
      <c r="U5335" s="16" t="n">
        <v>229</v>
      </c>
      <c r="V5335" s="16">
        <f>ROUNDUP((T5335+U5335+2*'Read Me'!$B$13)*(1+'Read Me'!$B$12),-1)</f>
        <v/>
      </c>
      <c r="W5335" s="16">
        <f>V5335*N5335*O5335</f>
        <v/>
      </c>
      <c r="X5335" s="12">
        <f>IF(LEFT(I5335,2)="MV",2*N5335*IF(L5335="1/C",O5335,1),0)</f>
        <v/>
      </c>
      <c r="Y5335" s="12">
        <f>IF(OR(LEFT(K5335,4)="LVAX",LEFT(K5335,6)="MV15AX",LEFT(K5335,4)="CTAX",LEFT(K5335,2)="W|"),2*N5335*O5335,0)</f>
        <v/>
      </c>
      <c r="Z5335" s="12" t="inlineStr">
        <is>
          <t>VD 0.8 %</t>
        </is>
      </c>
      <c r="AA5335" s="12">
        <f>N5335*O5335</f>
        <v/>
      </c>
    </row>
    <row r="5336">
      <c r="A5336" s="12" t="inlineStr">
        <is>
          <t>I-P-0217</t>
        </is>
      </c>
      <c r="B5336" s="12" t="inlineStr">
        <is>
          <t>I</t>
        </is>
      </c>
      <c r="C5336" s="12" t="inlineStr">
        <is>
          <t>Modular / portable power</t>
        </is>
      </c>
      <c r="D5336" s="12" t="inlineStr">
        <is>
          <t>Motor 2 of 2, 5 kW</t>
        </is>
      </c>
      <c r="E5336" s="12" t="inlineStr"/>
      <c r="F5336" s="12" t="inlineStr">
        <is>
          <t>SC-1 PCM + 15 kV GCB</t>
        </is>
      </c>
      <c r="G5336" s="12" t="inlineStr"/>
      <c r="H5336" s="12" t="inlineStr">
        <is>
          <t>SC-1 CEMS shelter</t>
        </is>
      </c>
      <c r="I5336" s="12" t="inlineStr">
        <is>
          <t>LV 600 V</t>
        </is>
      </c>
      <c r="J5336" s="12" t="inlineStr">
        <is>
          <t>Type TC-ER 600 V 3/C Cu XHHW-2 + ground, PVC jacket</t>
        </is>
      </c>
      <c r="K5336" s="12" t="inlineStr">
        <is>
          <t>LV|3/C+G|10</t>
        </is>
      </c>
      <c r="L5336" s="12" t="inlineStr">
        <is>
          <t>3/C+G</t>
        </is>
      </c>
      <c r="M5336" s="12" t="inlineStr">
        <is>
          <t>10</t>
        </is>
      </c>
      <c r="N5336" s="12" t="n">
        <v>1</v>
      </c>
      <c r="O5336" s="12" t="n">
        <v>1</v>
      </c>
      <c r="P5336" s="12" t="n">
        <v>480</v>
      </c>
      <c r="Q5336" s="12" t="n">
        <v>5</v>
      </c>
      <c r="R5336" s="12" t="n">
        <v>7.1</v>
      </c>
      <c r="S5336" s="12" t="inlineStr">
        <is>
          <t>Tray</t>
        </is>
      </c>
      <c r="T5336" s="16" t="n">
        <v>0</v>
      </c>
      <c r="U5336" s="16" t="n">
        <v>229</v>
      </c>
      <c r="V5336" s="16">
        <f>ROUNDUP((T5336+U5336+2*'Read Me'!$B$13)*(1+'Read Me'!$B$12),-1)</f>
        <v/>
      </c>
      <c r="W5336" s="16">
        <f>V5336*N5336*O5336</f>
        <v/>
      </c>
      <c r="X5336" s="12">
        <f>IF(LEFT(I5336,2)="MV",2*N5336*IF(L5336="1/C",O5336,1),0)</f>
        <v/>
      </c>
      <c r="Y5336" s="12">
        <f>IF(OR(LEFT(K5336,4)="LVAX",LEFT(K5336,6)="MV15AX",LEFT(K5336,4)="CTAX",LEFT(K5336,2)="W|"),2*N5336*O5336,0)</f>
        <v/>
      </c>
      <c r="Z5336" s="12" t="inlineStr">
        <is>
          <t>VD 0.8 %</t>
        </is>
      </c>
      <c r="AA5336" s="12">
        <f>N5336*O5336</f>
        <v/>
      </c>
    </row>
    <row r="5337">
      <c r="A5337" s="12" t="inlineStr">
        <is>
          <t>I-P-0218</t>
        </is>
      </c>
      <c r="B5337" s="12" t="inlineStr">
        <is>
          <t>I</t>
        </is>
      </c>
      <c r="C5337" s="12" t="inlineStr">
        <is>
          <t>Modular / portable power</t>
        </is>
      </c>
      <c r="D5337" s="12" t="inlineStr">
        <is>
          <t>SC-1 125 V DC battery to charger / DC panel</t>
        </is>
      </c>
      <c r="E5337" s="12" t="inlineStr"/>
      <c r="F5337" s="12" t="inlineStr">
        <is>
          <t>SC-1 PCM + 15 kV GCB</t>
        </is>
      </c>
      <c r="G5337" s="12" t="inlineStr"/>
      <c r="H5337" s="12" t="inlineStr">
        <is>
          <t>SC-1 PCM + 15 kV GCB</t>
        </is>
      </c>
      <c r="I5337" s="12" t="inlineStr">
        <is>
          <t>LV 600 V</t>
        </is>
      </c>
      <c r="J5337" s="12" t="inlineStr">
        <is>
          <t>XHHW-2 600 V 1/C Cu (feeder sets in tray / duct)</t>
        </is>
      </c>
      <c r="K5337" s="12" t="inlineStr">
        <is>
          <t>LV1C|1/C|4/0</t>
        </is>
      </c>
      <c r="L5337" s="12" t="inlineStr">
        <is>
          <t>1/C</t>
        </is>
      </c>
      <c r="M5337" s="12" t="inlineStr">
        <is>
          <t>4/0</t>
        </is>
      </c>
      <c r="N5337" s="12" t="n">
        <v>1</v>
      </c>
      <c r="O5337" s="12" t="n">
        <v>2</v>
      </c>
      <c r="P5337" s="12" t="n">
        <v>125</v>
      </c>
      <c r="Q5337" s="12" t="n"/>
      <c r="R5337" s="12" t="n"/>
      <c r="S5337" s="12" t="inlineStr">
        <is>
          <t>Tray</t>
        </is>
      </c>
      <c r="T5337" s="16" t="n">
        <v>15</v>
      </c>
      <c r="U5337" s="16" t="n">
        <v>5</v>
      </c>
      <c r="V5337" s="16">
        <f>ROUNDUP((T5337+U5337+2*'Read Me'!$B$13)*(1+'Read Me'!$B$12),-1)</f>
        <v/>
      </c>
      <c r="W5337" s="16">
        <f>V5337*N5337*O5337</f>
        <v/>
      </c>
      <c r="X5337" s="12">
        <f>IF(LEFT(I5337,2)="MV",2*N5337*IF(L5337="1/C",O5337,1),0)</f>
        <v/>
      </c>
      <c r="Y5337" s="12">
        <f>IF(OR(LEFT(K5337,4)="LVAX",LEFT(K5337,6)="MV15AX",LEFT(K5337,4)="CTAX",LEFT(K5337,2)="W|"),2*N5337*O5337,0)</f>
        <v/>
      </c>
      <c r="Z5337" s="12" t="inlineStr">
        <is>
          <t>battery rack inside the PCM</t>
        </is>
      </c>
      <c r="AA5337" s="12">
        <f>N5337*O5337</f>
        <v/>
      </c>
    </row>
    <row r="5338">
      <c r="A5338" s="12" t="inlineStr">
        <is>
          <t>I-P-0219</t>
        </is>
      </c>
      <c r="B5338" s="12" t="inlineStr">
        <is>
          <t>I</t>
        </is>
      </c>
      <c r="C5338" s="12" t="inlineStr">
        <is>
          <t>Modular / portable power</t>
        </is>
      </c>
      <c r="D5338" s="12" t="inlineStr">
        <is>
          <t>SC-1 PCM lighting, receptacles and HVAC (from its own 480 V board)</t>
        </is>
      </c>
      <c r="E5338" s="12" t="inlineStr"/>
      <c r="F5338" s="12" t="inlineStr">
        <is>
          <t>SC-1 PCM + 15 kV GCB</t>
        </is>
      </c>
      <c r="G5338" s="12" t="inlineStr"/>
      <c r="H5338" s="12" t="inlineStr">
        <is>
          <t>SC-1 PCM + 15 kV GCB</t>
        </is>
      </c>
      <c r="I5338" s="12" t="inlineStr">
        <is>
          <t>LV 600 V</t>
        </is>
      </c>
      <c r="J5338" s="12" t="inlineStr">
        <is>
          <t>Type TC-ER 600 V 3/C Cu XHHW-2 + ground, PVC jacket</t>
        </is>
      </c>
      <c r="K5338" s="12" t="inlineStr">
        <is>
          <t>LV|3/C+G|2</t>
        </is>
      </c>
      <c r="L5338" s="12" t="inlineStr">
        <is>
          <t>3/C+G</t>
        </is>
      </c>
      <c r="M5338" s="12" t="inlineStr">
        <is>
          <t>2</t>
        </is>
      </c>
      <c r="N5338" s="12" t="n">
        <v>1</v>
      </c>
      <c r="O5338" s="12" t="n">
        <v>1</v>
      </c>
      <c r="P5338" s="12" t="n">
        <v>480</v>
      </c>
      <c r="Q5338" s="12" t="n">
        <v>40</v>
      </c>
      <c r="R5338" s="12" t="n"/>
      <c r="S5338" s="12" t="inlineStr">
        <is>
          <t>Tray</t>
        </is>
      </c>
      <c r="T5338" s="16" t="n">
        <v>80</v>
      </c>
      <c r="U5338" s="16" t="n">
        <v>10</v>
      </c>
      <c r="V5338" s="16">
        <f>ROUNDUP((T5338+U5338+2*'Read Me'!$B$13)*(1+'Read Me'!$B$12),-1)</f>
        <v/>
      </c>
      <c r="W5338" s="16">
        <f>V5338*N5338*O5338</f>
        <v/>
      </c>
      <c r="X5338" s="12">
        <f>IF(LEFT(I5338,2)="MV",2*N5338*IF(L5338="1/C",O5338,1),0)</f>
        <v/>
      </c>
      <c r="Y5338" s="12">
        <f>IF(OR(LEFT(K5338,4)="LVAX",LEFT(K5338,6)="MV15AX",LEFT(K5338,4)="CTAX",LEFT(K5338,2)="W|"),2*N5338*O5338,0)</f>
        <v/>
      </c>
      <c r="Z5338" s="12" t="inlineStr">
        <is>
          <t>internal to the PCM; aux transformer 13.8 kV / 480 V inside</t>
        </is>
      </c>
      <c r="AA5338" s="12">
        <f>N5338*O5338</f>
        <v/>
      </c>
    </row>
    <row r="5339">
      <c r="A5339" s="12" t="inlineStr">
        <is>
          <t>I-P-0220</t>
        </is>
      </c>
      <c r="B5339" s="12" t="inlineStr">
        <is>
          <t>I</t>
        </is>
      </c>
      <c r="C5339" s="12" t="inlineStr">
        <is>
          <t>Modular / portable power</t>
        </is>
      </c>
      <c r="D5339" s="12" t="inlineStr">
        <is>
          <t>Area / platform lighting circuit 1 (10 fixtures)</t>
        </is>
      </c>
      <c r="E5339" s="12" t="inlineStr"/>
      <c r="F5339" s="12" t="inlineStr">
        <is>
          <t>SC-1 PCM + 15 kV GCB</t>
        </is>
      </c>
      <c r="G5339" s="12" t="inlineStr"/>
      <c r="H5339" s="12" t="inlineStr">
        <is>
          <t>SC-1 SCR / CO catalyst</t>
        </is>
      </c>
      <c r="I5339" s="12" t="inlineStr">
        <is>
          <t>LV 600 V</t>
        </is>
      </c>
      <c r="J5339" s="12" t="inlineStr">
        <is>
          <t>Type TC-ER 600 V 3/C Cu XHHW-2 + ground, PVC jacket</t>
        </is>
      </c>
      <c r="K5339" s="12" t="inlineStr">
        <is>
          <t>LV|3/C+G|10</t>
        </is>
      </c>
      <c r="L5339" s="12" t="inlineStr">
        <is>
          <t>3/C+G</t>
        </is>
      </c>
      <c r="M5339" s="12" t="inlineStr">
        <is>
          <t>10</t>
        </is>
      </c>
      <c r="N5339" s="12" t="n">
        <v>1</v>
      </c>
      <c r="O5339" s="12" t="n">
        <v>1</v>
      </c>
      <c r="P5339" s="12" t="n">
        <v>480</v>
      </c>
      <c r="Q5339" s="12" t="n">
        <v>3</v>
      </c>
      <c r="R5339" s="12" t="n">
        <v>5</v>
      </c>
      <c r="S5339" s="12" t="inlineStr">
        <is>
          <t>Tray</t>
        </is>
      </c>
      <c r="T5339" s="16" t="n">
        <v>300</v>
      </c>
      <c r="U5339" s="16" t="n">
        <v>154</v>
      </c>
      <c r="V5339" s="16">
        <f>ROUNDUP((T5339+U5339+2*'Read Me'!$B$13)*(1+'Read Me'!$B$12),-1)</f>
        <v/>
      </c>
      <c r="W5339" s="16">
        <f>V5339*N5339*O5339</f>
        <v/>
      </c>
      <c r="X5339" s="12">
        <f>IF(LEFT(I5339,2)="MV",2*N5339*IF(L5339="1/C",O5339,1),0)</f>
        <v/>
      </c>
      <c r="Y5339" s="12">
        <f>IF(OR(LEFT(K5339,4)="LVAX",LEFT(K5339,6)="MV15AX",LEFT(K5339,4)="CTAX",LEFT(K5339,2)="W|"),2*N5339*O5339,0)</f>
        <v/>
      </c>
      <c r="Z5339" s="12" t="inlineStr">
        <is>
          <t>fixture-to-fixture run included</t>
        </is>
      </c>
      <c r="AA5339" s="12">
        <f>N5339*O5339</f>
        <v/>
      </c>
    </row>
    <row r="5340">
      <c r="A5340" s="12" t="inlineStr">
        <is>
          <t>I-P-0221</t>
        </is>
      </c>
      <c r="B5340" s="12" t="inlineStr">
        <is>
          <t>I</t>
        </is>
      </c>
      <c r="C5340" s="12" t="inlineStr">
        <is>
          <t>Modular / portable power</t>
        </is>
      </c>
      <c r="D5340" s="12" t="inlineStr">
        <is>
          <t>SC-1 ammonia vaporiser electric heater</t>
        </is>
      </c>
      <c r="E5340" s="12" t="inlineStr"/>
      <c r="F5340" s="12" t="inlineStr">
        <is>
          <t>SC-1 PCM + 15 kV GCB</t>
        </is>
      </c>
      <c r="G5340" s="12" t="inlineStr"/>
      <c r="H5340" s="12" t="inlineStr">
        <is>
          <t>SC-1 ammonia flow-control unit</t>
        </is>
      </c>
      <c r="I5340" s="12" t="inlineStr">
        <is>
          <t>LV 600 V</t>
        </is>
      </c>
      <c r="J5340" s="12" t="inlineStr">
        <is>
          <t>Type TC-ER 600 V 3/C Cu XHHW-2 + ground, PVC jacket</t>
        </is>
      </c>
      <c r="K5340" s="12" t="inlineStr">
        <is>
          <t>LV|3/C+G|4</t>
        </is>
      </c>
      <c r="L5340" s="12" t="inlineStr">
        <is>
          <t>3/C+G</t>
        </is>
      </c>
      <c r="M5340" s="12" t="inlineStr">
        <is>
          <t>4</t>
        </is>
      </c>
      <c r="N5340" s="12" t="n">
        <v>1</v>
      </c>
      <c r="O5340" s="12" t="n">
        <v>1</v>
      </c>
      <c r="P5340" s="12" t="n">
        <v>480</v>
      </c>
      <c r="Q5340" s="12" t="n">
        <v>45</v>
      </c>
      <c r="R5340" s="12" t="n">
        <v>57</v>
      </c>
      <c r="S5340" s="12" t="inlineStr">
        <is>
          <t>Tray</t>
        </is>
      </c>
      <c r="T5340" s="16" t="n">
        <v>0</v>
      </c>
      <c r="U5340" s="16" t="n">
        <v>152</v>
      </c>
      <c r="V5340" s="16">
        <f>ROUNDUP((T5340+U5340+2*'Read Me'!$B$13)*(1+'Read Me'!$B$12),-1)</f>
        <v/>
      </c>
      <c r="W5340" s="16">
        <f>V5340*N5340*O5340</f>
        <v/>
      </c>
      <c r="X5340" s="12">
        <f>IF(LEFT(I5340,2)="MV",2*N5340*IF(L5340="1/C",O5340,1),0)</f>
        <v/>
      </c>
      <c r="Y5340" s="12">
        <f>IF(OR(LEFT(K5340,4)="LVAX",LEFT(K5340,6)="MV15AX",LEFT(K5340,4)="CTAX",LEFT(K5340,2)="W|"),2*N5340*O5340,0)</f>
        <v/>
      </c>
      <c r="Z5340" s="12" t="inlineStr">
        <is>
          <t>VD 1.1 %</t>
        </is>
      </c>
      <c r="AA5340" s="12">
        <f>N5340*O5340</f>
        <v/>
      </c>
    </row>
    <row r="5341">
      <c r="A5341" s="12" t="inlineStr">
        <is>
          <t>I-P-0222</t>
        </is>
      </c>
      <c r="B5341" s="12" t="inlineStr">
        <is>
          <t>I</t>
        </is>
      </c>
      <c r="C5341" s="12" t="inlineStr">
        <is>
          <t>Modular / portable power</t>
        </is>
      </c>
      <c r="D5341" s="12" t="inlineStr">
        <is>
          <t>Motor 1 of 2, 7.5 kW</t>
        </is>
      </c>
      <c r="E5341" s="12" t="inlineStr"/>
      <c r="F5341" s="12" t="inlineStr">
        <is>
          <t>SC-1 PCM + 15 kV GCB</t>
        </is>
      </c>
      <c r="G5341" s="12" t="inlineStr"/>
      <c r="H5341" s="12" t="inlineStr">
        <is>
          <t>SC-1 ammonia flow-control unit</t>
        </is>
      </c>
      <c r="I5341" s="12" t="inlineStr">
        <is>
          <t>LV 600 V</t>
        </is>
      </c>
      <c r="J5341" s="12" t="inlineStr">
        <is>
          <t>Type TC-ER 600 V 3/C Cu XHHW-2 + ground, PVC jacket</t>
        </is>
      </c>
      <c r="K5341" s="12" t="inlineStr">
        <is>
          <t>LV|3/C+G|10</t>
        </is>
      </c>
      <c r="L5341" s="12" t="inlineStr">
        <is>
          <t>3/C+G</t>
        </is>
      </c>
      <c r="M5341" s="12" t="inlineStr">
        <is>
          <t>10</t>
        </is>
      </c>
      <c r="N5341" s="12" t="n">
        <v>1</v>
      </c>
      <c r="O5341" s="12" t="n">
        <v>1</v>
      </c>
      <c r="P5341" s="12" t="n">
        <v>480</v>
      </c>
      <c r="Q5341" s="12" t="n">
        <v>7.5</v>
      </c>
      <c r="R5341" s="12" t="n">
        <v>10.6</v>
      </c>
      <c r="S5341" s="12" t="inlineStr">
        <is>
          <t>Tray</t>
        </is>
      </c>
      <c r="T5341" s="16" t="n">
        <v>0</v>
      </c>
      <c r="U5341" s="16" t="n">
        <v>152</v>
      </c>
      <c r="V5341" s="16">
        <f>ROUNDUP((T5341+U5341+2*'Read Me'!$B$13)*(1+'Read Me'!$B$12),-1)</f>
        <v/>
      </c>
      <c r="W5341" s="16">
        <f>V5341*N5341*O5341</f>
        <v/>
      </c>
      <c r="X5341" s="12">
        <f>IF(LEFT(I5341,2)="MV",2*N5341*IF(L5341="1/C",O5341,1),0)</f>
        <v/>
      </c>
      <c r="Y5341" s="12">
        <f>IF(OR(LEFT(K5341,4)="LVAX",LEFT(K5341,6)="MV15AX",LEFT(K5341,4)="CTAX",LEFT(K5341,2)="W|"),2*N5341*O5341,0)</f>
        <v/>
      </c>
      <c r="Z5341" s="12" t="inlineStr">
        <is>
          <t>VD 0.8 %</t>
        </is>
      </c>
      <c r="AA5341" s="12">
        <f>N5341*O5341</f>
        <v/>
      </c>
    </row>
    <row r="5342">
      <c r="A5342" s="12" t="inlineStr">
        <is>
          <t>I-P-0223</t>
        </is>
      </c>
      <c r="B5342" s="12" t="inlineStr">
        <is>
          <t>I</t>
        </is>
      </c>
      <c r="C5342" s="12" t="inlineStr">
        <is>
          <t>Modular / portable power</t>
        </is>
      </c>
      <c r="D5342" s="12" t="inlineStr">
        <is>
          <t>Motor 2 of 2, 7.5 kW</t>
        </is>
      </c>
      <c r="E5342" s="12" t="inlineStr"/>
      <c r="F5342" s="12" t="inlineStr">
        <is>
          <t>SC-1 PCM + 15 kV GCB</t>
        </is>
      </c>
      <c r="G5342" s="12" t="inlineStr"/>
      <c r="H5342" s="12" t="inlineStr">
        <is>
          <t>SC-1 ammonia flow-control unit</t>
        </is>
      </c>
      <c r="I5342" s="12" t="inlineStr">
        <is>
          <t>LV 600 V</t>
        </is>
      </c>
      <c r="J5342" s="12" t="inlineStr">
        <is>
          <t>Type TC-ER 600 V 3/C Cu XHHW-2 + ground, PVC jacket</t>
        </is>
      </c>
      <c r="K5342" s="12" t="inlineStr">
        <is>
          <t>LV|3/C+G|10</t>
        </is>
      </c>
      <c r="L5342" s="12" t="inlineStr">
        <is>
          <t>3/C+G</t>
        </is>
      </c>
      <c r="M5342" s="12" t="inlineStr">
        <is>
          <t>10</t>
        </is>
      </c>
      <c r="N5342" s="12" t="n">
        <v>1</v>
      </c>
      <c r="O5342" s="12" t="n">
        <v>1</v>
      </c>
      <c r="P5342" s="12" t="n">
        <v>480</v>
      </c>
      <c r="Q5342" s="12" t="n">
        <v>7.5</v>
      </c>
      <c r="R5342" s="12" t="n">
        <v>10.6</v>
      </c>
      <c r="S5342" s="12" t="inlineStr">
        <is>
          <t>Tray</t>
        </is>
      </c>
      <c r="T5342" s="16" t="n">
        <v>0</v>
      </c>
      <c r="U5342" s="16" t="n">
        <v>152</v>
      </c>
      <c r="V5342" s="16">
        <f>ROUNDUP((T5342+U5342+2*'Read Me'!$B$13)*(1+'Read Me'!$B$12),-1)</f>
        <v/>
      </c>
      <c r="W5342" s="16">
        <f>V5342*N5342*O5342</f>
        <v/>
      </c>
      <c r="X5342" s="12">
        <f>IF(LEFT(I5342,2)="MV",2*N5342*IF(L5342="1/C",O5342,1),0)</f>
        <v/>
      </c>
      <c r="Y5342" s="12">
        <f>IF(OR(LEFT(K5342,4)="LVAX",LEFT(K5342,6)="MV15AX",LEFT(K5342,4)="CTAX",LEFT(K5342,2)="W|"),2*N5342*O5342,0)</f>
        <v/>
      </c>
      <c r="Z5342" s="12" t="inlineStr">
        <is>
          <t>VD 0.8 %</t>
        </is>
      </c>
      <c r="AA5342" s="12">
        <f>N5342*O5342</f>
        <v/>
      </c>
    </row>
    <row r="5343">
      <c r="A5343" s="12" t="inlineStr">
        <is>
          <t>I-P-0224</t>
        </is>
      </c>
      <c r="B5343" s="12" t="inlineStr">
        <is>
          <t>I</t>
        </is>
      </c>
      <c r="C5343" s="12" t="inlineStr">
        <is>
          <t>Modular / portable power</t>
        </is>
      </c>
      <c r="D5343" s="12" t="inlineStr">
        <is>
          <t>SC-1 water-wash tank heater</t>
        </is>
      </c>
      <c r="E5343" s="12" t="inlineStr"/>
      <c r="F5343" s="12" t="inlineStr">
        <is>
          <t>SC-1 PCM + 15 kV GCB</t>
        </is>
      </c>
      <c r="G5343" s="12" t="inlineStr"/>
      <c r="H5343" s="12" t="inlineStr">
        <is>
          <t>SC-1 auxiliary skids: fuel-gas module, water-wash skid</t>
        </is>
      </c>
      <c r="I5343" s="12" t="inlineStr">
        <is>
          <t>LV 600 V</t>
        </is>
      </c>
      <c r="J5343" s="12" t="inlineStr">
        <is>
          <t>ARMOR-X MC-HL 600 V 3/C Cu XHHW-2 + ground, CWA, black PVC (Class I Div 2)</t>
        </is>
      </c>
      <c r="K5343" s="12" t="inlineStr">
        <is>
          <t>LVAX|3/C+G|10</t>
        </is>
      </c>
      <c r="L5343" s="12" t="inlineStr">
        <is>
          <t>3/C+G</t>
        </is>
      </c>
      <c r="M5343" s="12" t="inlineStr">
        <is>
          <t>10</t>
        </is>
      </c>
      <c r="N5343" s="12" t="n">
        <v>1</v>
      </c>
      <c r="O5343" s="12" t="n">
        <v>1</v>
      </c>
      <c r="P5343" s="12" t="n">
        <v>480</v>
      </c>
      <c r="Q5343" s="12" t="n">
        <v>6</v>
      </c>
      <c r="R5343" s="12" t="n">
        <v>7.6</v>
      </c>
      <c r="S5343" s="12" t="inlineStr">
        <is>
          <t>Tray</t>
        </is>
      </c>
      <c r="T5343" s="16" t="n">
        <v>0</v>
      </c>
      <c r="U5343" s="16" t="n">
        <v>77</v>
      </c>
      <c r="V5343" s="16">
        <f>ROUNDUP((T5343+U5343+2*'Read Me'!$B$13)*(1+'Read Me'!$B$12),-1)</f>
        <v/>
      </c>
      <c r="W5343" s="16">
        <f>V5343*N5343*O5343</f>
        <v/>
      </c>
      <c r="X5343" s="12">
        <f>IF(LEFT(I5343,2)="MV",2*N5343*IF(L5343="1/C",O5343,1),0)</f>
        <v/>
      </c>
      <c r="Y5343" s="12">
        <f>IF(OR(LEFT(K5343,4)="LVAX",LEFT(K5343,6)="MV15AX",LEFT(K5343,4)="CTAX",LEFT(K5343,2)="W|"),2*N5343*O5343,0)</f>
        <v/>
      </c>
      <c r="Z5343" s="12" t="inlineStr">
        <is>
          <t>VD 0.3 %</t>
        </is>
      </c>
      <c r="AA5343" s="12">
        <f>N5343*O5343</f>
        <v/>
      </c>
    </row>
    <row r="5344">
      <c r="A5344" s="12" t="inlineStr">
        <is>
          <t>I-P-0225</t>
        </is>
      </c>
      <c r="B5344" s="12" t="inlineStr">
        <is>
          <t>I</t>
        </is>
      </c>
      <c r="C5344" s="12" t="inlineStr">
        <is>
          <t>Modular / portable power</t>
        </is>
      </c>
      <c r="D5344" s="12" t="inlineStr">
        <is>
          <t>Motor 1 of 1, 7.5 kW</t>
        </is>
      </c>
      <c r="E5344" s="12" t="inlineStr"/>
      <c r="F5344" s="12" t="inlineStr">
        <is>
          <t>SC-1 PCM + 15 kV GCB</t>
        </is>
      </c>
      <c r="G5344" s="12" t="inlineStr"/>
      <c r="H5344" s="12" t="inlineStr">
        <is>
          <t>SC-1 auxiliary skids: fuel-gas module, water-wash skid</t>
        </is>
      </c>
      <c r="I5344" s="12" t="inlineStr">
        <is>
          <t>LV 600 V</t>
        </is>
      </c>
      <c r="J5344" s="12" t="inlineStr">
        <is>
          <t>ARMOR-X MC-HL 600 V 3/C Cu XHHW-2 + ground, CWA, black PVC (Class I Div 2)</t>
        </is>
      </c>
      <c r="K5344" s="12" t="inlineStr">
        <is>
          <t>LVAX|3/C+G|10</t>
        </is>
      </c>
      <c r="L5344" s="12" t="inlineStr">
        <is>
          <t>3/C+G</t>
        </is>
      </c>
      <c r="M5344" s="12" t="inlineStr">
        <is>
          <t>10</t>
        </is>
      </c>
      <c r="N5344" s="12" t="n">
        <v>1</v>
      </c>
      <c r="O5344" s="12" t="n">
        <v>1</v>
      </c>
      <c r="P5344" s="12" t="n">
        <v>480</v>
      </c>
      <c r="Q5344" s="12" t="n">
        <v>7.5</v>
      </c>
      <c r="R5344" s="12" t="n">
        <v>10.6</v>
      </c>
      <c r="S5344" s="12" t="inlineStr">
        <is>
          <t>Tray</t>
        </is>
      </c>
      <c r="T5344" s="16" t="n">
        <v>0</v>
      </c>
      <c r="U5344" s="16" t="n">
        <v>77</v>
      </c>
      <c r="V5344" s="16">
        <f>ROUNDUP((T5344+U5344+2*'Read Me'!$B$13)*(1+'Read Me'!$B$12),-1)</f>
        <v/>
      </c>
      <c r="W5344" s="16">
        <f>V5344*N5344*O5344</f>
        <v/>
      </c>
      <c r="X5344" s="12">
        <f>IF(LEFT(I5344,2)="MV",2*N5344*IF(L5344="1/C",O5344,1),0)</f>
        <v/>
      </c>
      <c r="Y5344" s="12">
        <f>IF(OR(LEFT(K5344,4)="LVAX",LEFT(K5344,6)="MV15AX",LEFT(K5344,4)="CTAX",LEFT(K5344,2)="W|"),2*N5344*O5344,0)</f>
        <v/>
      </c>
      <c r="Z5344" s="12" t="inlineStr">
        <is>
          <t>VD 0.4 %</t>
        </is>
      </c>
      <c r="AA5344" s="12">
        <f>N5344*O5344</f>
        <v/>
      </c>
    </row>
    <row r="5345">
      <c r="A5345" s="12" t="inlineStr">
        <is>
          <t>I-P-0226</t>
        </is>
      </c>
      <c r="B5345" s="12" t="inlineStr">
        <is>
          <t>I</t>
        </is>
      </c>
      <c r="C5345" s="12" t="inlineStr">
        <is>
          <t>Modular / portable power</t>
        </is>
      </c>
      <c r="D5345" s="12" t="inlineStr">
        <is>
          <t>Motor 1 of 4, 15 kW</t>
        </is>
      </c>
      <c r="E5345" s="12" t="inlineStr"/>
      <c r="F5345" s="12" t="inlineStr">
        <is>
          <t>SC-1 PCM + 15 kV GCB</t>
        </is>
      </c>
      <c r="G5345" s="12" t="inlineStr"/>
      <c r="H5345" s="12" t="inlineStr">
        <is>
          <t>SC-1 lube-oil fin-fan cooler</t>
        </is>
      </c>
      <c r="I5345" s="12" t="inlineStr">
        <is>
          <t>LV 600 V</t>
        </is>
      </c>
      <c r="J5345" s="12" t="inlineStr">
        <is>
          <t>Type TC-ER 600 V 3/C Cu XHHW-2 + ground, PVC jacket</t>
        </is>
      </c>
      <c r="K5345" s="12" t="inlineStr">
        <is>
          <t>LV|3/C+G|10</t>
        </is>
      </c>
      <c r="L5345" s="12" t="inlineStr">
        <is>
          <t>3/C+G</t>
        </is>
      </c>
      <c r="M5345" s="12" t="inlineStr">
        <is>
          <t>10</t>
        </is>
      </c>
      <c r="N5345" s="12" t="n">
        <v>1</v>
      </c>
      <c r="O5345" s="12" t="n">
        <v>1</v>
      </c>
      <c r="P5345" s="12" t="n">
        <v>480</v>
      </c>
      <c r="Q5345" s="12" t="n">
        <v>15</v>
      </c>
      <c r="R5345" s="12" t="n">
        <v>21.2</v>
      </c>
      <c r="S5345" s="12" t="inlineStr">
        <is>
          <t>Tray</t>
        </is>
      </c>
      <c r="T5345" s="16" t="n">
        <v>0</v>
      </c>
      <c r="U5345" s="16" t="n">
        <v>82</v>
      </c>
      <c r="V5345" s="16">
        <f>ROUNDUP((T5345+U5345+2*'Read Me'!$B$13)*(1+'Read Me'!$B$12),-1)</f>
        <v/>
      </c>
      <c r="W5345" s="16">
        <f>V5345*N5345*O5345</f>
        <v/>
      </c>
      <c r="X5345" s="12">
        <f>IF(LEFT(I5345,2)="MV",2*N5345*IF(L5345="1/C",O5345,1),0)</f>
        <v/>
      </c>
      <c r="Y5345" s="12">
        <f>IF(OR(LEFT(K5345,4)="LVAX",LEFT(K5345,6)="MV15AX",LEFT(K5345,4)="CTAX",LEFT(K5345,2)="W|"),2*N5345*O5345,0)</f>
        <v/>
      </c>
      <c r="Z5345" s="12" t="inlineStr">
        <is>
          <t>VD 0.8 %</t>
        </is>
      </c>
      <c r="AA5345" s="12">
        <f>N5345*O5345</f>
        <v/>
      </c>
    </row>
    <row r="5346">
      <c r="A5346" s="12" t="inlineStr">
        <is>
          <t>I-P-0227</t>
        </is>
      </c>
      <c r="B5346" s="12" t="inlineStr">
        <is>
          <t>I</t>
        </is>
      </c>
      <c r="C5346" s="12" t="inlineStr">
        <is>
          <t>Modular / portable power</t>
        </is>
      </c>
      <c r="D5346" s="12" t="inlineStr">
        <is>
          <t>Motor 2 of 4, 15 kW</t>
        </is>
      </c>
      <c r="E5346" s="12" t="inlineStr"/>
      <c r="F5346" s="12" t="inlineStr">
        <is>
          <t>SC-1 PCM + 15 kV GCB</t>
        </is>
      </c>
      <c r="G5346" s="12" t="inlineStr"/>
      <c r="H5346" s="12" t="inlineStr">
        <is>
          <t>SC-1 lube-oil fin-fan cooler</t>
        </is>
      </c>
      <c r="I5346" s="12" t="inlineStr">
        <is>
          <t>LV 600 V</t>
        </is>
      </c>
      <c r="J5346" s="12" t="inlineStr">
        <is>
          <t>Type TC-ER 600 V 3/C Cu XHHW-2 + ground, PVC jacket</t>
        </is>
      </c>
      <c r="K5346" s="12" t="inlineStr">
        <is>
          <t>LV|3/C+G|10</t>
        </is>
      </c>
      <c r="L5346" s="12" t="inlineStr">
        <is>
          <t>3/C+G</t>
        </is>
      </c>
      <c r="M5346" s="12" t="inlineStr">
        <is>
          <t>10</t>
        </is>
      </c>
      <c r="N5346" s="12" t="n">
        <v>1</v>
      </c>
      <c r="O5346" s="12" t="n">
        <v>1</v>
      </c>
      <c r="P5346" s="12" t="n">
        <v>480</v>
      </c>
      <c r="Q5346" s="12" t="n">
        <v>15</v>
      </c>
      <c r="R5346" s="12" t="n">
        <v>21.2</v>
      </c>
      <c r="S5346" s="12" t="inlineStr">
        <is>
          <t>Tray</t>
        </is>
      </c>
      <c r="T5346" s="16" t="n">
        <v>0</v>
      </c>
      <c r="U5346" s="16" t="n">
        <v>82</v>
      </c>
      <c r="V5346" s="16">
        <f>ROUNDUP((T5346+U5346+2*'Read Me'!$B$13)*(1+'Read Me'!$B$12),-1)</f>
        <v/>
      </c>
      <c r="W5346" s="16">
        <f>V5346*N5346*O5346</f>
        <v/>
      </c>
      <c r="X5346" s="12">
        <f>IF(LEFT(I5346,2)="MV",2*N5346*IF(L5346="1/C",O5346,1),0)</f>
        <v/>
      </c>
      <c r="Y5346" s="12">
        <f>IF(OR(LEFT(K5346,4)="LVAX",LEFT(K5346,6)="MV15AX",LEFT(K5346,4)="CTAX",LEFT(K5346,2)="W|"),2*N5346*O5346,0)</f>
        <v/>
      </c>
      <c r="Z5346" s="12" t="inlineStr">
        <is>
          <t>VD 0.8 %</t>
        </is>
      </c>
      <c r="AA5346" s="12">
        <f>N5346*O5346</f>
        <v/>
      </c>
    </row>
    <row r="5347">
      <c r="A5347" s="12" t="inlineStr">
        <is>
          <t>I-P-0228</t>
        </is>
      </c>
      <c r="B5347" s="12" t="inlineStr">
        <is>
          <t>I</t>
        </is>
      </c>
      <c r="C5347" s="12" t="inlineStr">
        <is>
          <t>Modular / portable power</t>
        </is>
      </c>
      <c r="D5347" s="12" t="inlineStr">
        <is>
          <t>Motor 3 of 4, 15 kW</t>
        </is>
      </c>
      <c r="E5347" s="12" t="inlineStr"/>
      <c r="F5347" s="12" t="inlineStr">
        <is>
          <t>SC-1 PCM + 15 kV GCB</t>
        </is>
      </c>
      <c r="G5347" s="12" t="inlineStr"/>
      <c r="H5347" s="12" t="inlineStr">
        <is>
          <t>SC-1 lube-oil fin-fan cooler</t>
        </is>
      </c>
      <c r="I5347" s="12" t="inlineStr">
        <is>
          <t>LV 600 V</t>
        </is>
      </c>
      <c r="J5347" s="12" t="inlineStr">
        <is>
          <t>Type TC-ER 600 V 3/C Cu XHHW-2 + ground, PVC jacket</t>
        </is>
      </c>
      <c r="K5347" s="12" t="inlineStr">
        <is>
          <t>LV|3/C+G|10</t>
        </is>
      </c>
      <c r="L5347" s="12" t="inlineStr">
        <is>
          <t>3/C+G</t>
        </is>
      </c>
      <c r="M5347" s="12" t="inlineStr">
        <is>
          <t>10</t>
        </is>
      </c>
      <c r="N5347" s="12" t="n">
        <v>1</v>
      </c>
      <c r="O5347" s="12" t="n">
        <v>1</v>
      </c>
      <c r="P5347" s="12" t="n">
        <v>480</v>
      </c>
      <c r="Q5347" s="12" t="n">
        <v>15</v>
      </c>
      <c r="R5347" s="12" t="n">
        <v>21.2</v>
      </c>
      <c r="S5347" s="12" t="inlineStr">
        <is>
          <t>Tray</t>
        </is>
      </c>
      <c r="T5347" s="16" t="n">
        <v>0</v>
      </c>
      <c r="U5347" s="16" t="n">
        <v>82</v>
      </c>
      <c r="V5347" s="16">
        <f>ROUNDUP((T5347+U5347+2*'Read Me'!$B$13)*(1+'Read Me'!$B$12),-1)</f>
        <v/>
      </c>
      <c r="W5347" s="16">
        <f>V5347*N5347*O5347</f>
        <v/>
      </c>
      <c r="X5347" s="12">
        <f>IF(LEFT(I5347,2)="MV",2*N5347*IF(L5347="1/C",O5347,1),0)</f>
        <v/>
      </c>
      <c r="Y5347" s="12">
        <f>IF(OR(LEFT(K5347,4)="LVAX",LEFT(K5347,6)="MV15AX",LEFT(K5347,4)="CTAX",LEFT(K5347,2)="W|"),2*N5347*O5347,0)</f>
        <v/>
      </c>
      <c r="Z5347" s="12" t="inlineStr">
        <is>
          <t>VD 0.8 %</t>
        </is>
      </c>
      <c r="AA5347" s="12">
        <f>N5347*O5347</f>
        <v/>
      </c>
    </row>
    <row r="5348">
      <c r="A5348" s="12" t="inlineStr">
        <is>
          <t>I-P-0229</t>
        </is>
      </c>
      <c r="B5348" s="12" t="inlineStr">
        <is>
          <t>I</t>
        </is>
      </c>
      <c r="C5348" s="12" t="inlineStr">
        <is>
          <t>Modular / portable power</t>
        </is>
      </c>
      <c r="D5348" s="12" t="inlineStr">
        <is>
          <t>Motor 4 of 4, 15 kW</t>
        </is>
      </c>
      <c r="E5348" s="12" t="inlineStr"/>
      <c r="F5348" s="12" t="inlineStr">
        <is>
          <t>SC-1 PCM + 15 kV GCB</t>
        </is>
      </c>
      <c r="G5348" s="12" t="inlineStr"/>
      <c r="H5348" s="12" t="inlineStr">
        <is>
          <t>SC-1 lube-oil fin-fan cooler</t>
        </is>
      </c>
      <c r="I5348" s="12" t="inlineStr">
        <is>
          <t>LV 600 V</t>
        </is>
      </c>
      <c r="J5348" s="12" t="inlineStr">
        <is>
          <t>Type TC-ER 600 V 3/C Cu XHHW-2 + ground, PVC jacket</t>
        </is>
      </c>
      <c r="K5348" s="12" t="inlineStr">
        <is>
          <t>LV|3/C+G|10</t>
        </is>
      </c>
      <c r="L5348" s="12" t="inlineStr">
        <is>
          <t>3/C+G</t>
        </is>
      </c>
      <c r="M5348" s="12" t="inlineStr">
        <is>
          <t>10</t>
        </is>
      </c>
      <c r="N5348" s="12" t="n">
        <v>1</v>
      </c>
      <c r="O5348" s="12" t="n">
        <v>1</v>
      </c>
      <c r="P5348" s="12" t="n">
        <v>480</v>
      </c>
      <c r="Q5348" s="12" t="n">
        <v>15</v>
      </c>
      <c r="R5348" s="12" t="n">
        <v>21.2</v>
      </c>
      <c r="S5348" s="12" t="inlineStr">
        <is>
          <t>Tray</t>
        </is>
      </c>
      <c r="T5348" s="16" t="n">
        <v>0</v>
      </c>
      <c r="U5348" s="16" t="n">
        <v>82</v>
      </c>
      <c r="V5348" s="16">
        <f>ROUNDUP((T5348+U5348+2*'Read Me'!$B$13)*(1+'Read Me'!$B$12),-1)</f>
        <v/>
      </c>
      <c r="W5348" s="16">
        <f>V5348*N5348*O5348</f>
        <v/>
      </c>
      <c r="X5348" s="12">
        <f>IF(LEFT(I5348,2)="MV",2*N5348*IF(L5348="1/C",O5348,1),0)</f>
        <v/>
      </c>
      <c r="Y5348" s="12">
        <f>IF(OR(LEFT(K5348,4)="LVAX",LEFT(K5348,6)="MV15AX",LEFT(K5348,4)="CTAX",LEFT(K5348,2)="W|"),2*N5348*O5348,0)</f>
        <v/>
      </c>
      <c r="Z5348" s="12" t="inlineStr">
        <is>
          <t>VD 0.8 %</t>
        </is>
      </c>
      <c r="AA5348" s="12">
        <f>N5348*O5348</f>
        <v/>
      </c>
    </row>
    <row r="5349">
      <c r="A5349" s="12" t="inlineStr">
        <is>
          <t>I-P-0230</t>
        </is>
      </c>
      <c r="B5349" s="12" t="inlineStr">
        <is>
          <t>I</t>
        </is>
      </c>
      <c r="C5349" s="12" t="inlineStr">
        <is>
          <t>Modular / portable power</t>
        </is>
      </c>
      <c r="D5349" s="12" t="inlineStr">
        <is>
          <t>Area / platform lighting circuit 1 (4 fixtures)</t>
        </is>
      </c>
      <c r="E5349" s="12" t="inlineStr"/>
      <c r="F5349" s="12" t="inlineStr">
        <is>
          <t>SC-1 PCM + 15 kV GCB</t>
        </is>
      </c>
      <c r="G5349" s="12" t="inlineStr"/>
      <c r="H5349" s="12" t="inlineStr">
        <is>
          <t>SC-1 stack (80 ft)</t>
        </is>
      </c>
      <c r="I5349" s="12" t="inlineStr">
        <is>
          <t>LV 600 V</t>
        </is>
      </c>
      <c r="J5349" s="12" t="inlineStr">
        <is>
          <t>Type TC-ER 600 V 3/C Cu XHHW-2 + ground, PVC jacket</t>
        </is>
      </c>
      <c r="K5349" s="12" t="inlineStr">
        <is>
          <t>LV|3/C+G|10</t>
        </is>
      </c>
      <c r="L5349" s="12" t="inlineStr">
        <is>
          <t>3/C+G</t>
        </is>
      </c>
      <c r="M5349" s="12" t="inlineStr">
        <is>
          <t>10</t>
        </is>
      </c>
      <c r="N5349" s="12" t="n">
        <v>1</v>
      </c>
      <c r="O5349" s="12" t="n">
        <v>1</v>
      </c>
      <c r="P5349" s="12" t="n">
        <v>480</v>
      </c>
      <c r="Q5349" s="12" t="n">
        <v>3</v>
      </c>
      <c r="R5349" s="12" t="n">
        <v>5</v>
      </c>
      <c r="S5349" s="12" t="inlineStr">
        <is>
          <t>Tray</t>
        </is>
      </c>
      <c r="T5349" s="16" t="n">
        <v>300</v>
      </c>
      <c r="U5349" s="16" t="n">
        <v>208</v>
      </c>
      <c r="V5349" s="16">
        <f>ROUNDUP((T5349+U5349+2*'Read Me'!$B$13)*(1+'Read Me'!$B$12),-1)</f>
        <v/>
      </c>
      <c r="W5349" s="16">
        <f>V5349*N5349*O5349</f>
        <v/>
      </c>
      <c r="X5349" s="12">
        <f>IF(LEFT(I5349,2)="MV",2*N5349*IF(L5349="1/C",O5349,1),0)</f>
        <v/>
      </c>
      <c r="Y5349" s="12">
        <f>IF(OR(LEFT(K5349,4)="LVAX",LEFT(K5349,6)="MV15AX",LEFT(K5349,4)="CTAX",LEFT(K5349,2)="W|"),2*N5349*O5349,0)</f>
        <v/>
      </c>
      <c r="Z5349" s="12" t="inlineStr">
        <is>
          <t>fixture-to-fixture run included</t>
        </is>
      </c>
      <c r="AA5349" s="12">
        <f>N5349*O5349</f>
        <v/>
      </c>
    </row>
    <row r="5350">
      <c r="A5350" s="12" t="inlineStr">
        <is>
          <t>I-P-0231</t>
        </is>
      </c>
      <c r="B5350" s="12" t="inlineStr">
        <is>
          <t>I</t>
        </is>
      </c>
      <c r="C5350" s="12" t="inlineStr">
        <is>
          <t>Modular / portable power</t>
        </is>
      </c>
      <c r="D5350" s="12" t="inlineStr">
        <is>
          <t>Motor 1 of 2, 185 kW</t>
        </is>
      </c>
      <c r="E5350" s="12" t="inlineStr"/>
      <c r="F5350" s="12" t="inlineStr">
        <is>
          <t>SC-1 PCM + 15 kV GCB</t>
        </is>
      </c>
      <c r="G5350" s="12" t="inlineStr"/>
      <c r="H5350" s="12" t="inlineStr">
        <is>
          <t>SC-1 tempering-air fans (2 x 100 %)</t>
        </is>
      </c>
      <c r="I5350" s="12" t="inlineStr">
        <is>
          <t>LV 600 V</t>
        </is>
      </c>
      <c r="J5350" s="12" t="inlineStr">
        <is>
          <t>Type TC-ER 600 V 3/C Cu XHHW-2 + ground, PVC jacket</t>
        </is>
      </c>
      <c r="K5350" s="12" t="inlineStr">
        <is>
          <t>LV|3/C+G|500</t>
        </is>
      </c>
      <c r="L5350" s="12" t="inlineStr">
        <is>
          <t>3/C+G</t>
        </is>
      </c>
      <c r="M5350" s="12" t="inlineStr">
        <is>
          <t>500 kcmil</t>
        </is>
      </c>
      <c r="N5350" s="12" t="n">
        <v>1</v>
      </c>
      <c r="O5350" s="12" t="n">
        <v>1</v>
      </c>
      <c r="P5350" s="12" t="n">
        <v>480</v>
      </c>
      <c r="Q5350" s="12" t="n">
        <v>185</v>
      </c>
      <c r="R5350" s="12" t="n">
        <v>261.8</v>
      </c>
      <c r="S5350" s="12" t="inlineStr">
        <is>
          <t>Tray</t>
        </is>
      </c>
      <c r="T5350" s="16" t="n">
        <v>0</v>
      </c>
      <c r="U5350" s="16" t="n">
        <v>156</v>
      </c>
      <c r="V5350" s="16">
        <f>ROUNDUP((T5350+U5350+2*'Read Me'!$B$13)*(1+'Read Me'!$B$12),-1)</f>
        <v/>
      </c>
      <c r="W5350" s="16">
        <f>V5350*N5350*O5350</f>
        <v/>
      </c>
      <c r="X5350" s="12">
        <f>IF(LEFT(I5350,2)="MV",2*N5350*IF(L5350="1/C",O5350,1),0)</f>
        <v/>
      </c>
      <c r="Y5350" s="12">
        <f>IF(OR(LEFT(K5350,4)="LVAX",LEFT(K5350,6)="MV15AX",LEFT(K5350,4)="CTAX",LEFT(K5350,2)="W|"),2*N5350*O5350,0)</f>
        <v/>
      </c>
      <c r="Z5350" s="12" t="inlineStr">
        <is>
          <t>VD 0.4 %</t>
        </is>
      </c>
      <c r="AA5350" s="12">
        <f>N5350*O5350</f>
        <v/>
      </c>
    </row>
    <row r="5351">
      <c r="A5351" s="12" t="inlineStr">
        <is>
          <t>I-P-0232</t>
        </is>
      </c>
      <c r="B5351" s="12" t="inlineStr">
        <is>
          <t>I</t>
        </is>
      </c>
      <c r="C5351" s="12" t="inlineStr">
        <is>
          <t>Modular / portable power</t>
        </is>
      </c>
      <c r="D5351" s="12" t="inlineStr">
        <is>
          <t>Motor 2 of 2, 185 kW</t>
        </is>
      </c>
      <c r="E5351" s="12" t="inlineStr"/>
      <c r="F5351" s="12" t="inlineStr">
        <is>
          <t>SC-1 PCM + 15 kV GCB</t>
        </is>
      </c>
      <c r="G5351" s="12" t="inlineStr"/>
      <c r="H5351" s="12" t="inlineStr">
        <is>
          <t>SC-1 tempering-air fans (2 x 100 %)</t>
        </is>
      </c>
      <c r="I5351" s="12" t="inlineStr">
        <is>
          <t>LV 600 V</t>
        </is>
      </c>
      <c r="J5351" s="12" t="inlineStr">
        <is>
          <t>Type TC-ER 600 V 3/C Cu XHHW-2 + ground, PVC jacket</t>
        </is>
      </c>
      <c r="K5351" s="12" t="inlineStr">
        <is>
          <t>LV|3/C+G|500</t>
        </is>
      </c>
      <c r="L5351" s="12" t="inlineStr">
        <is>
          <t>3/C+G</t>
        </is>
      </c>
      <c r="M5351" s="12" t="inlineStr">
        <is>
          <t>500 kcmil</t>
        </is>
      </c>
      <c r="N5351" s="12" t="n">
        <v>1</v>
      </c>
      <c r="O5351" s="12" t="n">
        <v>1</v>
      </c>
      <c r="P5351" s="12" t="n">
        <v>480</v>
      </c>
      <c r="Q5351" s="12" t="n">
        <v>185</v>
      </c>
      <c r="R5351" s="12" t="n">
        <v>261.8</v>
      </c>
      <c r="S5351" s="12" t="inlineStr">
        <is>
          <t>Tray</t>
        </is>
      </c>
      <c r="T5351" s="16" t="n">
        <v>0</v>
      </c>
      <c r="U5351" s="16" t="n">
        <v>156</v>
      </c>
      <c r="V5351" s="16">
        <f>ROUNDUP((T5351+U5351+2*'Read Me'!$B$13)*(1+'Read Me'!$B$12),-1)</f>
        <v/>
      </c>
      <c r="W5351" s="16">
        <f>V5351*N5351*O5351</f>
        <v/>
      </c>
      <c r="X5351" s="12">
        <f>IF(LEFT(I5351,2)="MV",2*N5351*IF(L5351="1/C",O5351,1),0)</f>
        <v/>
      </c>
      <c r="Y5351" s="12">
        <f>IF(OR(LEFT(K5351,4)="LVAX",LEFT(K5351,6)="MV15AX",LEFT(K5351,4)="CTAX",LEFT(K5351,2)="W|"),2*N5351*O5351,0)</f>
        <v/>
      </c>
      <c r="Z5351" s="12" t="inlineStr">
        <is>
          <t>VD 0.4 %</t>
        </is>
      </c>
      <c r="AA5351" s="12">
        <f>N5351*O5351</f>
        <v/>
      </c>
    </row>
    <row r="5352">
      <c r="A5352" s="12" t="inlineStr">
        <is>
          <t>I-P-0233</t>
        </is>
      </c>
      <c r="B5352" s="12" t="inlineStr">
        <is>
          <t>I</t>
        </is>
      </c>
      <c r="C5352" s="12" t="inlineStr">
        <is>
          <t>Modular / portable power</t>
        </is>
      </c>
      <c r="D5352" s="12" t="inlineStr">
        <is>
          <t>Area / platform lighting circuit 1 (4 fixtures)</t>
        </is>
      </c>
      <c r="E5352" s="12" t="inlineStr"/>
      <c r="F5352" s="12" t="inlineStr">
        <is>
          <t>SC-1 PCM + 15 kV GCB</t>
        </is>
      </c>
      <c r="G5352" s="12" t="inlineStr"/>
      <c r="H5352" s="12" t="inlineStr">
        <is>
          <t>SC-1 tempering-air fans (2 x 100 %)</t>
        </is>
      </c>
      <c r="I5352" s="12" t="inlineStr">
        <is>
          <t>LV 600 V</t>
        </is>
      </c>
      <c r="J5352" s="12" t="inlineStr">
        <is>
          <t>Type TC-ER 600 V 3/C Cu XHHW-2 + ground, PVC jacket</t>
        </is>
      </c>
      <c r="K5352" s="12" t="inlineStr">
        <is>
          <t>LV|3/C+G|10</t>
        </is>
      </c>
      <c r="L5352" s="12" t="inlineStr">
        <is>
          <t>3/C+G</t>
        </is>
      </c>
      <c r="M5352" s="12" t="inlineStr">
        <is>
          <t>10</t>
        </is>
      </c>
      <c r="N5352" s="12" t="n">
        <v>1</v>
      </c>
      <c r="O5352" s="12" t="n">
        <v>1</v>
      </c>
      <c r="P5352" s="12" t="n">
        <v>480</v>
      </c>
      <c r="Q5352" s="12" t="n">
        <v>3</v>
      </c>
      <c r="R5352" s="12" t="n">
        <v>5</v>
      </c>
      <c r="S5352" s="12" t="inlineStr">
        <is>
          <t>Tray</t>
        </is>
      </c>
      <c r="T5352" s="16" t="n">
        <v>300</v>
      </c>
      <c r="U5352" s="16" t="n">
        <v>156</v>
      </c>
      <c r="V5352" s="16">
        <f>ROUNDUP((T5352+U5352+2*'Read Me'!$B$13)*(1+'Read Me'!$B$12),-1)</f>
        <v/>
      </c>
      <c r="W5352" s="16">
        <f>V5352*N5352*O5352</f>
        <v/>
      </c>
      <c r="X5352" s="12">
        <f>IF(LEFT(I5352,2)="MV",2*N5352*IF(L5352="1/C",O5352,1),0)</f>
        <v/>
      </c>
      <c r="Y5352" s="12">
        <f>IF(OR(LEFT(K5352,4)="LVAX",LEFT(K5352,6)="MV15AX",LEFT(K5352,4)="CTAX",LEFT(K5352,2)="W|"),2*N5352*O5352,0)</f>
        <v/>
      </c>
      <c r="Z5352" s="12" t="inlineStr">
        <is>
          <t>fixture-to-fixture run included</t>
        </is>
      </c>
      <c r="AA5352" s="12">
        <f>N5352*O5352</f>
        <v/>
      </c>
    </row>
    <row r="5353">
      <c r="A5353" s="12" t="inlineStr">
        <is>
          <t>I-P-0234</t>
        </is>
      </c>
      <c r="B5353" s="12" t="inlineStr">
        <is>
          <t>I</t>
        </is>
      </c>
      <c r="C5353" s="12" t="inlineStr">
        <is>
          <t>Modular / portable power</t>
        </is>
      </c>
      <c r="D5353" s="12" t="inlineStr">
        <is>
          <t>SC-1 emergency DC lube-oil pump (125 V DC, coast-down)</t>
        </is>
      </c>
      <c r="E5353" s="12" t="inlineStr"/>
      <c r="F5353" s="12" t="inlineStr">
        <is>
          <t>SC-1 PCM + 15 kV GCB</t>
        </is>
      </c>
      <c r="G5353" s="12" t="inlineStr">
        <is>
          <t>SC-1</t>
        </is>
      </c>
      <c r="H5353" s="12" t="inlineStr">
        <is>
          <t>SC-1: aeroderivative simple-cycle unit (LM6000 class)</t>
        </is>
      </c>
      <c r="I5353" s="12" t="inlineStr">
        <is>
          <t>LV 600 V</t>
        </is>
      </c>
      <c r="J5353" s="12" t="inlineStr">
        <is>
          <t>XHHW-2 600 V 1/C Cu (feeder sets in tray / duct)</t>
        </is>
      </c>
      <c r="K5353" s="12" t="inlineStr">
        <is>
          <t>LV1C|1/C|2</t>
        </is>
      </c>
      <c r="L5353" s="12" t="inlineStr">
        <is>
          <t>1/C</t>
        </is>
      </c>
      <c r="M5353" s="12" t="inlineStr">
        <is>
          <t>2</t>
        </is>
      </c>
      <c r="N5353" s="12" t="n">
        <v>1</v>
      </c>
      <c r="O5353" s="12" t="n">
        <v>2</v>
      </c>
      <c r="P5353" s="12" t="n">
        <v>125</v>
      </c>
      <c r="Q5353" s="12" t="n">
        <v>7.5</v>
      </c>
      <c r="R5353" s="12" t="n">
        <v>65</v>
      </c>
      <c r="S5353" s="12" t="inlineStr">
        <is>
          <t>Tray</t>
        </is>
      </c>
      <c r="T5353" s="16" t="n">
        <v>0</v>
      </c>
      <c r="U5353" s="16" t="n">
        <v>64</v>
      </c>
      <c r="V5353" s="16">
        <f>ROUNDUP((T5353+U5353+2*'Read Me'!$B$13)*(1+'Read Me'!$B$12),-1)</f>
        <v/>
      </c>
      <c r="W5353" s="16">
        <f>V5353*N5353*O5353</f>
        <v/>
      </c>
      <c r="X5353" s="12">
        <f>IF(LEFT(I5353,2)="MV",2*N5353*IF(L5353="1/C",O5353,1),0)</f>
        <v/>
      </c>
      <c r="Y5353" s="12">
        <f>IF(OR(LEFT(K5353,4)="LVAX",LEFT(K5353,6)="MV15AX",LEFT(K5353,4)="CTAX",LEFT(K5353,2)="W|"),2*N5353*O5353,0)</f>
        <v/>
      </c>
      <c r="Z5353" s="12" t="inlineStr">
        <is>
          <t>LM6000 class: DC pump keeps the bearings fed on loss of AC</t>
        </is>
      </c>
      <c r="AA5353" s="12">
        <f>N5353*O5353</f>
        <v/>
      </c>
    </row>
    <row r="5354">
      <c r="A5354" s="12" t="inlineStr">
        <is>
          <t>I-P-0235</t>
        </is>
      </c>
      <c r="B5354" s="12" t="inlineStr">
        <is>
          <t>I</t>
        </is>
      </c>
      <c r="C5354" s="12" t="inlineStr">
        <is>
          <t>Modular / portable power</t>
        </is>
      </c>
      <c r="D5354" s="12" t="inlineStr">
        <is>
          <t>SC-1 120 V AC UPS to the unit control and protection</t>
        </is>
      </c>
      <c r="E5354" s="12" t="inlineStr"/>
      <c r="F5354" s="12" t="inlineStr">
        <is>
          <t>SC-1 PCM + 15 kV GCB</t>
        </is>
      </c>
      <c r="G5354" s="12" t="inlineStr">
        <is>
          <t>SC-1</t>
        </is>
      </c>
      <c r="H5354" s="12" t="inlineStr">
        <is>
          <t>SC-1: aeroderivative simple-cycle unit (LM6000 class)</t>
        </is>
      </c>
      <c r="I5354" s="12" t="inlineStr">
        <is>
          <t>LV 600 V</t>
        </is>
      </c>
      <c r="J5354" s="12" t="inlineStr">
        <is>
          <t>XHHW-2 600 V 1/C Cu (feeder sets in tray / duct)</t>
        </is>
      </c>
      <c r="K5354" s="12" t="inlineStr">
        <is>
          <t>LV1C|1/C|6</t>
        </is>
      </c>
      <c r="L5354" s="12" t="inlineStr">
        <is>
          <t>1/C</t>
        </is>
      </c>
      <c r="M5354" s="12" t="inlineStr">
        <is>
          <t>6</t>
        </is>
      </c>
      <c r="N5354" s="12" t="n">
        <v>1</v>
      </c>
      <c r="O5354" s="12" t="n">
        <v>2</v>
      </c>
      <c r="P5354" s="12" t="n">
        <v>120</v>
      </c>
      <c r="Q5354" s="12" t="n">
        <v>5</v>
      </c>
      <c r="R5354" s="12" t="n"/>
      <c r="S5354" s="12" t="inlineStr">
        <is>
          <t>Tray</t>
        </is>
      </c>
      <c r="T5354" s="16" t="n">
        <v>0</v>
      </c>
      <c r="U5354" s="16" t="n">
        <v>64</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I-P-0236</t>
        </is>
      </c>
      <c r="B5355" s="12" t="inlineStr">
        <is>
          <t>I</t>
        </is>
      </c>
      <c r="C5355" s="12" t="inlineStr">
        <is>
          <t>Modular / portable power</t>
        </is>
      </c>
      <c r="D5355" s="12" t="inlineStr">
        <is>
          <t>SC-1 hydraulic starter pump motor (start sequence only)</t>
        </is>
      </c>
      <c r="E5355" s="12" t="inlineStr"/>
      <c r="F5355" s="12" t="inlineStr">
        <is>
          <t>SC-1 PCM + 15 kV GCB</t>
        </is>
      </c>
      <c r="G5355" s="12" t="inlineStr">
        <is>
          <t>SC-1</t>
        </is>
      </c>
      <c r="H5355" s="12" t="inlineStr">
        <is>
          <t>SC-1: aeroderivative simple-cycle unit (LM6000 class)</t>
        </is>
      </c>
      <c r="I5355" s="12" t="inlineStr">
        <is>
          <t>LV 600 V</t>
        </is>
      </c>
      <c r="J5355" s="12" t="inlineStr">
        <is>
          <t>Type TC-ER 600 V 3/C Cu XHHW-2 + ground, PVC jacket</t>
        </is>
      </c>
      <c r="K5355" s="12" t="inlineStr">
        <is>
          <t>LV|3/C+G|3/0</t>
        </is>
      </c>
      <c r="L5355" s="12" t="inlineStr">
        <is>
          <t>3/C+G</t>
        </is>
      </c>
      <c r="M5355" s="12" t="inlineStr">
        <is>
          <t>3/0</t>
        </is>
      </c>
      <c r="N5355" s="12" t="n">
        <v>2</v>
      </c>
      <c r="O5355" s="12" t="n">
        <v>1</v>
      </c>
      <c r="P5355" s="12" t="n">
        <v>480</v>
      </c>
      <c r="Q5355" s="12" t="n">
        <v>225</v>
      </c>
      <c r="R5355" s="12" t="n">
        <v>318.4</v>
      </c>
      <c r="S5355" s="12" t="inlineStr">
        <is>
          <t>Tray</t>
        </is>
      </c>
      <c r="T5355" s="16" t="n">
        <v>0</v>
      </c>
      <c r="U5355" s="16" t="n">
        <v>64</v>
      </c>
      <c r="V5355" s="16">
        <f>ROUNDUP((T5355+U5355+2*'Read Me'!$B$13)*(1+'Read Me'!$B$12),-1)</f>
        <v/>
      </c>
      <c r="W5355" s="16">
        <f>V5355*N5355*O5355</f>
        <v/>
      </c>
      <c r="X5355" s="12">
        <f>IF(LEFT(I5355,2)="MV",2*N5355*IF(L5355="1/C",O5355,1),0)</f>
        <v/>
      </c>
      <c r="Y5355" s="12">
        <f>IF(OR(LEFT(K5355,4)="LVAX",LEFT(K5355,6)="MV15AX",LEFT(K5355,4)="CTAX",LEFT(K5355,2)="W|"),2*N5355*O5355,0)</f>
        <v/>
      </c>
      <c r="Z5355" s="12" t="inlineStr">
        <is>
          <t>typical LM6000 hydraulic start; verify starter type / rating with the OEM</t>
        </is>
      </c>
      <c r="AA5355" s="12">
        <f>N5355*O5355</f>
        <v/>
      </c>
    </row>
    <row r="5356">
      <c r="A5356" s="12" t="inlineStr">
        <is>
          <t>I-P-0237</t>
        </is>
      </c>
      <c r="B5356" s="12" t="inlineStr">
        <is>
          <t>I</t>
        </is>
      </c>
      <c r="C5356" s="12" t="inlineStr">
        <is>
          <t>Modular / portable power</t>
        </is>
      </c>
      <c r="D5356" s="12" t="inlineStr">
        <is>
          <t>SC-1 480 V welding receptacle 1</t>
        </is>
      </c>
      <c r="E5356" s="12" t="inlineStr"/>
      <c r="F5356" s="12" t="inlineStr">
        <is>
          <t>SC-1 PCM + 15 kV GCB</t>
        </is>
      </c>
      <c r="G5356" s="12" t="inlineStr">
        <is>
          <t>SC-1</t>
        </is>
      </c>
      <c r="H5356" s="12" t="inlineStr">
        <is>
          <t>SC-1: aeroderivative simple-cycle unit (LM6000 class)</t>
        </is>
      </c>
      <c r="I5356" s="12" t="inlineStr">
        <is>
          <t>LV 600 V</t>
        </is>
      </c>
      <c r="J5356" s="12" t="inlineStr">
        <is>
          <t>Type TC-ER 600 V 3/C Cu XHHW-2 + ground, PVC jacket</t>
        </is>
      </c>
      <c r="K5356" s="12" t="inlineStr">
        <is>
          <t>LV|3/C+G|2</t>
        </is>
      </c>
      <c r="L5356" s="12" t="inlineStr">
        <is>
          <t>3/C+G</t>
        </is>
      </c>
      <c r="M5356" s="12" t="inlineStr">
        <is>
          <t>2</t>
        </is>
      </c>
      <c r="N5356" s="12" t="n">
        <v>1</v>
      </c>
      <c r="O5356" s="12" t="n">
        <v>1</v>
      </c>
      <c r="P5356" s="12" t="n">
        <v>480</v>
      </c>
      <c r="Q5356" s="12" t="n">
        <v>60</v>
      </c>
      <c r="R5356" s="12" t="n">
        <v>76</v>
      </c>
      <c r="S5356" s="12" t="inlineStr">
        <is>
          <t>Tray</t>
        </is>
      </c>
      <c r="T5356" s="16" t="n">
        <v>0</v>
      </c>
      <c r="U5356" s="16" t="n">
        <v>64</v>
      </c>
      <c r="V5356" s="16">
        <f>ROUNDUP((T5356+U5356+2*'Read Me'!$B$13)*(1+'Read Me'!$B$12),-1)</f>
        <v/>
      </c>
      <c r="W5356" s="16">
        <f>V5356*N5356*O5356</f>
        <v/>
      </c>
      <c r="X5356" s="12">
        <f>IF(LEFT(I5356,2)="MV",2*N5356*IF(L5356="1/C",O5356,1),0)</f>
        <v/>
      </c>
      <c r="Y5356" s="12">
        <f>IF(OR(LEFT(K5356,4)="LVAX",LEFT(K5356,6)="MV15AX",LEFT(K5356,4)="CTAX",LEFT(K5356,2)="W|"),2*N5356*O5356,0)</f>
        <v/>
      </c>
      <c r="Z5356" s="12" t="inlineStr">
        <is>
          <t>VD 0.4 %</t>
        </is>
      </c>
      <c r="AA5356" s="12">
        <f>N5356*O5356</f>
        <v/>
      </c>
    </row>
    <row r="5357">
      <c r="A5357" s="12" t="inlineStr">
        <is>
          <t>I-P-0238</t>
        </is>
      </c>
      <c r="B5357" s="12" t="inlineStr">
        <is>
          <t>I</t>
        </is>
      </c>
      <c r="C5357" s="12" t="inlineStr">
        <is>
          <t>Modular / portable power</t>
        </is>
      </c>
      <c r="D5357" s="12" t="inlineStr">
        <is>
          <t>SC-1 480 V welding receptacle 2</t>
        </is>
      </c>
      <c r="E5357" s="12" t="inlineStr"/>
      <c r="F5357" s="12" t="inlineStr">
        <is>
          <t>SC-1 PCM + 15 kV GCB</t>
        </is>
      </c>
      <c r="G5357" s="12" t="inlineStr">
        <is>
          <t>SC-1</t>
        </is>
      </c>
      <c r="H5357" s="12" t="inlineStr">
        <is>
          <t>SC-1: aeroderivative simple-cycle unit (LM6000 class)</t>
        </is>
      </c>
      <c r="I5357" s="12" t="inlineStr">
        <is>
          <t>LV 600 V</t>
        </is>
      </c>
      <c r="J5357" s="12" t="inlineStr">
        <is>
          <t>Type TC-ER 600 V 3/C Cu XHHW-2 + ground, PVC jacket</t>
        </is>
      </c>
      <c r="K5357" s="12" t="inlineStr">
        <is>
          <t>LV|3/C+G|2</t>
        </is>
      </c>
      <c r="L5357" s="12" t="inlineStr">
        <is>
          <t>3/C+G</t>
        </is>
      </c>
      <c r="M5357" s="12" t="inlineStr">
        <is>
          <t>2</t>
        </is>
      </c>
      <c r="N5357" s="12" t="n">
        <v>1</v>
      </c>
      <c r="O5357" s="12" t="n">
        <v>1</v>
      </c>
      <c r="P5357" s="12" t="n">
        <v>480</v>
      </c>
      <c r="Q5357" s="12" t="n">
        <v>60</v>
      </c>
      <c r="R5357" s="12" t="n">
        <v>76</v>
      </c>
      <c r="S5357" s="12" t="inlineStr">
        <is>
          <t>Tray</t>
        </is>
      </c>
      <c r="T5357" s="16" t="n">
        <v>0</v>
      </c>
      <c r="U5357" s="16" t="n">
        <v>64</v>
      </c>
      <c r="V5357" s="16">
        <f>ROUNDUP((T5357+U5357+2*'Read Me'!$B$13)*(1+'Read Me'!$B$12),-1)</f>
        <v/>
      </c>
      <c r="W5357" s="16">
        <f>V5357*N5357*O5357</f>
        <v/>
      </c>
      <c r="X5357" s="12">
        <f>IF(LEFT(I5357,2)="MV",2*N5357*IF(L5357="1/C",O5357,1),0)</f>
        <v/>
      </c>
      <c r="Y5357" s="12">
        <f>IF(OR(LEFT(K5357,4)="LVAX",LEFT(K5357,6)="MV15AX",LEFT(K5357,4)="CTAX",LEFT(K5357,2)="W|"),2*N5357*O5357,0)</f>
        <v/>
      </c>
      <c r="Z5357" s="12" t="inlineStr">
        <is>
          <t>VD 0.4 %</t>
        </is>
      </c>
      <c r="AA5357" s="12">
        <f>N5357*O5357</f>
        <v/>
      </c>
    </row>
    <row r="5358">
      <c r="A5358" s="12" t="inlineStr">
        <is>
          <t>I-P-0239</t>
        </is>
      </c>
      <c r="B5358" s="12" t="inlineStr">
        <is>
          <t>I</t>
        </is>
      </c>
      <c r="C5358" s="12" t="inlineStr">
        <is>
          <t>Modular / portable power</t>
        </is>
      </c>
      <c r="D5358" s="12" t="inlineStr">
        <is>
          <t>Motor 1 of 10, 30 kW</t>
        </is>
      </c>
      <c r="E5358" s="12" t="inlineStr"/>
      <c r="F5358" s="12" t="inlineStr">
        <is>
          <t>SC-1 PCM + 15 kV GCB</t>
        </is>
      </c>
      <c r="G5358" s="12" t="inlineStr">
        <is>
          <t>SC-1</t>
        </is>
      </c>
      <c r="H5358" s="12" t="inlineStr">
        <is>
          <t>SC-1: aeroderivative simple-cycle unit (LM6000 class)</t>
        </is>
      </c>
      <c r="I5358" s="12" t="inlineStr">
        <is>
          <t>LV 600 V</t>
        </is>
      </c>
      <c r="J5358" s="12" t="inlineStr">
        <is>
          <t>Type TC-ER 600 V 3/C Cu XHHW-2 + ground, PVC jacket</t>
        </is>
      </c>
      <c r="K5358" s="12" t="inlineStr">
        <is>
          <t>LV|3/C+G|6</t>
        </is>
      </c>
      <c r="L5358" s="12" t="inlineStr">
        <is>
          <t>3/C+G</t>
        </is>
      </c>
      <c r="M5358" s="12" t="inlineStr">
        <is>
          <t>6</t>
        </is>
      </c>
      <c r="N5358" s="12" t="n">
        <v>1</v>
      </c>
      <c r="O5358" s="12" t="n">
        <v>1</v>
      </c>
      <c r="P5358" s="12" t="n">
        <v>480</v>
      </c>
      <c r="Q5358" s="12" t="n">
        <v>30</v>
      </c>
      <c r="R5358" s="12" t="n">
        <v>42.5</v>
      </c>
      <c r="S5358" s="12" t="inlineStr">
        <is>
          <t>Tray</t>
        </is>
      </c>
      <c r="T5358" s="16" t="n">
        <v>0</v>
      </c>
      <c r="U5358" s="16" t="n">
        <v>64</v>
      </c>
      <c r="V5358" s="16">
        <f>ROUNDUP((T5358+U5358+2*'Read Me'!$B$13)*(1+'Read Me'!$B$12),-1)</f>
        <v/>
      </c>
      <c r="W5358" s="16">
        <f>V5358*N5358*O5358</f>
        <v/>
      </c>
      <c r="X5358" s="12">
        <f>IF(LEFT(I5358,2)="MV",2*N5358*IF(L5358="1/C",O5358,1),0)</f>
        <v/>
      </c>
      <c r="Y5358" s="12">
        <f>IF(OR(LEFT(K5358,4)="LVAX",LEFT(K5358,6)="MV15AX",LEFT(K5358,4)="CTAX",LEFT(K5358,2)="W|"),2*N5358*O5358,0)</f>
        <v/>
      </c>
      <c r="Z5358" s="12" t="inlineStr">
        <is>
          <t>VD 0.5 %</t>
        </is>
      </c>
      <c r="AA5358" s="12">
        <f>N5358*O5358</f>
        <v/>
      </c>
    </row>
    <row r="5359">
      <c r="A5359" s="12" t="inlineStr">
        <is>
          <t>I-P-0240</t>
        </is>
      </c>
      <c r="B5359" s="12" t="inlineStr">
        <is>
          <t>I</t>
        </is>
      </c>
      <c r="C5359" s="12" t="inlineStr">
        <is>
          <t>Modular / portable power</t>
        </is>
      </c>
      <c r="D5359" s="12" t="inlineStr">
        <is>
          <t>Motor 2 of 10, 30 kW</t>
        </is>
      </c>
      <c r="E5359" s="12" t="inlineStr"/>
      <c r="F5359" s="12" t="inlineStr">
        <is>
          <t>SC-1 PCM + 15 kV GCB</t>
        </is>
      </c>
      <c r="G5359" s="12" t="inlineStr">
        <is>
          <t>SC-1</t>
        </is>
      </c>
      <c r="H5359" s="12" t="inlineStr">
        <is>
          <t>SC-1: aeroderivative simple-cycle unit (LM6000 class)</t>
        </is>
      </c>
      <c r="I5359" s="12" t="inlineStr">
        <is>
          <t>LV 600 V</t>
        </is>
      </c>
      <c r="J5359" s="12" t="inlineStr">
        <is>
          <t>Type TC-ER 600 V 3/C Cu XHHW-2 + ground, PVC jacket</t>
        </is>
      </c>
      <c r="K5359" s="12" t="inlineStr">
        <is>
          <t>LV|3/C+G|6</t>
        </is>
      </c>
      <c r="L5359" s="12" t="inlineStr">
        <is>
          <t>3/C+G</t>
        </is>
      </c>
      <c r="M5359" s="12" t="inlineStr">
        <is>
          <t>6</t>
        </is>
      </c>
      <c r="N5359" s="12" t="n">
        <v>1</v>
      </c>
      <c r="O5359" s="12" t="n">
        <v>1</v>
      </c>
      <c r="P5359" s="12" t="n">
        <v>480</v>
      </c>
      <c r="Q5359" s="12" t="n">
        <v>30</v>
      </c>
      <c r="R5359" s="12" t="n">
        <v>42.5</v>
      </c>
      <c r="S5359" s="12" t="inlineStr">
        <is>
          <t>Tray</t>
        </is>
      </c>
      <c r="T5359" s="16" t="n">
        <v>0</v>
      </c>
      <c r="U5359" s="16" t="n">
        <v>64</v>
      </c>
      <c r="V5359" s="16">
        <f>ROUNDUP((T5359+U5359+2*'Read Me'!$B$13)*(1+'Read Me'!$B$12),-1)</f>
        <v/>
      </c>
      <c r="W5359" s="16">
        <f>V5359*N5359*O5359</f>
        <v/>
      </c>
      <c r="X5359" s="12">
        <f>IF(LEFT(I5359,2)="MV",2*N5359*IF(L5359="1/C",O5359,1),0)</f>
        <v/>
      </c>
      <c r="Y5359" s="12">
        <f>IF(OR(LEFT(K5359,4)="LVAX",LEFT(K5359,6)="MV15AX",LEFT(K5359,4)="CTAX",LEFT(K5359,2)="W|"),2*N5359*O5359,0)</f>
        <v/>
      </c>
      <c r="Z5359" s="12" t="inlineStr">
        <is>
          <t>VD 0.5 %</t>
        </is>
      </c>
      <c r="AA5359" s="12">
        <f>N5359*O5359</f>
        <v/>
      </c>
    </row>
    <row r="5360">
      <c r="A5360" s="12" t="inlineStr">
        <is>
          <t>I-P-0241</t>
        </is>
      </c>
      <c r="B5360" s="12" t="inlineStr">
        <is>
          <t>I</t>
        </is>
      </c>
      <c r="C5360" s="12" t="inlineStr">
        <is>
          <t>Modular / portable power</t>
        </is>
      </c>
      <c r="D5360" s="12" t="inlineStr">
        <is>
          <t>Motor 3 of 10, 30 kW</t>
        </is>
      </c>
      <c r="E5360" s="12" t="inlineStr"/>
      <c r="F5360" s="12" t="inlineStr">
        <is>
          <t>SC-1 PCM + 15 kV GCB</t>
        </is>
      </c>
      <c r="G5360" s="12" t="inlineStr">
        <is>
          <t>SC-1</t>
        </is>
      </c>
      <c r="H5360" s="12" t="inlineStr">
        <is>
          <t>SC-1: aeroderivative simple-cycle unit (LM6000 class)</t>
        </is>
      </c>
      <c r="I5360" s="12" t="inlineStr">
        <is>
          <t>LV 600 V</t>
        </is>
      </c>
      <c r="J5360" s="12" t="inlineStr">
        <is>
          <t>Type TC-ER 600 V 3/C Cu XHHW-2 + ground, PVC jacket</t>
        </is>
      </c>
      <c r="K5360" s="12" t="inlineStr">
        <is>
          <t>LV|3/C+G|6</t>
        </is>
      </c>
      <c r="L5360" s="12" t="inlineStr">
        <is>
          <t>3/C+G</t>
        </is>
      </c>
      <c r="M5360" s="12" t="inlineStr">
        <is>
          <t>6</t>
        </is>
      </c>
      <c r="N5360" s="12" t="n">
        <v>1</v>
      </c>
      <c r="O5360" s="12" t="n">
        <v>1</v>
      </c>
      <c r="P5360" s="12" t="n">
        <v>480</v>
      </c>
      <c r="Q5360" s="12" t="n">
        <v>30</v>
      </c>
      <c r="R5360" s="12" t="n">
        <v>42.5</v>
      </c>
      <c r="S5360" s="12" t="inlineStr">
        <is>
          <t>Tray</t>
        </is>
      </c>
      <c r="T5360" s="16" t="n">
        <v>0</v>
      </c>
      <c r="U5360" s="16" t="n">
        <v>64</v>
      </c>
      <c r="V5360" s="16">
        <f>ROUNDUP((T5360+U5360+2*'Read Me'!$B$13)*(1+'Read Me'!$B$12),-1)</f>
        <v/>
      </c>
      <c r="W5360" s="16">
        <f>V5360*N5360*O5360</f>
        <v/>
      </c>
      <c r="X5360" s="12">
        <f>IF(LEFT(I5360,2)="MV",2*N5360*IF(L5360="1/C",O5360,1),0)</f>
        <v/>
      </c>
      <c r="Y5360" s="12">
        <f>IF(OR(LEFT(K5360,4)="LVAX",LEFT(K5360,6)="MV15AX",LEFT(K5360,4)="CTAX",LEFT(K5360,2)="W|"),2*N5360*O5360,0)</f>
        <v/>
      </c>
      <c r="Z5360" s="12" t="inlineStr">
        <is>
          <t>VD 0.5 %</t>
        </is>
      </c>
      <c r="AA5360" s="12">
        <f>N5360*O5360</f>
        <v/>
      </c>
    </row>
    <row r="5361">
      <c r="A5361" s="12" t="inlineStr">
        <is>
          <t>I-P-0242</t>
        </is>
      </c>
      <c r="B5361" s="12" t="inlineStr">
        <is>
          <t>I</t>
        </is>
      </c>
      <c r="C5361" s="12" t="inlineStr">
        <is>
          <t>Modular / portable power</t>
        </is>
      </c>
      <c r="D5361" s="12" t="inlineStr">
        <is>
          <t>Motor 4 of 10, 30 kW</t>
        </is>
      </c>
      <c r="E5361" s="12" t="inlineStr"/>
      <c r="F5361" s="12" t="inlineStr">
        <is>
          <t>SC-1 PCM + 15 kV GCB</t>
        </is>
      </c>
      <c r="G5361" s="12" t="inlineStr">
        <is>
          <t>SC-1</t>
        </is>
      </c>
      <c r="H5361" s="12" t="inlineStr">
        <is>
          <t>SC-1: aeroderivative simple-cycle unit (LM6000 class)</t>
        </is>
      </c>
      <c r="I5361" s="12" t="inlineStr">
        <is>
          <t>LV 600 V</t>
        </is>
      </c>
      <c r="J5361" s="12" t="inlineStr">
        <is>
          <t>Type TC-ER 600 V 3/C Cu XHHW-2 + ground, PVC jacket</t>
        </is>
      </c>
      <c r="K5361" s="12" t="inlineStr">
        <is>
          <t>LV|3/C+G|6</t>
        </is>
      </c>
      <c r="L5361" s="12" t="inlineStr">
        <is>
          <t>3/C+G</t>
        </is>
      </c>
      <c r="M5361" s="12" t="inlineStr">
        <is>
          <t>6</t>
        </is>
      </c>
      <c r="N5361" s="12" t="n">
        <v>1</v>
      </c>
      <c r="O5361" s="12" t="n">
        <v>1</v>
      </c>
      <c r="P5361" s="12" t="n">
        <v>480</v>
      </c>
      <c r="Q5361" s="12" t="n">
        <v>30</v>
      </c>
      <c r="R5361" s="12" t="n">
        <v>42.5</v>
      </c>
      <c r="S5361" s="12" t="inlineStr">
        <is>
          <t>Tray</t>
        </is>
      </c>
      <c r="T5361" s="16" t="n">
        <v>0</v>
      </c>
      <c r="U5361" s="16" t="n">
        <v>64</v>
      </c>
      <c r="V5361" s="16">
        <f>ROUNDUP((T5361+U5361+2*'Read Me'!$B$13)*(1+'Read Me'!$B$12),-1)</f>
        <v/>
      </c>
      <c r="W5361" s="16">
        <f>V5361*N5361*O5361</f>
        <v/>
      </c>
      <c r="X5361" s="12">
        <f>IF(LEFT(I5361,2)="MV",2*N5361*IF(L5361="1/C",O5361,1),0)</f>
        <v/>
      </c>
      <c r="Y5361" s="12">
        <f>IF(OR(LEFT(K5361,4)="LVAX",LEFT(K5361,6)="MV15AX",LEFT(K5361,4)="CTAX",LEFT(K5361,2)="W|"),2*N5361*O5361,0)</f>
        <v/>
      </c>
      <c r="Z5361" s="12" t="inlineStr">
        <is>
          <t>VD 0.5 %</t>
        </is>
      </c>
      <c r="AA5361" s="12">
        <f>N5361*O5361</f>
        <v/>
      </c>
    </row>
    <row r="5362">
      <c r="A5362" s="12" t="inlineStr">
        <is>
          <t>I-P-0243</t>
        </is>
      </c>
      <c r="B5362" s="12" t="inlineStr">
        <is>
          <t>I</t>
        </is>
      </c>
      <c r="C5362" s="12" t="inlineStr">
        <is>
          <t>Modular / portable power</t>
        </is>
      </c>
      <c r="D5362" s="12" t="inlineStr">
        <is>
          <t>Motor 5 of 10, 30 kW</t>
        </is>
      </c>
      <c r="E5362" s="12" t="inlineStr"/>
      <c r="F5362" s="12" t="inlineStr">
        <is>
          <t>SC-1 PCM + 15 kV GCB</t>
        </is>
      </c>
      <c r="G5362" s="12" t="inlineStr">
        <is>
          <t>SC-1</t>
        </is>
      </c>
      <c r="H5362" s="12" t="inlineStr">
        <is>
          <t>SC-1: aeroderivative simple-cycle unit (LM6000 class)</t>
        </is>
      </c>
      <c r="I5362" s="12" t="inlineStr">
        <is>
          <t>LV 600 V</t>
        </is>
      </c>
      <c r="J5362" s="12" t="inlineStr">
        <is>
          <t>Type TC-ER 600 V 3/C Cu XHHW-2 + ground, PVC jacket</t>
        </is>
      </c>
      <c r="K5362" s="12" t="inlineStr">
        <is>
          <t>LV|3/C+G|6</t>
        </is>
      </c>
      <c r="L5362" s="12" t="inlineStr">
        <is>
          <t>3/C+G</t>
        </is>
      </c>
      <c r="M5362" s="12" t="inlineStr">
        <is>
          <t>6</t>
        </is>
      </c>
      <c r="N5362" s="12" t="n">
        <v>1</v>
      </c>
      <c r="O5362" s="12" t="n">
        <v>1</v>
      </c>
      <c r="P5362" s="12" t="n">
        <v>480</v>
      </c>
      <c r="Q5362" s="12" t="n">
        <v>30</v>
      </c>
      <c r="R5362" s="12" t="n">
        <v>42.5</v>
      </c>
      <c r="S5362" s="12" t="inlineStr">
        <is>
          <t>Tray</t>
        </is>
      </c>
      <c r="T5362" s="16" t="n">
        <v>0</v>
      </c>
      <c r="U5362" s="16" t="n">
        <v>64</v>
      </c>
      <c r="V5362" s="16">
        <f>ROUNDUP((T5362+U5362+2*'Read Me'!$B$13)*(1+'Read Me'!$B$12),-1)</f>
        <v/>
      </c>
      <c r="W5362" s="16">
        <f>V5362*N5362*O5362</f>
        <v/>
      </c>
      <c r="X5362" s="12">
        <f>IF(LEFT(I5362,2)="MV",2*N5362*IF(L5362="1/C",O5362,1),0)</f>
        <v/>
      </c>
      <c r="Y5362" s="12">
        <f>IF(OR(LEFT(K5362,4)="LVAX",LEFT(K5362,6)="MV15AX",LEFT(K5362,4)="CTAX",LEFT(K5362,2)="W|"),2*N5362*O5362,0)</f>
        <v/>
      </c>
      <c r="Z5362" s="12" t="inlineStr">
        <is>
          <t>VD 0.5 %</t>
        </is>
      </c>
      <c r="AA5362" s="12">
        <f>N5362*O5362</f>
        <v/>
      </c>
    </row>
    <row r="5363">
      <c r="A5363" s="12" t="inlineStr">
        <is>
          <t>I-P-0244</t>
        </is>
      </c>
      <c r="B5363" s="12" t="inlineStr">
        <is>
          <t>I</t>
        </is>
      </c>
      <c r="C5363" s="12" t="inlineStr">
        <is>
          <t>Modular / portable power</t>
        </is>
      </c>
      <c r="D5363" s="12" t="inlineStr">
        <is>
          <t>Motor 6 of 10, 30 kW</t>
        </is>
      </c>
      <c r="E5363" s="12" t="inlineStr"/>
      <c r="F5363" s="12" t="inlineStr">
        <is>
          <t>SC-1 PCM + 15 kV GCB</t>
        </is>
      </c>
      <c r="G5363" s="12" t="inlineStr">
        <is>
          <t>SC-1</t>
        </is>
      </c>
      <c r="H5363" s="12" t="inlineStr">
        <is>
          <t>SC-1: aeroderivative simple-cycle unit (LM6000 class)</t>
        </is>
      </c>
      <c r="I5363" s="12" t="inlineStr">
        <is>
          <t>LV 600 V</t>
        </is>
      </c>
      <c r="J5363" s="12" t="inlineStr">
        <is>
          <t>Type TC-ER 600 V 3/C Cu XHHW-2 + ground, PVC jacket</t>
        </is>
      </c>
      <c r="K5363" s="12" t="inlineStr">
        <is>
          <t>LV|3/C+G|6</t>
        </is>
      </c>
      <c r="L5363" s="12" t="inlineStr">
        <is>
          <t>3/C+G</t>
        </is>
      </c>
      <c r="M5363" s="12" t="inlineStr">
        <is>
          <t>6</t>
        </is>
      </c>
      <c r="N5363" s="12" t="n">
        <v>1</v>
      </c>
      <c r="O5363" s="12" t="n">
        <v>1</v>
      </c>
      <c r="P5363" s="12" t="n">
        <v>480</v>
      </c>
      <c r="Q5363" s="12" t="n">
        <v>30</v>
      </c>
      <c r="R5363" s="12" t="n">
        <v>42.5</v>
      </c>
      <c r="S5363" s="12" t="inlineStr">
        <is>
          <t>Tray</t>
        </is>
      </c>
      <c r="T5363" s="16" t="n">
        <v>0</v>
      </c>
      <c r="U5363" s="16" t="n">
        <v>64</v>
      </c>
      <c r="V5363" s="16">
        <f>ROUNDUP((T5363+U5363+2*'Read Me'!$B$13)*(1+'Read Me'!$B$12),-1)</f>
        <v/>
      </c>
      <c r="W5363" s="16">
        <f>V5363*N5363*O5363</f>
        <v/>
      </c>
      <c r="X5363" s="12">
        <f>IF(LEFT(I5363,2)="MV",2*N5363*IF(L5363="1/C",O5363,1),0)</f>
        <v/>
      </c>
      <c r="Y5363" s="12">
        <f>IF(OR(LEFT(K5363,4)="LVAX",LEFT(K5363,6)="MV15AX",LEFT(K5363,4)="CTAX",LEFT(K5363,2)="W|"),2*N5363*O5363,0)</f>
        <v/>
      </c>
      <c r="Z5363" s="12" t="inlineStr">
        <is>
          <t>VD 0.5 %</t>
        </is>
      </c>
      <c r="AA5363" s="12">
        <f>N5363*O5363</f>
        <v/>
      </c>
    </row>
    <row r="5364">
      <c r="A5364" s="12" t="inlineStr">
        <is>
          <t>I-P-0245</t>
        </is>
      </c>
      <c r="B5364" s="12" t="inlineStr">
        <is>
          <t>I</t>
        </is>
      </c>
      <c r="C5364" s="12" t="inlineStr">
        <is>
          <t>Modular / portable power</t>
        </is>
      </c>
      <c r="D5364" s="12" t="inlineStr">
        <is>
          <t>Motor 7 of 10, 30 kW</t>
        </is>
      </c>
      <c r="E5364" s="12" t="inlineStr"/>
      <c r="F5364" s="12" t="inlineStr">
        <is>
          <t>SC-1 PCM + 15 kV GCB</t>
        </is>
      </c>
      <c r="G5364" s="12" t="inlineStr">
        <is>
          <t>SC-1</t>
        </is>
      </c>
      <c r="H5364" s="12" t="inlineStr">
        <is>
          <t>SC-1: aeroderivative simple-cycle unit (LM6000 class)</t>
        </is>
      </c>
      <c r="I5364" s="12" t="inlineStr">
        <is>
          <t>LV 600 V</t>
        </is>
      </c>
      <c r="J5364" s="12" t="inlineStr">
        <is>
          <t>Type TC-ER 600 V 3/C Cu XHHW-2 + ground, PVC jacket</t>
        </is>
      </c>
      <c r="K5364" s="12" t="inlineStr">
        <is>
          <t>LV|3/C+G|6</t>
        </is>
      </c>
      <c r="L5364" s="12" t="inlineStr">
        <is>
          <t>3/C+G</t>
        </is>
      </c>
      <c r="M5364" s="12" t="inlineStr">
        <is>
          <t>6</t>
        </is>
      </c>
      <c r="N5364" s="12" t="n">
        <v>1</v>
      </c>
      <c r="O5364" s="12" t="n">
        <v>1</v>
      </c>
      <c r="P5364" s="12" t="n">
        <v>480</v>
      </c>
      <c r="Q5364" s="12" t="n">
        <v>30</v>
      </c>
      <c r="R5364" s="12" t="n">
        <v>42.5</v>
      </c>
      <c r="S5364" s="12" t="inlineStr">
        <is>
          <t>Tray</t>
        </is>
      </c>
      <c r="T5364" s="16" t="n">
        <v>0</v>
      </c>
      <c r="U5364" s="16" t="n">
        <v>64</v>
      </c>
      <c r="V5364" s="16">
        <f>ROUNDUP((T5364+U5364+2*'Read Me'!$B$13)*(1+'Read Me'!$B$12),-1)</f>
        <v/>
      </c>
      <c r="W5364" s="16">
        <f>V5364*N5364*O5364</f>
        <v/>
      </c>
      <c r="X5364" s="12">
        <f>IF(LEFT(I5364,2)="MV",2*N5364*IF(L5364="1/C",O5364,1),0)</f>
        <v/>
      </c>
      <c r="Y5364" s="12">
        <f>IF(OR(LEFT(K5364,4)="LVAX",LEFT(K5364,6)="MV15AX",LEFT(K5364,4)="CTAX",LEFT(K5364,2)="W|"),2*N5364*O5364,0)</f>
        <v/>
      </c>
      <c r="Z5364" s="12" t="inlineStr">
        <is>
          <t>VD 0.5 %</t>
        </is>
      </c>
      <c r="AA5364" s="12">
        <f>N5364*O5364</f>
        <v/>
      </c>
    </row>
    <row r="5365">
      <c r="A5365" s="12" t="inlineStr">
        <is>
          <t>I-P-0246</t>
        </is>
      </c>
      <c r="B5365" s="12" t="inlineStr">
        <is>
          <t>I</t>
        </is>
      </c>
      <c r="C5365" s="12" t="inlineStr">
        <is>
          <t>Modular / portable power</t>
        </is>
      </c>
      <c r="D5365" s="12" t="inlineStr">
        <is>
          <t>Motor 8 of 10, 30 kW</t>
        </is>
      </c>
      <c r="E5365" s="12" t="inlineStr"/>
      <c r="F5365" s="12" t="inlineStr">
        <is>
          <t>SC-1 PCM + 15 kV GCB</t>
        </is>
      </c>
      <c r="G5365" s="12" t="inlineStr">
        <is>
          <t>SC-1</t>
        </is>
      </c>
      <c r="H5365" s="12" t="inlineStr">
        <is>
          <t>SC-1: aeroderivative simple-cycle unit (LM6000 class)</t>
        </is>
      </c>
      <c r="I5365" s="12" t="inlineStr">
        <is>
          <t>LV 600 V</t>
        </is>
      </c>
      <c r="J5365" s="12" t="inlineStr">
        <is>
          <t>Type TC-ER 600 V 3/C Cu XHHW-2 + ground, PVC jacket</t>
        </is>
      </c>
      <c r="K5365" s="12" t="inlineStr">
        <is>
          <t>LV|3/C+G|6</t>
        </is>
      </c>
      <c r="L5365" s="12" t="inlineStr">
        <is>
          <t>3/C+G</t>
        </is>
      </c>
      <c r="M5365" s="12" t="inlineStr">
        <is>
          <t>6</t>
        </is>
      </c>
      <c r="N5365" s="12" t="n">
        <v>1</v>
      </c>
      <c r="O5365" s="12" t="n">
        <v>1</v>
      </c>
      <c r="P5365" s="12" t="n">
        <v>480</v>
      </c>
      <c r="Q5365" s="12" t="n">
        <v>30</v>
      </c>
      <c r="R5365" s="12" t="n">
        <v>42.5</v>
      </c>
      <c r="S5365" s="12" t="inlineStr">
        <is>
          <t>Tray</t>
        </is>
      </c>
      <c r="T5365" s="16" t="n">
        <v>0</v>
      </c>
      <c r="U5365" s="16" t="n">
        <v>64</v>
      </c>
      <c r="V5365" s="16">
        <f>ROUNDUP((T5365+U5365+2*'Read Me'!$B$13)*(1+'Read Me'!$B$12),-1)</f>
        <v/>
      </c>
      <c r="W5365" s="16">
        <f>V5365*N5365*O5365</f>
        <v/>
      </c>
      <c r="X5365" s="12">
        <f>IF(LEFT(I5365,2)="MV",2*N5365*IF(L5365="1/C",O5365,1),0)</f>
        <v/>
      </c>
      <c r="Y5365" s="12">
        <f>IF(OR(LEFT(K5365,4)="LVAX",LEFT(K5365,6)="MV15AX",LEFT(K5365,4)="CTAX",LEFT(K5365,2)="W|"),2*N5365*O5365,0)</f>
        <v/>
      </c>
      <c r="Z5365" s="12" t="inlineStr">
        <is>
          <t>VD 0.5 %</t>
        </is>
      </c>
      <c r="AA5365" s="12">
        <f>N5365*O5365</f>
        <v/>
      </c>
    </row>
    <row r="5366">
      <c r="A5366" s="12" t="inlineStr">
        <is>
          <t>I-P-0247</t>
        </is>
      </c>
      <c r="B5366" s="12" t="inlineStr">
        <is>
          <t>I</t>
        </is>
      </c>
      <c r="C5366" s="12" t="inlineStr">
        <is>
          <t>Modular / portable power</t>
        </is>
      </c>
      <c r="D5366" s="12" t="inlineStr">
        <is>
          <t>Motor 9 of 10, 30 kW</t>
        </is>
      </c>
      <c r="E5366" s="12" t="inlineStr"/>
      <c r="F5366" s="12" t="inlineStr">
        <is>
          <t>SC-1 PCM + 15 kV GCB</t>
        </is>
      </c>
      <c r="G5366" s="12" t="inlineStr">
        <is>
          <t>SC-1</t>
        </is>
      </c>
      <c r="H5366" s="12" t="inlineStr">
        <is>
          <t>SC-1: aeroderivative simple-cycle unit (LM6000 class)</t>
        </is>
      </c>
      <c r="I5366" s="12" t="inlineStr">
        <is>
          <t>LV 600 V</t>
        </is>
      </c>
      <c r="J5366" s="12" t="inlineStr">
        <is>
          <t>Type TC-ER 600 V 3/C Cu XHHW-2 + ground, PVC jacket</t>
        </is>
      </c>
      <c r="K5366" s="12" t="inlineStr">
        <is>
          <t>LV|3/C+G|6</t>
        </is>
      </c>
      <c r="L5366" s="12" t="inlineStr">
        <is>
          <t>3/C+G</t>
        </is>
      </c>
      <c r="M5366" s="12" t="inlineStr">
        <is>
          <t>6</t>
        </is>
      </c>
      <c r="N5366" s="12" t="n">
        <v>1</v>
      </c>
      <c r="O5366" s="12" t="n">
        <v>1</v>
      </c>
      <c r="P5366" s="12" t="n">
        <v>480</v>
      </c>
      <c r="Q5366" s="12" t="n">
        <v>30</v>
      </c>
      <c r="R5366" s="12" t="n">
        <v>42.5</v>
      </c>
      <c r="S5366" s="12" t="inlineStr">
        <is>
          <t>Tray</t>
        </is>
      </c>
      <c r="T5366" s="16" t="n">
        <v>0</v>
      </c>
      <c r="U5366" s="16" t="n">
        <v>64</v>
      </c>
      <c r="V5366" s="16">
        <f>ROUNDUP((T5366+U5366+2*'Read Me'!$B$13)*(1+'Read Me'!$B$12),-1)</f>
        <v/>
      </c>
      <c r="W5366" s="16">
        <f>V5366*N5366*O5366</f>
        <v/>
      </c>
      <c r="X5366" s="12">
        <f>IF(LEFT(I5366,2)="MV",2*N5366*IF(L5366="1/C",O5366,1),0)</f>
        <v/>
      </c>
      <c r="Y5366" s="12">
        <f>IF(OR(LEFT(K5366,4)="LVAX",LEFT(K5366,6)="MV15AX",LEFT(K5366,4)="CTAX",LEFT(K5366,2)="W|"),2*N5366*O5366,0)</f>
        <v/>
      </c>
      <c r="Z5366" s="12" t="inlineStr">
        <is>
          <t>VD 0.5 %</t>
        </is>
      </c>
      <c r="AA5366" s="12">
        <f>N5366*O5366</f>
        <v/>
      </c>
    </row>
    <row r="5367">
      <c r="A5367" s="12" t="inlineStr">
        <is>
          <t>I-P-0248</t>
        </is>
      </c>
      <c r="B5367" s="12" t="inlineStr">
        <is>
          <t>I</t>
        </is>
      </c>
      <c r="C5367" s="12" t="inlineStr">
        <is>
          <t>Modular / portable power</t>
        </is>
      </c>
      <c r="D5367" s="12" t="inlineStr">
        <is>
          <t>Motor 10 of 10, 30 kW</t>
        </is>
      </c>
      <c r="E5367" s="12" t="inlineStr"/>
      <c r="F5367" s="12" t="inlineStr">
        <is>
          <t>SC-1 PCM + 15 kV GCB</t>
        </is>
      </c>
      <c r="G5367" s="12" t="inlineStr">
        <is>
          <t>SC-1</t>
        </is>
      </c>
      <c r="H5367" s="12" t="inlineStr">
        <is>
          <t>SC-1: aeroderivative simple-cycle unit (LM6000 class)</t>
        </is>
      </c>
      <c r="I5367" s="12" t="inlineStr">
        <is>
          <t>LV 600 V</t>
        </is>
      </c>
      <c r="J5367" s="12" t="inlineStr">
        <is>
          <t>Type TC-ER 600 V 3/C Cu XHHW-2 + ground, PVC jacket</t>
        </is>
      </c>
      <c r="K5367" s="12" t="inlineStr">
        <is>
          <t>LV|3/C+G|6</t>
        </is>
      </c>
      <c r="L5367" s="12" t="inlineStr">
        <is>
          <t>3/C+G</t>
        </is>
      </c>
      <c r="M5367" s="12" t="inlineStr">
        <is>
          <t>6</t>
        </is>
      </c>
      <c r="N5367" s="12" t="n">
        <v>1</v>
      </c>
      <c r="O5367" s="12" t="n">
        <v>1</v>
      </c>
      <c r="P5367" s="12" t="n">
        <v>480</v>
      </c>
      <c r="Q5367" s="12" t="n">
        <v>30</v>
      </c>
      <c r="R5367" s="12" t="n">
        <v>42.5</v>
      </c>
      <c r="S5367" s="12" t="inlineStr">
        <is>
          <t>Tray</t>
        </is>
      </c>
      <c r="T5367" s="16" t="n">
        <v>0</v>
      </c>
      <c r="U5367" s="16" t="n">
        <v>64</v>
      </c>
      <c r="V5367" s="16">
        <f>ROUNDUP((T5367+U5367+2*'Read Me'!$B$13)*(1+'Read Me'!$B$12),-1)</f>
        <v/>
      </c>
      <c r="W5367" s="16">
        <f>V5367*N5367*O5367</f>
        <v/>
      </c>
      <c r="X5367" s="12">
        <f>IF(LEFT(I5367,2)="MV",2*N5367*IF(L5367="1/C",O5367,1),0)</f>
        <v/>
      </c>
      <c r="Y5367" s="12">
        <f>IF(OR(LEFT(K5367,4)="LVAX",LEFT(K5367,6)="MV15AX",LEFT(K5367,4)="CTAX",LEFT(K5367,2)="W|"),2*N5367*O5367,0)</f>
        <v/>
      </c>
      <c r="Z5367" s="12" t="inlineStr">
        <is>
          <t>VD 0.5 %</t>
        </is>
      </c>
      <c r="AA5367" s="12">
        <f>N5367*O5367</f>
        <v/>
      </c>
    </row>
    <row r="5368">
      <c r="A5368" s="12" t="inlineStr">
        <is>
          <t>I-P-0249</t>
        </is>
      </c>
      <c r="B5368" s="12" t="inlineStr">
        <is>
          <t>I</t>
        </is>
      </c>
      <c r="C5368" s="12" t="inlineStr">
        <is>
          <t>Modular / portable power</t>
        </is>
      </c>
      <c r="D5368" s="12" t="inlineStr">
        <is>
          <t>Area / platform lighting circuit 1 (8 fixtures)</t>
        </is>
      </c>
      <c r="E5368" s="12" t="inlineStr"/>
      <c r="F5368" s="12" t="inlineStr">
        <is>
          <t>SC-1 PCM + 15 kV GCB</t>
        </is>
      </c>
      <c r="G5368" s="12" t="inlineStr">
        <is>
          <t>SC-1</t>
        </is>
      </c>
      <c r="H5368" s="12" t="inlineStr">
        <is>
          <t>SC-1: aeroderivative simple-cycle unit (LM6000 class)</t>
        </is>
      </c>
      <c r="I5368" s="12" t="inlineStr">
        <is>
          <t>LV 600 V</t>
        </is>
      </c>
      <c r="J5368" s="12" t="inlineStr">
        <is>
          <t>Type TC-ER 600 V 3/C Cu XHHW-2 + ground, PVC jacket</t>
        </is>
      </c>
      <c r="K5368" s="12" t="inlineStr">
        <is>
          <t>LV|3/C+G|10</t>
        </is>
      </c>
      <c r="L5368" s="12" t="inlineStr">
        <is>
          <t>3/C+G</t>
        </is>
      </c>
      <c r="M5368" s="12" t="inlineStr">
        <is>
          <t>10</t>
        </is>
      </c>
      <c r="N5368" s="12" t="n">
        <v>1</v>
      </c>
      <c r="O5368" s="12" t="n">
        <v>1</v>
      </c>
      <c r="P5368" s="12" t="n">
        <v>480</v>
      </c>
      <c r="Q5368" s="12" t="n">
        <v>3</v>
      </c>
      <c r="R5368" s="12" t="n">
        <v>5</v>
      </c>
      <c r="S5368" s="12" t="inlineStr">
        <is>
          <t>Tray</t>
        </is>
      </c>
      <c r="T5368" s="16" t="n">
        <v>300</v>
      </c>
      <c r="U5368" s="16" t="n">
        <v>64</v>
      </c>
      <c r="V5368" s="16">
        <f>ROUNDUP((T5368+U5368+2*'Read Me'!$B$13)*(1+'Read Me'!$B$12),-1)</f>
        <v/>
      </c>
      <c r="W5368" s="16">
        <f>V5368*N5368*O5368</f>
        <v/>
      </c>
      <c r="X5368" s="12">
        <f>IF(LEFT(I5368,2)="MV",2*N5368*IF(L5368="1/C",O5368,1),0)</f>
        <v/>
      </c>
      <c r="Y5368" s="12">
        <f>IF(OR(LEFT(K5368,4)="LVAX",LEFT(K5368,6)="MV15AX",LEFT(K5368,4)="CTAX",LEFT(K5368,2)="W|"),2*N5368*O5368,0)</f>
        <v/>
      </c>
      <c r="Z5368" s="12" t="inlineStr">
        <is>
          <t>fixture-to-fixture run included</t>
        </is>
      </c>
      <c r="AA5368" s="12">
        <f>N5368*O5368</f>
        <v/>
      </c>
    </row>
    <row r="5369">
      <c r="A5369" s="12" t="inlineStr">
        <is>
          <t>I-P-0250</t>
        </is>
      </c>
      <c r="B5369" s="12" t="inlineStr">
        <is>
          <t>I</t>
        </is>
      </c>
      <c r="C5369" s="12" t="inlineStr">
        <is>
          <t>Modular / portable power</t>
        </is>
      </c>
      <c r="D5369" s="12" t="inlineStr">
        <is>
          <t>SC-2 CEMS shelter panel: analysers, heated sample line, lighting</t>
        </is>
      </c>
      <c r="E5369" s="12" t="inlineStr"/>
      <c r="F5369" s="12" t="inlineStr">
        <is>
          <t>SC-2 PCM + 15 kV GCB</t>
        </is>
      </c>
      <c r="G5369" s="12" t="inlineStr"/>
      <c r="H5369" s="12" t="inlineStr">
        <is>
          <t>SC-2 CEMS shelter</t>
        </is>
      </c>
      <c r="I5369" s="12" t="inlineStr">
        <is>
          <t>LV 600 V</t>
        </is>
      </c>
      <c r="J5369" s="12" t="inlineStr">
        <is>
          <t>Type TC-ER 600 V 3/C Cu XHHW-2 + ground, PVC jacket</t>
        </is>
      </c>
      <c r="K5369" s="12" t="inlineStr">
        <is>
          <t>LV|3/C+G|10</t>
        </is>
      </c>
      <c r="L5369" s="12" t="inlineStr">
        <is>
          <t>3/C+G</t>
        </is>
      </c>
      <c r="M5369" s="12" t="inlineStr">
        <is>
          <t>10</t>
        </is>
      </c>
      <c r="N5369" s="12" t="n">
        <v>1</v>
      </c>
      <c r="O5369" s="12" t="n">
        <v>1</v>
      </c>
      <c r="P5369" s="12" t="n">
        <v>480</v>
      </c>
      <c r="Q5369" s="12" t="n">
        <v>15</v>
      </c>
      <c r="R5369" s="12" t="n">
        <v>19</v>
      </c>
      <c r="S5369" s="12" t="inlineStr">
        <is>
          <t>Duct bank</t>
        </is>
      </c>
      <c r="T5369" s="16" t="n">
        <v>25</v>
      </c>
      <c r="U5369" s="16" t="n">
        <v>197</v>
      </c>
      <c r="V5369" s="16">
        <f>ROUNDUP((T5369+U5369+2*'Read Me'!$B$13)*(1+'Read Me'!$B$12),-1)</f>
        <v/>
      </c>
      <c r="W5369" s="16">
        <f>V5369*N5369*O5369</f>
        <v/>
      </c>
      <c r="X5369" s="12">
        <f>IF(LEFT(I5369,2)="MV",2*N5369*IF(L5369="1/C",O5369,1),0)</f>
        <v/>
      </c>
      <c r="Y5369" s="12">
        <f>IF(OR(LEFT(K5369,4)="LVAX",LEFT(K5369,6)="MV15AX",LEFT(K5369,4)="CTAX",LEFT(K5369,2)="W|"),2*N5369*O5369,0)</f>
        <v/>
      </c>
      <c r="Z5369" s="12" t="inlineStr">
        <is>
          <t>VD 2.0 %</t>
        </is>
      </c>
      <c r="AA5369" s="12">
        <f>N5369*O5369</f>
        <v/>
      </c>
    </row>
    <row r="5370">
      <c r="A5370" s="12" t="inlineStr">
        <is>
          <t>I-P-0251</t>
        </is>
      </c>
      <c r="B5370" s="12" t="inlineStr">
        <is>
          <t>I</t>
        </is>
      </c>
      <c r="C5370" s="12" t="inlineStr">
        <is>
          <t>Modular / portable power</t>
        </is>
      </c>
      <c r="D5370" s="12" t="inlineStr">
        <is>
          <t>Motor 1 of 2, 5 kW</t>
        </is>
      </c>
      <c r="E5370" s="12" t="inlineStr"/>
      <c r="F5370" s="12" t="inlineStr">
        <is>
          <t>SC-2 PCM + 15 kV GCB</t>
        </is>
      </c>
      <c r="G5370" s="12" t="inlineStr"/>
      <c r="H5370" s="12" t="inlineStr">
        <is>
          <t>SC-2 CEMS shelter</t>
        </is>
      </c>
      <c r="I5370" s="12" t="inlineStr">
        <is>
          <t>LV 600 V</t>
        </is>
      </c>
      <c r="J5370" s="12" t="inlineStr">
        <is>
          <t>Type TC-ER 600 V 3/C Cu XHHW-2 + ground, PVC jacket</t>
        </is>
      </c>
      <c r="K5370" s="12" t="inlineStr">
        <is>
          <t>LV|3/C+G|10</t>
        </is>
      </c>
      <c r="L5370" s="12" t="inlineStr">
        <is>
          <t>3/C+G</t>
        </is>
      </c>
      <c r="M5370" s="12" t="inlineStr">
        <is>
          <t>10</t>
        </is>
      </c>
      <c r="N5370" s="12" t="n">
        <v>1</v>
      </c>
      <c r="O5370" s="12" t="n">
        <v>1</v>
      </c>
      <c r="P5370" s="12" t="n">
        <v>480</v>
      </c>
      <c r="Q5370" s="12" t="n">
        <v>5</v>
      </c>
      <c r="R5370" s="12" t="n">
        <v>7.1</v>
      </c>
      <c r="S5370" s="12" t="inlineStr">
        <is>
          <t>Duct bank</t>
        </is>
      </c>
      <c r="T5370" s="16" t="n">
        <v>25</v>
      </c>
      <c r="U5370" s="16" t="n">
        <v>197</v>
      </c>
      <c r="V5370" s="16">
        <f>ROUNDUP((T5370+U5370+2*'Read Me'!$B$13)*(1+'Read Me'!$B$12),-1)</f>
        <v/>
      </c>
      <c r="W5370" s="16">
        <f>V5370*N5370*O5370</f>
        <v/>
      </c>
      <c r="X5370" s="12">
        <f>IF(LEFT(I5370,2)="MV",2*N5370*IF(L5370="1/C",O5370,1),0)</f>
        <v/>
      </c>
      <c r="Y5370" s="12">
        <f>IF(OR(LEFT(K5370,4)="LVAX",LEFT(K5370,6)="MV15AX",LEFT(K5370,4)="CTAX",LEFT(K5370,2)="W|"),2*N5370*O5370,0)</f>
        <v/>
      </c>
      <c r="Z5370" s="12" t="inlineStr">
        <is>
          <t>VD 0.8 %</t>
        </is>
      </c>
      <c r="AA5370" s="12">
        <f>N5370*O5370</f>
        <v/>
      </c>
    </row>
    <row r="5371">
      <c r="A5371" s="12" t="inlineStr">
        <is>
          <t>I-P-0252</t>
        </is>
      </c>
      <c r="B5371" s="12" t="inlineStr">
        <is>
          <t>I</t>
        </is>
      </c>
      <c r="C5371" s="12" t="inlineStr">
        <is>
          <t>Modular / portable power</t>
        </is>
      </c>
      <c r="D5371" s="12" t="inlineStr">
        <is>
          <t>Motor 2 of 2, 5 kW</t>
        </is>
      </c>
      <c r="E5371" s="12" t="inlineStr"/>
      <c r="F5371" s="12" t="inlineStr">
        <is>
          <t>SC-2 PCM + 15 kV GCB</t>
        </is>
      </c>
      <c r="G5371" s="12" t="inlineStr"/>
      <c r="H5371" s="12" t="inlineStr">
        <is>
          <t>SC-2 CEMS shelter</t>
        </is>
      </c>
      <c r="I5371" s="12" t="inlineStr">
        <is>
          <t>LV 600 V</t>
        </is>
      </c>
      <c r="J5371" s="12" t="inlineStr">
        <is>
          <t>Type TC-ER 600 V 3/C Cu XHHW-2 + ground, PVC jacket</t>
        </is>
      </c>
      <c r="K5371" s="12" t="inlineStr">
        <is>
          <t>LV|3/C+G|10</t>
        </is>
      </c>
      <c r="L5371" s="12" t="inlineStr">
        <is>
          <t>3/C+G</t>
        </is>
      </c>
      <c r="M5371" s="12" t="inlineStr">
        <is>
          <t>10</t>
        </is>
      </c>
      <c r="N5371" s="12" t="n">
        <v>1</v>
      </c>
      <c r="O5371" s="12" t="n">
        <v>1</v>
      </c>
      <c r="P5371" s="12" t="n">
        <v>480</v>
      </c>
      <c r="Q5371" s="12" t="n">
        <v>5</v>
      </c>
      <c r="R5371" s="12" t="n">
        <v>7.1</v>
      </c>
      <c r="S5371" s="12" t="inlineStr">
        <is>
          <t>Duct bank</t>
        </is>
      </c>
      <c r="T5371" s="16" t="n">
        <v>25</v>
      </c>
      <c r="U5371" s="16" t="n">
        <v>197</v>
      </c>
      <c r="V5371" s="16">
        <f>ROUNDUP((T5371+U5371+2*'Read Me'!$B$13)*(1+'Read Me'!$B$12),-1)</f>
        <v/>
      </c>
      <c r="W5371" s="16">
        <f>V5371*N5371*O5371</f>
        <v/>
      </c>
      <c r="X5371" s="12">
        <f>IF(LEFT(I5371,2)="MV",2*N5371*IF(L5371="1/C",O5371,1),0)</f>
        <v/>
      </c>
      <c r="Y5371" s="12">
        <f>IF(OR(LEFT(K5371,4)="LVAX",LEFT(K5371,6)="MV15AX",LEFT(K5371,4)="CTAX",LEFT(K5371,2)="W|"),2*N5371*O5371,0)</f>
        <v/>
      </c>
      <c r="Z5371" s="12" t="inlineStr">
        <is>
          <t>VD 0.8 %</t>
        </is>
      </c>
      <c r="AA5371" s="12">
        <f>N5371*O5371</f>
        <v/>
      </c>
    </row>
    <row r="5372">
      <c r="A5372" s="12" t="inlineStr">
        <is>
          <t>I-P-0253</t>
        </is>
      </c>
      <c r="B5372" s="12" t="inlineStr">
        <is>
          <t>I</t>
        </is>
      </c>
      <c r="C5372" s="12" t="inlineStr">
        <is>
          <t>Modular / portable power</t>
        </is>
      </c>
      <c r="D5372" s="12" t="inlineStr">
        <is>
          <t>SC-2 125 V DC battery to charger / DC panel</t>
        </is>
      </c>
      <c r="E5372" s="12" t="inlineStr"/>
      <c r="F5372" s="12" t="inlineStr">
        <is>
          <t>SC-2 PCM + 15 kV GCB</t>
        </is>
      </c>
      <c r="G5372" s="12" t="inlineStr"/>
      <c r="H5372" s="12" t="inlineStr">
        <is>
          <t>SC-2 PCM + 15 kV GCB</t>
        </is>
      </c>
      <c r="I5372" s="12" t="inlineStr">
        <is>
          <t>LV 600 V</t>
        </is>
      </c>
      <c r="J5372" s="12" t="inlineStr">
        <is>
          <t>XHHW-2 600 V 1/C Cu (feeder sets in tray / duct)</t>
        </is>
      </c>
      <c r="K5372" s="12" t="inlineStr">
        <is>
          <t>LV1C|1/C|4/0</t>
        </is>
      </c>
      <c r="L5372" s="12" t="inlineStr">
        <is>
          <t>1/C</t>
        </is>
      </c>
      <c r="M5372" s="12" t="inlineStr">
        <is>
          <t>4/0</t>
        </is>
      </c>
      <c r="N5372" s="12" t="n">
        <v>1</v>
      </c>
      <c r="O5372" s="12" t="n">
        <v>2</v>
      </c>
      <c r="P5372" s="12" t="n">
        <v>125</v>
      </c>
      <c r="Q5372" s="12" t="n"/>
      <c r="R5372" s="12" t="n"/>
      <c r="S5372" s="12" t="inlineStr">
        <is>
          <t>Tray</t>
        </is>
      </c>
      <c r="T5372" s="16" t="n">
        <v>15</v>
      </c>
      <c r="U5372" s="16" t="n">
        <v>5</v>
      </c>
      <c r="V5372" s="16">
        <f>ROUNDUP((T5372+U5372+2*'Read Me'!$B$13)*(1+'Read Me'!$B$12),-1)</f>
        <v/>
      </c>
      <c r="W5372" s="16">
        <f>V5372*N5372*O5372</f>
        <v/>
      </c>
      <c r="X5372" s="12">
        <f>IF(LEFT(I5372,2)="MV",2*N5372*IF(L5372="1/C",O5372,1),0)</f>
        <v/>
      </c>
      <c r="Y5372" s="12">
        <f>IF(OR(LEFT(K5372,4)="LVAX",LEFT(K5372,6)="MV15AX",LEFT(K5372,4)="CTAX",LEFT(K5372,2)="W|"),2*N5372*O5372,0)</f>
        <v/>
      </c>
      <c r="Z5372" s="12" t="inlineStr">
        <is>
          <t>battery rack inside the PCM</t>
        </is>
      </c>
      <c r="AA5372" s="12">
        <f>N5372*O5372</f>
        <v/>
      </c>
    </row>
    <row r="5373">
      <c r="A5373" s="12" t="inlineStr">
        <is>
          <t>I-P-0254</t>
        </is>
      </c>
      <c r="B5373" s="12" t="inlineStr">
        <is>
          <t>I</t>
        </is>
      </c>
      <c r="C5373" s="12" t="inlineStr">
        <is>
          <t>Modular / portable power</t>
        </is>
      </c>
      <c r="D5373" s="12" t="inlineStr">
        <is>
          <t>SC-2 PCM lighting, receptacles and HVAC (from its own 480 V board)</t>
        </is>
      </c>
      <c r="E5373" s="12" t="inlineStr"/>
      <c r="F5373" s="12" t="inlineStr">
        <is>
          <t>SC-2 PCM + 15 kV GCB</t>
        </is>
      </c>
      <c r="G5373" s="12" t="inlineStr"/>
      <c r="H5373" s="12" t="inlineStr">
        <is>
          <t>SC-2 PCM + 15 kV GCB</t>
        </is>
      </c>
      <c r="I5373" s="12" t="inlineStr">
        <is>
          <t>LV 600 V</t>
        </is>
      </c>
      <c r="J5373" s="12" t="inlineStr">
        <is>
          <t>Type TC-ER 600 V 3/C Cu XHHW-2 + ground, PVC jacket</t>
        </is>
      </c>
      <c r="K5373" s="12" t="inlineStr">
        <is>
          <t>LV|3/C+G|2</t>
        </is>
      </c>
      <c r="L5373" s="12" t="inlineStr">
        <is>
          <t>3/C+G</t>
        </is>
      </c>
      <c r="M5373" s="12" t="inlineStr">
        <is>
          <t>2</t>
        </is>
      </c>
      <c r="N5373" s="12" t="n">
        <v>1</v>
      </c>
      <c r="O5373" s="12" t="n">
        <v>1</v>
      </c>
      <c r="P5373" s="12" t="n">
        <v>480</v>
      </c>
      <c r="Q5373" s="12" t="n">
        <v>40</v>
      </c>
      <c r="R5373" s="12" t="n"/>
      <c r="S5373" s="12" t="inlineStr">
        <is>
          <t>Tray</t>
        </is>
      </c>
      <c r="T5373" s="16" t="n">
        <v>80</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internal to the PCM; aux transformer 13.8 kV / 480 V inside</t>
        </is>
      </c>
      <c r="AA5373" s="12">
        <f>N5373*O5373</f>
        <v/>
      </c>
    </row>
    <row r="5374">
      <c r="A5374" s="12" t="inlineStr">
        <is>
          <t>I-P-0255</t>
        </is>
      </c>
      <c r="B5374" s="12" t="inlineStr">
        <is>
          <t>I</t>
        </is>
      </c>
      <c r="C5374" s="12" t="inlineStr">
        <is>
          <t>Modular / portable power</t>
        </is>
      </c>
      <c r="D5374" s="12" t="inlineStr">
        <is>
          <t>Area / platform lighting circuit 1 (10 fixtures)</t>
        </is>
      </c>
      <c r="E5374" s="12" t="inlineStr"/>
      <c r="F5374" s="12" t="inlineStr">
        <is>
          <t>SC-2 PCM + 15 kV GCB</t>
        </is>
      </c>
      <c r="G5374" s="12" t="inlineStr"/>
      <c r="H5374" s="12" t="inlineStr">
        <is>
          <t>SC-2 SCR / CO catalyst</t>
        </is>
      </c>
      <c r="I5374" s="12" t="inlineStr">
        <is>
          <t>LV 600 V</t>
        </is>
      </c>
      <c r="J5374" s="12" t="inlineStr">
        <is>
          <t>Type TC-ER 600 V 3/C Cu XHHW-2 + ground, PVC jacket</t>
        </is>
      </c>
      <c r="K5374" s="12" t="inlineStr">
        <is>
          <t>LV|3/C+G|10</t>
        </is>
      </c>
      <c r="L5374" s="12" t="inlineStr">
        <is>
          <t>3/C+G</t>
        </is>
      </c>
      <c r="M5374" s="12" t="inlineStr">
        <is>
          <t>10</t>
        </is>
      </c>
      <c r="N5374" s="12" t="n">
        <v>1</v>
      </c>
      <c r="O5374" s="12" t="n">
        <v>1</v>
      </c>
      <c r="P5374" s="12" t="n">
        <v>480</v>
      </c>
      <c r="Q5374" s="12" t="n">
        <v>3</v>
      </c>
      <c r="R5374" s="12" t="n">
        <v>5</v>
      </c>
      <c r="S5374" s="12" t="inlineStr">
        <is>
          <t>Duct bank</t>
        </is>
      </c>
      <c r="T5374" s="16" t="n">
        <v>325</v>
      </c>
      <c r="U5374" s="16" t="n">
        <v>122</v>
      </c>
      <c r="V5374" s="16">
        <f>ROUNDUP((T5374+U5374+2*'Read Me'!$B$13)*(1+'Read Me'!$B$12),-1)</f>
        <v/>
      </c>
      <c r="W5374" s="16">
        <f>V5374*N5374*O5374</f>
        <v/>
      </c>
      <c r="X5374" s="12">
        <f>IF(LEFT(I5374,2)="MV",2*N5374*IF(L5374="1/C",O5374,1),0)</f>
        <v/>
      </c>
      <c r="Y5374" s="12">
        <f>IF(OR(LEFT(K5374,4)="LVAX",LEFT(K5374,6)="MV15AX",LEFT(K5374,4)="CTAX",LEFT(K5374,2)="W|"),2*N5374*O5374,0)</f>
        <v/>
      </c>
      <c r="Z5374" s="12" t="inlineStr">
        <is>
          <t>fixture-to-fixture run included</t>
        </is>
      </c>
      <c r="AA5374" s="12">
        <f>N5374*O5374</f>
        <v/>
      </c>
    </row>
    <row r="5375">
      <c r="A5375" s="12" t="inlineStr">
        <is>
          <t>I-P-0256</t>
        </is>
      </c>
      <c r="B5375" s="12" t="inlineStr">
        <is>
          <t>I</t>
        </is>
      </c>
      <c r="C5375" s="12" t="inlineStr">
        <is>
          <t>Modular / portable power</t>
        </is>
      </c>
      <c r="D5375" s="12" t="inlineStr">
        <is>
          <t>SC-2 ammonia vaporiser electric heater</t>
        </is>
      </c>
      <c r="E5375" s="12" t="inlineStr"/>
      <c r="F5375" s="12" t="inlineStr">
        <is>
          <t>SC-2 PCM + 15 kV GCB</t>
        </is>
      </c>
      <c r="G5375" s="12" t="inlineStr"/>
      <c r="H5375" s="12" t="inlineStr">
        <is>
          <t>SC-2 ammonia flow-control unit</t>
        </is>
      </c>
      <c r="I5375" s="12" t="inlineStr">
        <is>
          <t>LV 600 V</t>
        </is>
      </c>
      <c r="J5375" s="12" t="inlineStr">
        <is>
          <t>Type TC-ER 600 V 3/C Cu XHHW-2 + ground, PVC jacket</t>
        </is>
      </c>
      <c r="K5375" s="12" t="inlineStr">
        <is>
          <t>LV|3/C+G|4</t>
        </is>
      </c>
      <c r="L5375" s="12" t="inlineStr">
        <is>
          <t>3/C+G</t>
        </is>
      </c>
      <c r="M5375" s="12" t="inlineStr">
        <is>
          <t>4</t>
        </is>
      </c>
      <c r="N5375" s="12" t="n">
        <v>1</v>
      </c>
      <c r="O5375" s="12" t="n">
        <v>1</v>
      </c>
      <c r="P5375" s="12" t="n">
        <v>480</v>
      </c>
      <c r="Q5375" s="12" t="n">
        <v>45</v>
      </c>
      <c r="R5375" s="12" t="n">
        <v>57</v>
      </c>
      <c r="S5375" s="12" t="inlineStr">
        <is>
          <t>Tray</t>
        </is>
      </c>
      <c r="T5375" s="16" t="n">
        <v>0</v>
      </c>
      <c r="U5375" s="16" t="n">
        <v>152</v>
      </c>
      <c r="V5375" s="16">
        <f>ROUNDUP((T5375+U5375+2*'Read Me'!$B$13)*(1+'Read Me'!$B$12),-1)</f>
        <v/>
      </c>
      <c r="W5375" s="16">
        <f>V5375*N5375*O5375</f>
        <v/>
      </c>
      <c r="X5375" s="12">
        <f>IF(LEFT(I5375,2)="MV",2*N5375*IF(L5375="1/C",O5375,1),0)</f>
        <v/>
      </c>
      <c r="Y5375" s="12">
        <f>IF(OR(LEFT(K5375,4)="LVAX",LEFT(K5375,6)="MV15AX",LEFT(K5375,4)="CTAX",LEFT(K5375,2)="W|"),2*N5375*O5375,0)</f>
        <v/>
      </c>
      <c r="Z5375" s="12" t="inlineStr">
        <is>
          <t>VD 1.1 %</t>
        </is>
      </c>
      <c r="AA5375" s="12">
        <f>N5375*O5375</f>
        <v/>
      </c>
    </row>
    <row r="5376">
      <c r="A5376" s="12" t="inlineStr">
        <is>
          <t>I-P-0257</t>
        </is>
      </c>
      <c r="B5376" s="12" t="inlineStr">
        <is>
          <t>I</t>
        </is>
      </c>
      <c r="C5376" s="12" t="inlineStr">
        <is>
          <t>Modular / portable power</t>
        </is>
      </c>
      <c r="D5376" s="12" t="inlineStr">
        <is>
          <t>Motor 1 of 2, 7.5 kW</t>
        </is>
      </c>
      <c r="E5376" s="12" t="inlineStr"/>
      <c r="F5376" s="12" t="inlineStr">
        <is>
          <t>SC-2 PCM + 15 kV GCB</t>
        </is>
      </c>
      <c r="G5376" s="12" t="inlineStr"/>
      <c r="H5376" s="12" t="inlineStr">
        <is>
          <t>SC-2 ammonia flow-control unit</t>
        </is>
      </c>
      <c r="I5376" s="12" t="inlineStr">
        <is>
          <t>LV 600 V</t>
        </is>
      </c>
      <c r="J5376" s="12" t="inlineStr">
        <is>
          <t>Type TC-ER 600 V 3/C Cu XHHW-2 + ground, PVC jacket</t>
        </is>
      </c>
      <c r="K5376" s="12" t="inlineStr">
        <is>
          <t>LV|3/C+G|10</t>
        </is>
      </c>
      <c r="L5376" s="12" t="inlineStr">
        <is>
          <t>3/C+G</t>
        </is>
      </c>
      <c r="M5376" s="12" t="inlineStr">
        <is>
          <t>10</t>
        </is>
      </c>
      <c r="N5376" s="12" t="n">
        <v>1</v>
      </c>
      <c r="O5376" s="12" t="n">
        <v>1</v>
      </c>
      <c r="P5376" s="12" t="n">
        <v>480</v>
      </c>
      <c r="Q5376" s="12" t="n">
        <v>7.5</v>
      </c>
      <c r="R5376" s="12" t="n">
        <v>10.6</v>
      </c>
      <c r="S5376" s="12" t="inlineStr">
        <is>
          <t>Tray</t>
        </is>
      </c>
      <c r="T5376" s="16" t="n">
        <v>0</v>
      </c>
      <c r="U5376" s="16" t="n">
        <v>152</v>
      </c>
      <c r="V5376" s="16">
        <f>ROUNDUP((T5376+U5376+2*'Read Me'!$B$13)*(1+'Read Me'!$B$12),-1)</f>
        <v/>
      </c>
      <c r="W5376" s="16">
        <f>V5376*N5376*O5376</f>
        <v/>
      </c>
      <c r="X5376" s="12">
        <f>IF(LEFT(I5376,2)="MV",2*N5376*IF(L5376="1/C",O5376,1),0)</f>
        <v/>
      </c>
      <c r="Y5376" s="12">
        <f>IF(OR(LEFT(K5376,4)="LVAX",LEFT(K5376,6)="MV15AX",LEFT(K5376,4)="CTAX",LEFT(K5376,2)="W|"),2*N5376*O5376,0)</f>
        <v/>
      </c>
      <c r="Z5376" s="12" t="inlineStr">
        <is>
          <t>VD 0.8 %</t>
        </is>
      </c>
      <c r="AA5376" s="12">
        <f>N5376*O5376</f>
        <v/>
      </c>
    </row>
    <row r="5377">
      <c r="A5377" s="12" t="inlineStr">
        <is>
          <t>I-P-0258</t>
        </is>
      </c>
      <c r="B5377" s="12" t="inlineStr">
        <is>
          <t>I</t>
        </is>
      </c>
      <c r="C5377" s="12" t="inlineStr">
        <is>
          <t>Modular / portable power</t>
        </is>
      </c>
      <c r="D5377" s="12" t="inlineStr">
        <is>
          <t>Motor 2 of 2, 7.5 kW</t>
        </is>
      </c>
      <c r="E5377" s="12" t="inlineStr"/>
      <c r="F5377" s="12" t="inlineStr">
        <is>
          <t>SC-2 PCM + 15 kV GCB</t>
        </is>
      </c>
      <c r="G5377" s="12" t="inlineStr"/>
      <c r="H5377" s="12" t="inlineStr">
        <is>
          <t>SC-2 ammonia flow-control unit</t>
        </is>
      </c>
      <c r="I5377" s="12" t="inlineStr">
        <is>
          <t>LV 600 V</t>
        </is>
      </c>
      <c r="J5377" s="12" t="inlineStr">
        <is>
          <t>Type TC-ER 600 V 3/C Cu XHHW-2 + ground, PVC jacket</t>
        </is>
      </c>
      <c r="K5377" s="12" t="inlineStr">
        <is>
          <t>LV|3/C+G|10</t>
        </is>
      </c>
      <c r="L5377" s="12" t="inlineStr">
        <is>
          <t>3/C+G</t>
        </is>
      </c>
      <c r="M5377" s="12" t="inlineStr">
        <is>
          <t>10</t>
        </is>
      </c>
      <c r="N5377" s="12" t="n">
        <v>1</v>
      </c>
      <c r="O5377" s="12" t="n">
        <v>1</v>
      </c>
      <c r="P5377" s="12" t="n">
        <v>480</v>
      </c>
      <c r="Q5377" s="12" t="n">
        <v>7.5</v>
      </c>
      <c r="R5377" s="12" t="n">
        <v>10.6</v>
      </c>
      <c r="S5377" s="12" t="inlineStr">
        <is>
          <t>Tray</t>
        </is>
      </c>
      <c r="T5377" s="16" t="n">
        <v>0</v>
      </c>
      <c r="U5377" s="16" t="n">
        <v>152</v>
      </c>
      <c r="V5377" s="16">
        <f>ROUNDUP((T5377+U5377+2*'Read Me'!$B$13)*(1+'Read Me'!$B$12),-1)</f>
        <v/>
      </c>
      <c r="W5377" s="16">
        <f>V5377*N5377*O5377</f>
        <v/>
      </c>
      <c r="X5377" s="12">
        <f>IF(LEFT(I5377,2)="MV",2*N5377*IF(L5377="1/C",O5377,1),0)</f>
        <v/>
      </c>
      <c r="Y5377" s="12">
        <f>IF(OR(LEFT(K5377,4)="LVAX",LEFT(K5377,6)="MV15AX",LEFT(K5377,4)="CTAX",LEFT(K5377,2)="W|"),2*N5377*O5377,0)</f>
        <v/>
      </c>
      <c r="Z5377" s="12" t="inlineStr">
        <is>
          <t>VD 0.8 %</t>
        </is>
      </c>
      <c r="AA5377" s="12">
        <f>N5377*O5377</f>
        <v/>
      </c>
    </row>
    <row r="5378">
      <c r="A5378" s="12" t="inlineStr">
        <is>
          <t>I-P-0259</t>
        </is>
      </c>
      <c r="B5378" s="12" t="inlineStr">
        <is>
          <t>I</t>
        </is>
      </c>
      <c r="C5378" s="12" t="inlineStr">
        <is>
          <t>Modular / portable power</t>
        </is>
      </c>
      <c r="D5378" s="12" t="inlineStr">
        <is>
          <t>SC-2 water-wash tank heater</t>
        </is>
      </c>
      <c r="E5378" s="12" t="inlineStr"/>
      <c r="F5378" s="12" t="inlineStr">
        <is>
          <t>SC-2 PCM + 15 kV GCB</t>
        </is>
      </c>
      <c r="G5378" s="12" t="inlineStr"/>
      <c r="H5378" s="12" t="inlineStr">
        <is>
          <t>SC-2 auxiliary skids: fuel-gas module, water-wash skid</t>
        </is>
      </c>
      <c r="I5378" s="12" t="inlineStr">
        <is>
          <t>LV 600 V</t>
        </is>
      </c>
      <c r="J5378" s="12" t="inlineStr">
        <is>
          <t>ARMOR-X MC-HL 600 V 3/C Cu XHHW-2 + ground, CWA, black PVC (Class I Div 2)</t>
        </is>
      </c>
      <c r="K5378" s="12" t="inlineStr">
        <is>
          <t>LVAX|3/C+G|10</t>
        </is>
      </c>
      <c r="L5378" s="12" t="inlineStr">
        <is>
          <t>3/C+G</t>
        </is>
      </c>
      <c r="M5378" s="12" t="inlineStr">
        <is>
          <t>10</t>
        </is>
      </c>
      <c r="N5378" s="12" t="n">
        <v>1</v>
      </c>
      <c r="O5378" s="12" t="n">
        <v>1</v>
      </c>
      <c r="P5378" s="12" t="n">
        <v>480</v>
      </c>
      <c r="Q5378" s="12" t="n">
        <v>6</v>
      </c>
      <c r="R5378" s="12" t="n">
        <v>7.6</v>
      </c>
      <c r="S5378" s="12" t="inlineStr">
        <is>
          <t>Tray</t>
        </is>
      </c>
      <c r="T5378" s="16" t="n">
        <v>0</v>
      </c>
      <c r="U5378" s="16" t="n">
        <v>77</v>
      </c>
      <c r="V5378" s="16">
        <f>ROUNDUP((T5378+U5378+2*'Read Me'!$B$13)*(1+'Read Me'!$B$12),-1)</f>
        <v/>
      </c>
      <c r="W5378" s="16">
        <f>V5378*N5378*O5378</f>
        <v/>
      </c>
      <c r="X5378" s="12">
        <f>IF(LEFT(I5378,2)="MV",2*N5378*IF(L5378="1/C",O5378,1),0)</f>
        <v/>
      </c>
      <c r="Y5378" s="12">
        <f>IF(OR(LEFT(K5378,4)="LVAX",LEFT(K5378,6)="MV15AX",LEFT(K5378,4)="CTAX",LEFT(K5378,2)="W|"),2*N5378*O5378,0)</f>
        <v/>
      </c>
      <c r="Z5378" s="12" t="inlineStr">
        <is>
          <t>VD 0.3 %</t>
        </is>
      </c>
      <c r="AA5378" s="12">
        <f>N5378*O5378</f>
        <v/>
      </c>
    </row>
    <row r="5379">
      <c r="A5379" s="12" t="inlineStr">
        <is>
          <t>I-P-0260</t>
        </is>
      </c>
      <c r="B5379" s="12" t="inlineStr">
        <is>
          <t>I</t>
        </is>
      </c>
      <c r="C5379" s="12" t="inlineStr">
        <is>
          <t>Modular / portable power</t>
        </is>
      </c>
      <c r="D5379" s="12" t="inlineStr">
        <is>
          <t>Motor 1 of 1, 7.5 kW</t>
        </is>
      </c>
      <c r="E5379" s="12" t="inlineStr"/>
      <c r="F5379" s="12" t="inlineStr">
        <is>
          <t>SC-2 PCM + 15 kV GCB</t>
        </is>
      </c>
      <c r="G5379" s="12" t="inlineStr"/>
      <c r="H5379" s="12" t="inlineStr">
        <is>
          <t>SC-2 auxiliary skids: fuel-gas module, water-wash skid</t>
        </is>
      </c>
      <c r="I5379" s="12" t="inlineStr">
        <is>
          <t>LV 600 V</t>
        </is>
      </c>
      <c r="J5379" s="12" t="inlineStr">
        <is>
          <t>ARMOR-X MC-HL 600 V 3/C Cu XHHW-2 + ground, CWA, black PVC (Class I Div 2)</t>
        </is>
      </c>
      <c r="K5379" s="12" t="inlineStr">
        <is>
          <t>LVAX|3/C+G|10</t>
        </is>
      </c>
      <c r="L5379" s="12" t="inlineStr">
        <is>
          <t>3/C+G</t>
        </is>
      </c>
      <c r="M5379" s="12" t="inlineStr">
        <is>
          <t>10</t>
        </is>
      </c>
      <c r="N5379" s="12" t="n">
        <v>1</v>
      </c>
      <c r="O5379" s="12" t="n">
        <v>1</v>
      </c>
      <c r="P5379" s="12" t="n">
        <v>480</v>
      </c>
      <c r="Q5379" s="12" t="n">
        <v>7.5</v>
      </c>
      <c r="R5379" s="12" t="n">
        <v>10.6</v>
      </c>
      <c r="S5379" s="12" t="inlineStr">
        <is>
          <t>Tray</t>
        </is>
      </c>
      <c r="T5379" s="16" t="n">
        <v>0</v>
      </c>
      <c r="U5379" s="16" t="n">
        <v>77</v>
      </c>
      <c r="V5379" s="16">
        <f>ROUNDUP((T5379+U5379+2*'Read Me'!$B$13)*(1+'Read Me'!$B$12),-1)</f>
        <v/>
      </c>
      <c r="W5379" s="16">
        <f>V5379*N5379*O5379</f>
        <v/>
      </c>
      <c r="X5379" s="12">
        <f>IF(LEFT(I5379,2)="MV",2*N5379*IF(L5379="1/C",O5379,1),0)</f>
        <v/>
      </c>
      <c r="Y5379" s="12">
        <f>IF(OR(LEFT(K5379,4)="LVAX",LEFT(K5379,6)="MV15AX",LEFT(K5379,4)="CTAX",LEFT(K5379,2)="W|"),2*N5379*O5379,0)</f>
        <v/>
      </c>
      <c r="Z5379" s="12" t="inlineStr">
        <is>
          <t>VD 0.4 %</t>
        </is>
      </c>
      <c r="AA5379" s="12">
        <f>N5379*O5379</f>
        <v/>
      </c>
    </row>
    <row r="5380">
      <c r="A5380" s="12" t="inlineStr">
        <is>
          <t>I-P-0261</t>
        </is>
      </c>
      <c r="B5380" s="12" t="inlineStr">
        <is>
          <t>I</t>
        </is>
      </c>
      <c r="C5380" s="12" t="inlineStr">
        <is>
          <t>Modular / portable power</t>
        </is>
      </c>
      <c r="D5380" s="12" t="inlineStr">
        <is>
          <t>Motor 1 of 4, 15 kW</t>
        </is>
      </c>
      <c r="E5380" s="12" t="inlineStr"/>
      <c r="F5380" s="12" t="inlineStr">
        <is>
          <t>SC-2 PCM + 15 kV GCB</t>
        </is>
      </c>
      <c r="G5380" s="12" t="inlineStr"/>
      <c r="H5380" s="12" t="inlineStr">
        <is>
          <t>SC-2 lube-oil fin-fan cooler</t>
        </is>
      </c>
      <c r="I5380" s="12" t="inlineStr">
        <is>
          <t>LV 600 V</t>
        </is>
      </c>
      <c r="J5380" s="12" t="inlineStr">
        <is>
          <t>Type TC-ER 600 V 3/C Cu XHHW-2 + ground, PVC jacket</t>
        </is>
      </c>
      <c r="K5380" s="12" t="inlineStr">
        <is>
          <t>LV|3/C+G|10</t>
        </is>
      </c>
      <c r="L5380" s="12" t="inlineStr">
        <is>
          <t>3/C+G</t>
        </is>
      </c>
      <c r="M5380" s="12" t="inlineStr">
        <is>
          <t>10</t>
        </is>
      </c>
      <c r="N5380" s="12" t="n">
        <v>1</v>
      </c>
      <c r="O5380" s="12" t="n">
        <v>1</v>
      </c>
      <c r="P5380" s="12" t="n">
        <v>480</v>
      </c>
      <c r="Q5380" s="12" t="n">
        <v>15</v>
      </c>
      <c r="R5380" s="12" t="n">
        <v>21.2</v>
      </c>
      <c r="S5380" s="12" t="inlineStr">
        <is>
          <t>Tray</t>
        </is>
      </c>
      <c r="T5380" s="16" t="n">
        <v>0</v>
      </c>
      <c r="U5380" s="16" t="n">
        <v>82</v>
      </c>
      <c r="V5380" s="16">
        <f>ROUNDUP((T5380+U5380+2*'Read Me'!$B$13)*(1+'Read Me'!$B$12),-1)</f>
        <v/>
      </c>
      <c r="W5380" s="16">
        <f>V5380*N5380*O5380</f>
        <v/>
      </c>
      <c r="X5380" s="12">
        <f>IF(LEFT(I5380,2)="MV",2*N5380*IF(L5380="1/C",O5380,1),0)</f>
        <v/>
      </c>
      <c r="Y5380" s="12">
        <f>IF(OR(LEFT(K5380,4)="LVAX",LEFT(K5380,6)="MV15AX",LEFT(K5380,4)="CTAX",LEFT(K5380,2)="W|"),2*N5380*O5380,0)</f>
        <v/>
      </c>
      <c r="Z5380" s="12" t="inlineStr">
        <is>
          <t>VD 0.8 %</t>
        </is>
      </c>
      <c r="AA5380" s="12">
        <f>N5380*O5380</f>
        <v/>
      </c>
    </row>
    <row r="5381">
      <c r="A5381" s="12" t="inlineStr">
        <is>
          <t>I-P-0262</t>
        </is>
      </c>
      <c r="B5381" s="12" t="inlineStr">
        <is>
          <t>I</t>
        </is>
      </c>
      <c r="C5381" s="12" t="inlineStr">
        <is>
          <t>Modular / portable power</t>
        </is>
      </c>
      <c r="D5381" s="12" t="inlineStr">
        <is>
          <t>Motor 2 of 4, 15 kW</t>
        </is>
      </c>
      <c r="E5381" s="12" t="inlineStr"/>
      <c r="F5381" s="12" t="inlineStr">
        <is>
          <t>SC-2 PCM + 15 kV GCB</t>
        </is>
      </c>
      <c r="G5381" s="12" t="inlineStr"/>
      <c r="H5381" s="12" t="inlineStr">
        <is>
          <t>SC-2 lube-oil fin-fan cooler</t>
        </is>
      </c>
      <c r="I5381" s="12" t="inlineStr">
        <is>
          <t>LV 600 V</t>
        </is>
      </c>
      <c r="J5381" s="12" t="inlineStr">
        <is>
          <t>Type TC-ER 600 V 3/C Cu XHHW-2 + ground, PVC jacket</t>
        </is>
      </c>
      <c r="K5381" s="12" t="inlineStr">
        <is>
          <t>LV|3/C+G|10</t>
        </is>
      </c>
      <c r="L5381" s="12" t="inlineStr">
        <is>
          <t>3/C+G</t>
        </is>
      </c>
      <c r="M5381" s="12" t="inlineStr">
        <is>
          <t>10</t>
        </is>
      </c>
      <c r="N5381" s="12" t="n">
        <v>1</v>
      </c>
      <c r="O5381" s="12" t="n">
        <v>1</v>
      </c>
      <c r="P5381" s="12" t="n">
        <v>480</v>
      </c>
      <c r="Q5381" s="12" t="n">
        <v>15</v>
      </c>
      <c r="R5381" s="12" t="n">
        <v>21.2</v>
      </c>
      <c r="S5381" s="12" t="inlineStr">
        <is>
          <t>Tray</t>
        </is>
      </c>
      <c r="T5381" s="16" t="n">
        <v>0</v>
      </c>
      <c r="U5381" s="16" t="n">
        <v>82</v>
      </c>
      <c r="V5381" s="16">
        <f>ROUNDUP((T5381+U5381+2*'Read Me'!$B$13)*(1+'Read Me'!$B$12),-1)</f>
        <v/>
      </c>
      <c r="W5381" s="16">
        <f>V5381*N5381*O5381</f>
        <v/>
      </c>
      <c r="X5381" s="12">
        <f>IF(LEFT(I5381,2)="MV",2*N5381*IF(L5381="1/C",O5381,1),0)</f>
        <v/>
      </c>
      <c r="Y5381" s="12">
        <f>IF(OR(LEFT(K5381,4)="LVAX",LEFT(K5381,6)="MV15AX",LEFT(K5381,4)="CTAX",LEFT(K5381,2)="W|"),2*N5381*O5381,0)</f>
        <v/>
      </c>
      <c r="Z5381" s="12" t="inlineStr">
        <is>
          <t>VD 0.8 %</t>
        </is>
      </c>
      <c r="AA5381" s="12">
        <f>N5381*O5381</f>
        <v/>
      </c>
    </row>
    <row r="5382">
      <c r="A5382" s="12" t="inlineStr">
        <is>
          <t>I-P-0263</t>
        </is>
      </c>
      <c r="B5382" s="12" t="inlineStr">
        <is>
          <t>I</t>
        </is>
      </c>
      <c r="C5382" s="12" t="inlineStr">
        <is>
          <t>Modular / portable power</t>
        </is>
      </c>
      <c r="D5382" s="12" t="inlineStr">
        <is>
          <t>Motor 3 of 4, 15 kW</t>
        </is>
      </c>
      <c r="E5382" s="12" t="inlineStr"/>
      <c r="F5382" s="12" t="inlineStr">
        <is>
          <t>SC-2 PCM + 15 kV GCB</t>
        </is>
      </c>
      <c r="G5382" s="12" t="inlineStr"/>
      <c r="H5382" s="12" t="inlineStr">
        <is>
          <t>SC-2 lube-oil fin-fan cooler</t>
        </is>
      </c>
      <c r="I5382" s="12" t="inlineStr">
        <is>
          <t>LV 600 V</t>
        </is>
      </c>
      <c r="J5382" s="12" t="inlineStr">
        <is>
          <t>Type TC-ER 600 V 3/C Cu XHHW-2 + ground, PVC jacket</t>
        </is>
      </c>
      <c r="K5382" s="12" t="inlineStr">
        <is>
          <t>LV|3/C+G|10</t>
        </is>
      </c>
      <c r="L5382" s="12" t="inlineStr">
        <is>
          <t>3/C+G</t>
        </is>
      </c>
      <c r="M5382" s="12" t="inlineStr">
        <is>
          <t>10</t>
        </is>
      </c>
      <c r="N5382" s="12" t="n">
        <v>1</v>
      </c>
      <c r="O5382" s="12" t="n">
        <v>1</v>
      </c>
      <c r="P5382" s="12" t="n">
        <v>480</v>
      </c>
      <c r="Q5382" s="12" t="n">
        <v>15</v>
      </c>
      <c r="R5382" s="12" t="n">
        <v>21.2</v>
      </c>
      <c r="S5382" s="12" t="inlineStr">
        <is>
          <t>Tray</t>
        </is>
      </c>
      <c r="T5382" s="16" t="n">
        <v>0</v>
      </c>
      <c r="U5382" s="16" t="n">
        <v>82</v>
      </c>
      <c r="V5382" s="16">
        <f>ROUNDUP((T5382+U5382+2*'Read Me'!$B$13)*(1+'Read Me'!$B$12),-1)</f>
        <v/>
      </c>
      <c r="W5382" s="16">
        <f>V5382*N5382*O5382</f>
        <v/>
      </c>
      <c r="X5382" s="12">
        <f>IF(LEFT(I5382,2)="MV",2*N5382*IF(L5382="1/C",O5382,1),0)</f>
        <v/>
      </c>
      <c r="Y5382" s="12">
        <f>IF(OR(LEFT(K5382,4)="LVAX",LEFT(K5382,6)="MV15AX",LEFT(K5382,4)="CTAX",LEFT(K5382,2)="W|"),2*N5382*O5382,0)</f>
        <v/>
      </c>
      <c r="Z5382" s="12" t="inlineStr">
        <is>
          <t>VD 0.8 %</t>
        </is>
      </c>
      <c r="AA5382" s="12">
        <f>N5382*O5382</f>
        <v/>
      </c>
    </row>
    <row r="5383">
      <c r="A5383" s="12" t="inlineStr">
        <is>
          <t>I-P-0264</t>
        </is>
      </c>
      <c r="B5383" s="12" t="inlineStr">
        <is>
          <t>I</t>
        </is>
      </c>
      <c r="C5383" s="12" t="inlineStr">
        <is>
          <t>Modular / portable power</t>
        </is>
      </c>
      <c r="D5383" s="12" t="inlineStr">
        <is>
          <t>Motor 4 of 4, 15 kW</t>
        </is>
      </c>
      <c r="E5383" s="12" t="inlineStr"/>
      <c r="F5383" s="12" t="inlineStr">
        <is>
          <t>SC-2 PCM + 15 kV GCB</t>
        </is>
      </c>
      <c r="G5383" s="12" t="inlineStr"/>
      <c r="H5383" s="12" t="inlineStr">
        <is>
          <t>SC-2 lube-oil fin-fan cooler</t>
        </is>
      </c>
      <c r="I5383" s="12" t="inlineStr">
        <is>
          <t>LV 600 V</t>
        </is>
      </c>
      <c r="J5383" s="12" t="inlineStr">
        <is>
          <t>Type TC-ER 600 V 3/C Cu XHHW-2 + ground, PVC jacket</t>
        </is>
      </c>
      <c r="K5383" s="12" t="inlineStr">
        <is>
          <t>LV|3/C+G|10</t>
        </is>
      </c>
      <c r="L5383" s="12" t="inlineStr">
        <is>
          <t>3/C+G</t>
        </is>
      </c>
      <c r="M5383" s="12" t="inlineStr">
        <is>
          <t>10</t>
        </is>
      </c>
      <c r="N5383" s="12" t="n">
        <v>1</v>
      </c>
      <c r="O5383" s="12" t="n">
        <v>1</v>
      </c>
      <c r="P5383" s="12" t="n">
        <v>480</v>
      </c>
      <c r="Q5383" s="12" t="n">
        <v>15</v>
      </c>
      <c r="R5383" s="12" t="n">
        <v>21.2</v>
      </c>
      <c r="S5383" s="12" t="inlineStr">
        <is>
          <t>Tray</t>
        </is>
      </c>
      <c r="T5383" s="16" t="n">
        <v>0</v>
      </c>
      <c r="U5383" s="16" t="n">
        <v>82</v>
      </c>
      <c r="V5383" s="16">
        <f>ROUNDUP((T5383+U5383+2*'Read Me'!$B$13)*(1+'Read Me'!$B$12),-1)</f>
        <v/>
      </c>
      <c r="W5383" s="16">
        <f>V5383*N5383*O5383</f>
        <v/>
      </c>
      <c r="X5383" s="12">
        <f>IF(LEFT(I5383,2)="MV",2*N5383*IF(L5383="1/C",O5383,1),0)</f>
        <v/>
      </c>
      <c r="Y5383" s="12">
        <f>IF(OR(LEFT(K5383,4)="LVAX",LEFT(K5383,6)="MV15AX",LEFT(K5383,4)="CTAX",LEFT(K5383,2)="W|"),2*N5383*O5383,0)</f>
        <v/>
      </c>
      <c r="Z5383" s="12" t="inlineStr">
        <is>
          <t>VD 0.8 %</t>
        </is>
      </c>
      <c r="AA5383" s="12">
        <f>N5383*O5383</f>
        <v/>
      </c>
    </row>
    <row r="5384">
      <c r="A5384" s="12" t="inlineStr">
        <is>
          <t>I-P-0265</t>
        </is>
      </c>
      <c r="B5384" s="12" t="inlineStr">
        <is>
          <t>I</t>
        </is>
      </c>
      <c r="C5384" s="12" t="inlineStr">
        <is>
          <t>Modular / portable power</t>
        </is>
      </c>
      <c r="D5384" s="12" t="inlineStr">
        <is>
          <t>Area / platform lighting circuit 1 (4 fixtures)</t>
        </is>
      </c>
      <c r="E5384" s="12" t="inlineStr"/>
      <c r="F5384" s="12" t="inlineStr">
        <is>
          <t>SC-2 PCM + 15 kV GCB</t>
        </is>
      </c>
      <c r="G5384" s="12" t="inlineStr"/>
      <c r="H5384" s="12" t="inlineStr">
        <is>
          <t>SC-2 stack (80 ft)</t>
        </is>
      </c>
      <c r="I5384" s="12" t="inlineStr">
        <is>
          <t>LV 600 V</t>
        </is>
      </c>
      <c r="J5384" s="12" t="inlineStr">
        <is>
          <t>Type TC-ER 600 V 3/C Cu XHHW-2 + ground, PVC jacket</t>
        </is>
      </c>
      <c r="K5384" s="12" t="inlineStr">
        <is>
          <t>LV|3/C+G|10</t>
        </is>
      </c>
      <c r="L5384" s="12" t="inlineStr">
        <is>
          <t>3/C+G</t>
        </is>
      </c>
      <c r="M5384" s="12" t="inlineStr">
        <is>
          <t>10</t>
        </is>
      </c>
      <c r="N5384" s="12" t="n">
        <v>1</v>
      </c>
      <c r="O5384" s="12" t="n">
        <v>1</v>
      </c>
      <c r="P5384" s="12" t="n">
        <v>480</v>
      </c>
      <c r="Q5384" s="12" t="n">
        <v>3</v>
      </c>
      <c r="R5384" s="12" t="n">
        <v>5</v>
      </c>
      <c r="S5384" s="12" t="inlineStr">
        <is>
          <t>Duct bank</t>
        </is>
      </c>
      <c r="T5384" s="16" t="n">
        <v>325</v>
      </c>
      <c r="U5384" s="16" t="n">
        <v>176</v>
      </c>
      <c r="V5384" s="16">
        <f>ROUNDUP((T5384+U5384+2*'Read Me'!$B$13)*(1+'Read Me'!$B$12),-1)</f>
        <v/>
      </c>
      <c r="W5384" s="16">
        <f>V5384*N5384*O5384</f>
        <v/>
      </c>
      <c r="X5384" s="12">
        <f>IF(LEFT(I5384,2)="MV",2*N5384*IF(L5384="1/C",O5384,1),0)</f>
        <v/>
      </c>
      <c r="Y5384" s="12">
        <f>IF(OR(LEFT(K5384,4)="LVAX",LEFT(K5384,6)="MV15AX",LEFT(K5384,4)="CTAX",LEFT(K5384,2)="W|"),2*N5384*O5384,0)</f>
        <v/>
      </c>
      <c r="Z5384" s="12" t="inlineStr">
        <is>
          <t>fixture-to-fixture run included</t>
        </is>
      </c>
      <c r="AA5384" s="12">
        <f>N5384*O5384</f>
        <v/>
      </c>
    </row>
    <row r="5385">
      <c r="A5385" s="12" t="inlineStr">
        <is>
          <t>I-P-0266</t>
        </is>
      </c>
      <c r="B5385" s="12" t="inlineStr">
        <is>
          <t>I</t>
        </is>
      </c>
      <c r="C5385" s="12" t="inlineStr">
        <is>
          <t>Modular / portable power</t>
        </is>
      </c>
      <c r="D5385" s="12" t="inlineStr">
        <is>
          <t>Motor 1 of 2, 185 kW</t>
        </is>
      </c>
      <c r="E5385" s="12" t="inlineStr"/>
      <c r="F5385" s="12" t="inlineStr">
        <is>
          <t>SC-2 PCM + 15 kV GCB</t>
        </is>
      </c>
      <c r="G5385" s="12" t="inlineStr"/>
      <c r="H5385" s="12" t="inlineStr">
        <is>
          <t>SC-2 tempering-air fans (2 x 100 %)</t>
        </is>
      </c>
      <c r="I5385" s="12" t="inlineStr">
        <is>
          <t>LV 600 V</t>
        </is>
      </c>
      <c r="J5385" s="12" t="inlineStr">
        <is>
          <t>Type TC-ER 600 V 3/C Cu XHHW-2 + ground, PVC jacket</t>
        </is>
      </c>
      <c r="K5385" s="12" t="inlineStr">
        <is>
          <t>LV|3/C+G|500</t>
        </is>
      </c>
      <c r="L5385" s="12" t="inlineStr">
        <is>
          <t>3/C+G</t>
        </is>
      </c>
      <c r="M5385" s="12" t="inlineStr">
        <is>
          <t>500 kcmil</t>
        </is>
      </c>
      <c r="N5385" s="12" t="n">
        <v>1</v>
      </c>
      <c r="O5385" s="12" t="n">
        <v>1</v>
      </c>
      <c r="P5385" s="12" t="n">
        <v>480</v>
      </c>
      <c r="Q5385" s="12" t="n">
        <v>185</v>
      </c>
      <c r="R5385" s="12" t="n">
        <v>261.8</v>
      </c>
      <c r="S5385" s="12" t="inlineStr">
        <is>
          <t>Duct bank</t>
        </is>
      </c>
      <c r="T5385" s="16" t="n">
        <v>25</v>
      </c>
      <c r="U5385" s="16" t="n">
        <v>124</v>
      </c>
      <c r="V5385" s="16">
        <f>ROUNDUP((T5385+U5385+2*'Read Me'!$B$13)*(1+'Read Me'!$B$12),-1)</f>
        <v/>
      </c>
      <c r="W5385" s="16">
        <f>V5385*N5385*O5385</f>
        <v/>
      </c>
      <c r="X5385" s="12">
        <f>IF(LEFT(I5385,2)="MV",2*N5385*IF(L5385="1/C",O5385,1),0)</f>
        <v/>
      </c>
      <c r="Y5385" s="12">
        <f>IF(OR(LEFT(K5385,4)="LVAX",LEFT(K5385,6)="MV15AX",LEFT(K5385,4)="CTAX",LEFT(K5385,2)="W|"),2*N5385*O5385,0)</f>
        <v/>
      </c>
      <c r="Z5385" s="12" t="inlineStr">
        <is>
          <t>VD 0.4 %</t>
        </is>
      </c>
      <c r="AA5385" s="12">
        <f>N5385*O5385</f>
        <v/>
      </c>
    </row>
    <row r="5386">
      <c r="A5386" s="12" t="inlineStr">
        <is>
          <t>I-P-0267</t>
        </is>
      </c>
      <c r="B5386" s="12" t="inlineStr">
        <is>
          <t>I</t>
        </is>
      </c>
      <c r="C5386" s="12" t="inlineStr">
        <is>
          <t>Modular / portable power</t>
        </is>
      </c>
      <c r="D5386" s="12" t="inlineStr">
        <is>
          <t>Motor 2 of 2, 185 kW</t>
        </is>
      </c>
      <c r="E5386" s="12" t="inlineStr"/>
      <c r="F5386" s="12" t="inlineStr">
        <is>
          <t>SC-2 PCM + 15 kV GCB</t>
        </is>
      </c>
      <c r="G5386" s="12" t="inlineStr"/>
      <c r="H5386" s="12" t="inlineStr">
        <is>
          <t>SC-2 tempering-air fans (2 x 100 %)</t>
        </is>
      </c>
      <c r="I5386" s="12" t="inlineStr">
        <is>
          <t>LV 600 V</t>
        </is>
      </c>
      <c r="J5386" s="12" t="inlineStr">
        <is>
          <t>Type TC-ER 600 V 3/C Cu XHHW-2 + ground, PVC jacket</t>
        </is>
      </c>
      <c r="K5386" s="12" t="inlineStr">
        <is>
          <t>LV|3/C+G|500</t>
        </is>
      </c>
      <c r="L5386" s="12" t="inlineStr">
        <is>
          <t>3/C+G</t>
        </is>
      </c>
      <c r="M5386" s="12" t="inlineStr">
        <is>
          <t>500 kcmil</t>
        </is>
      </c>
      <c r="N5386" s="12" t="n">
        <v>1</v>
      </c>
      <c r="O5386" s="12" t="n">
        <v>1</v>
      </c>
      <c r="P5386" s="12" t="n">
        <v>480</v>
      </c>
      <c r="Q5386" s="12" t="n">
        <v>185</v>
      </c>
      <c r="R5386" s="12" t="n">
        <v>261.8</v>
      </c>
      <c r="S5386" s="12" t="inlineStr">
        <is>
          <t>Duct bank</t>
        </is>
      </c>
      <c r="T5386" s="16" t="n">
        <v>25</v>
      </c>
      <c r="U5386" s="16" t="n">
        <v>124</v>
      </c>
      <c r="V5386" s="16">
        <f>ROUNDUP((T5386+U5386+2*'Read Me'!$B$13)*(1+'Read Me'!$B$12),-1)</f>
        <v/>
      </c>
      <c r="W5386" s="16">
        <f>V5386*N5386*O5386</f>
        <v/>
      </c>
      <c r="X5386" s="12">
        <f>IF(LEFT(I5386,2)="MV",2*N5386*IF(L5386="1/C",O5386,1),0)</f>
        <v/>
      </c>
      <c r="Y5386" s="12">
        <f>IF(OR(LEFT(K5386,4)="LVAX",LEFT(K5386,6)="MV15AX",LEFT(K5386,4)="CTAX",LEFT(K5386,2)="W|"),2*N5386*O5386,0)</f>
        <v/>
      </c>
      <c r="Z5386" s="12" t="inlineStr">
        <is>
          <t>VD 0.4 %</t>
        </is>
      </c>
      <c r="AA5386" s="12">
        <f>N5386*O5386</f>
        <v/>
      </c>
    </row>
    <row r="5387">
      <c r="A5387" s="12" t="inlineStr">
        <is>
          <t>I-P-0268</t>
        </is>
      </c>
      <c r="B5387" s="12" t="inlineStr">
        <is>
          <t>I</t>
        </is>
      </c>
      <c r="C5387" s="12" t="inlineStr">
        <is>
          <t>Modular / portable power</t>
        </is>
      </c>
      <c r="D5387" s="12" t="inlineStr">
        <is>
          <t>Area / platform lighting circuit 1 (4 fixtures)</t>
        </is>
      </c>
      <c r="E5387" s="12" t="inlineStr"/>
      <c r="F5387" s="12" t="inlineStr">
        <is>
          <t>SC-2 PCM + 15 kV GCB</t>
        </is>
      </c>
      <c r="G5387" s="12" t="inlineStr"/>
      <c r="H5387" s="12" t="inlineStr">
        <is>
          <t>SC-2 tempering-air fans (2 x 100 %)</t>
        </is>
      </c>
      <c r="I5387" s="12" t="inlineStr">
        <is>
          <t>LV 600 V</t>
        </is>
      </c>
      <c r="J5387" s="12" t="inlineStr">
        <is>
          <t>Type TC-ER 600 V 3/C Cu XHHW-2 + ground, PVC jacket</t>
        </is>
      </c>
      <c r="K5387" s="12" t="inlineStr">
        <is>
          <t>LV|3/C+G|10</t>
        </is>
      </c>
      <c r="L5387" s="12" t="inlineStr">
        <is>
          <t>3/C+G</t>
        </is>
      </c>
      <c r="M5387" s="12" t="inlineStr">
        <is>
          <t>10</t>
        </is>
      </c>
      <c r="N5387" s="12" t="n">
        <v>1</v>
      </c>
      <c r="O5387" s="12" t="n">
        <v>1</v>
      </c>
      <c r="P5387" s="12" t="n">
        <v>480</v>
      </c>
      <c r="Q5387" s="12" t="n">
        <v>3</v>
      </c>
      <c r="R5387" s="12" t="n">
        <v>5</v>
      </c>
      <c r="S5387" s="12" t="inlineStr">
        <is>
          <t>Duct bank</t>
        </is>
      </c>
      <c r="T5387" s="16" t="n">
        <v>325</v>
      </c>
      <c r="U5387" s="16" t="n">
        <v>124</v>
      </c>
      <c r="V5387" s="16">
        <f>ROUNDUP((T5387+U5387+2*'Read Me'!$B$13)*(1+'Read Me'!$B$12),-1)</f>
        <v/>
      </c>
      <c r="W5387" s="16">
        <f>V5387*N5387*O5387</f>
        <v/>
      </c>
      <c r="X5387" s="12">
        <f>IF(LEFT(I5387,2)="MV",2*N5387*IF(L5387="1/C",O5387,1),0)</f>
        <v/>
      </c>
      <c r="Y5387" s="12">
        <f>IF(OR(LEFT(K5387,4)="LVAX",LEFT(K5387,6)="MV15AX",LEFT(K5387,4)="CTAX",LEFT(K5387,2)="W|"),2*N5387*O5387,0)</f>
        <v/>
      </c>
      <c r="Z5387" s="12" t="inlineStr">
        <is>
          <t>fixture-to-fixture run included</t>
        </is>
      </c>
      <c r="AA5387" s="12">
        <f>N5387*O5387</f>
        <v/>
      </c>
    </row>
    <row r="5388">
      <c r="A5388" s="12" t="inlineStr">
        <is>
          <t>I-P-0269</t>
        </is>
      </c>
      <c r="B5388" s="12" t="inlineStr">
        <is>
          <t>I</t>
        </is>
      </c>
      <c r="C5388" s="12" t="inlineStr">
        <is>
          <t>Modular / portable power</t>
        </is>
      </c>
      <c r="D5388" s="12" t="inlineStr">
        <is>
          <t>SC-2 emergency DC lube-oil pump (125 V DC, coast-down)</t>
        </is>
      </c>
      <c r="E5388" s="12" t="inlineStr"/>
      <c r="F5388" s="12" t="inlineStr">
        <is>
          <t>SC-2 PCM + 15 kV GCB</t>
        </is>
      </c>
      <c r="G5388" s="12" t="inlineStr">
        <is>
          <t>SC-2</t>
        </is>
      </c>
      <c r="H5388" s="12" t="inlineStr">
        <is>
          <t>SC-2: aeroderivative simple-cycle unit (LM6000 class)</t>
        </is>
      </c>
      <c r="I5388" s="12" t="inlineStr">
        <is>
          <t>LV 600 V</t>
        </is>
      </c>
      <c r="J5388" s="12" t="inlineStr">
        <is>
          <t>XHHW-2 600 V 1/C Cu (feeder sets in tray / duct)</t>
        </is>
      </c>
      <c r="K5388" s="12" t="inlineStr">
        <is>
          <t>LV1C|1/C|2</t>
        </is>
      </c>
      <c r="L5388" s="12" t="inlineStr">
        <is>
          <t>1/C</t>
        </is>
      </c>
      <c r="M5388" s="12" t="inlineStr">
        <is>
          <t>2</t>
        </is>
      </c>
      <c r="N5388" s="12" t="n">
        <v>1</v>
      </c>
      <c r="O5388" s="12" t="n">
        <v>2</v>
      </c>
      <c r="P5388" s="12" t="n">
        <v>125</v>
      </c>
      <c r="Q5388" s="12" t="n">
        <v>7.5</v>
      </c>
      <c r="R5388" s="12" t="n">
        <v>65</v>
      </c>
      <c r="S5388" s="12" t="inlineStr">
        <is>
          <t>Duct bank</t>
        </is>
      </c>
      <c r="T5388" s="16" t="n">
        <v>25</v>
      </c>
      <c r="U5388" s="16" t="n">
        <v>32</v>
      </c>
      <c r="V5388" s="16">
        <f>ROUNDUP((T5388+U5388+2*'Read Me'!$B$13)*(1+'Read Me'!$B$12),-1)</f>
        <v/>
      </c>
      <c r="W5388" s="16">
        <f>V5388*N5388*O5388</f>
        <v/>
      </c>
      <c r="X5388" s="12">
        <f>IF(LEFT(I5388,2)="MV",2*N5388*IF(L5388="1/C",O5388,1),0)</f>
        <v/>
      </c>
      <c r="Y5388" s="12">
        <f>IF(OR(LEFT(K5388,4)="LVAX",LEFT(K5388,6)="MV15AX",LEFT(K5388,4)="CTAX",LEFT(K5388,2)="W|"),2*N5388*O5388,0)</f>
        <v/>
      </c>
      <c r="Z5388" s="12" t="inlineStr">
        <is>
          <t>LM6000 class: DC pump keeps the bearings fed on loss of AC</t>
        </is>
      </c>
      <c r="AA5388" s="12">
        <f>N5388*O5388</f>
        <v/>
      </c>
    </row>
    <row r="5389">
      <c r="A5389" s="12" t="inlineStr">
        <is>
          <t>I-P-0270</t>
        </is>
      </c>
      <c r="B5389" s="12" t="inlineStr">
        <is>
          <t>I</t>
        </is>
      </c>
      <c r="C5389" s="12" t="inlineStr">
        <is>
          <t>Modular / portable power</t>
        </is>
      </c>
      <c r="D5389" s="12" t="inlineStr">
        <is>
          <t>SC-2 120 V AC UPS to the unit control and protection</t>
        </is>
      </c>
      <c r="E5389" s="12" t="inlineStr"/>
      <c r="F5389" s="12" t="inlineStr">
        <is>
          <t>SC-2 PCM + 15 kV GCB</t>
        </is>
      </c>
      <c r="G5389" s="12" t="inlineStr">
        <is>
          <t>SC-2</t>
        </is>
      </c>
      <c r="H5389" s="12" t="inlineStr">
        <is>
          <t>SC-2: aeroderivative simple-cycle unit (LM6000 class)</t>
        </is>
      </c>
      <c r="I5389" s="12" t="inlineStr">
        <is>
          <t>LV 600 V</t>
        </is>
      </c>
      <c r="J5389" s="12" t="inlineStr">
        <is>
          <t>XHHW-2 600 V 1/C Cu (feeder sets in tray / duct)</t>
        </is>
      </c>
      <c r="K5389" s="12" t="inlineStr">
        <is>
          <t>LV1C|1/C|6</t>
        </is>
      </c>
      <c r="L5389" s="12" t="inlineStr">
        <is>
          <t>1/C</t>
        </is>
      </c>
      <c r="M5389" s="12" t="inlineStr">
        <is>
          <t>6</t>
        </is>
      </c>
      <c r="N5389" s="12" t="n">
        <v>1</v>
      </c>
      <c r="O5389" s="12" t="n">
        <v>2</v>
      </c>
      <c r="P5389" s="12" t="n">
        <v>120</v>
      </c>
      <c r="Q5389" s="12" t="n">
        <v>5</v>
      </c>
      <c r="R5389" s="12" t="n"/>
      <c r="S5389" s="12" t="inlineStr">
        <is>
          <t>Duct bank</t>
        </is>
      </c>
      <c r="T5389" s="16" t="n">
        <v>25</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I-P-0271</t>
        </is>
      </c>
      <c r="B5390" s="12" t="inlineStr">
        <is>
          <t>I</t>
        </is>
      </c>
      <c r="C5390" s="12" t="inlineStr">
        <is>
          <t>Modular / portable power</t>
        </is>
      </c>
      <c r="D5390" s="12" t="inlineStr">
        <is>
          <t>SC-2 hydraulic starter pump motor (start sequence only)</t>
        </is>
      </c>
      <c r="E5390" s="12" t="inlineStr"/>
      <c r="F5390" s="12" t="inlineStr">
        <is>
          <t>SC-2 PCM + 15 kV GCB</t>
        </is>
      </c>
      <c r="G5390" s="12" t="inlineStr">
        <is>
          <t>SC-2</t>
        </is>
      </c>
      <c r="H5390" s="12" t="inlineStr">
        <is>
          <t>SC-2: aeroderivative simple-cycle unit (LM6000 class)</t>
        </is>
      </c>
      <c r="I5390" s="12" t="inlineStr">
        <is>
          <t>LV 600 V</t>
        </is>
      </c>
      <c r="J5390" s="12" t="inlineStr">
        <is>
          <t>Type TC-ER 600 V 3/C Cu XHHW-2 + ground, PVC jacket</t>
        </is>
      </c>
      <c r="K5390" s="12" t="inlineStr">
        <is>
          <t>LV|3/C+G|3/0</t>
        </is>
      </c>
      <c r="L5390" s="12" t="inlineStr">
        <is>
          <t>3/C+G</t>
        </is>
      </c>
      <c r="M5390" s="12" t="inlineStr">
        <is>
          <t>3/0</t>
        </is>
      </c>
      <c r="N5390" s="12" t="n">
        <v>2</v>
      </c>
      <c r="O5390" s="12" t="n">
        <v>1</v>
      </c>
      <c r="P5390" s="12" t="n">
        <v>480</v>
      </c>
      <c r="Q5390" s="12" t="n">
        <v>225</v>
      </c>
      <c r="R5390" s="12" t="n">
        <v>318.4</v>
      </c>
      <c r="S5390" s="12" t="inlineStr">
        <is>
          <t>Duct bank</t>
        </is>
      </c>
      <c r="T5390" s="16" t="n">
        <v>25</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is>
          <t>typical LM6000 hydraulic start; verify starter type / rating with the OEM</t>
        </is>
      </c>
      <c r="AA5390" s="12">
        <f>N5390*O5390</f>
        <v/>
      </c>
    </row>
    <row r="5391">
      <c r="A5391" s="12" t="inlineStr">
        <is>
          <t>I-P-0272</t>
        </is>
      </c>
      <c r="B5391" s="12" t="inlineStr">
        <is>
          <t>I</t>
        </is>
      </c>
      <c r="C5391" s="12" t="inlineStr">
        <is>
          <t>Modular / portable power</t>
        </is>
      </c>
      <c r="D5391" s="12" t="inlineStr">
        <is>
          <t>SC-2 480 V welding receptacle 1</t>
        </is>
      </c>
      <c r="E5391" s="12" t="inlineStr"/>
      <c r="F5391" s="12" t="inlineStr">
        <is>
          <t>SC-2 PCM + 15 kV GCB</t>
        </is>
      </c>
      <c r="G5391" s="12" t="inlineStr">
        <is>
          <t>SC-2</t>
        </is>
      </c>
      <c r="H5391" s="12" t="inlineStr">
        <is>
          <t>SC-2: aeroderivative simple-cycle unit (LM6000 class)</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6" t="n">
        <v>25</v>
      </c>
      <c r="U5391" s="16" t="n">
        <v>32</v>
      </c>
      <c r="V5391" s="16">
        <f>ROUNDUP((T5391+U5391+2*'Read Me'!$B$13)*(1+'Read Me'!$B$12),-1)</f>
        <v/>
      </c>
      <c r="W5391" s="16">
        <f>V5391*N5391*O5391</f>
        <v/>
      </c>
      <c r="X5391" s="12">
        <f>IF(LEFT(I5391,2)="MV",2*N5391*IF(L5391="1/C",O5391,1),0)</f>
        <v/>
      </c>
      <c r="Y5391" s="12">
        <f>IF(OR(LEFT(K5391,4)="LVAX",LEFT(K5391,6)="MV15AX",LEFT(K5391,4)="CTAX",LEFT(K5391,2)="W|"),2*N5391*O5391,0)</f>
        <v/>
      </c>
      <c r="Z5391" s="12" t="inlineStr">
        <is>
          <t>VD 0.3 %</t>
        </is>
      </c>
      <c r="AA5391" s="12">
        <f>N5391*O5391</f>
        <v/>
      </c>
    </row>
    <row r="5392">
      <c r="A5392" s="12" t="inlineStr">
        <is>
          <t>I-P-0273</t>
        </is>
      </c>
      <c r="B5392" s="12" t="inlineStr">
        <is>
          <t>I</t>
        </is>
      </c>
      <c r="C5392" s="12" t="inlineStr">
        <is>
          <t>Modular / portable power</t>
        </is>
      </c>
      <c r="D5392" s="12" t="inlineStr">
        <is>
          <t>SC-2 480 V welding receptacle 2</t>
        </is>
      </c>
      <c r="E5392" s="12" t="inlineStr"/>
      <c r="F5392" s="12" t="inlineStr">
        <is>
          <t>SC-2 PCM + 15 kV GCB</t>
        </is>
      </c>
      <c r="G5392" s="12" t="inlineStr">
        <is>
          <t>SC-2</t>
        </is>
      </c>
      <c r="H5392" s="12" t="inlineStr">
        <is>
          <t>SC-2: aeroderivative simple-cycle unit (LM6000 class)</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6" t="n">
        <v>25</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is>
          <t>VD 0.3 %</t>
        </is>
      </c>
      <c r="AA5392" s="12">
        <f>N5392*O5392</f>
        <v/>
      </c>
    </row>
    <row r="5393">
      <c r="A5393" s="12" t="inlineStr">
        <is>
          <t>I-P-0274</t>
        </is>
      </c>
      <c r="B5393" s="12" t="inlineStr">
        <is>
          <t>I</t>
        </is>
      </c>
      <c r="C5393" s="12" t="inlineStr">
        <is>
          <t>Modular / portable power</t>
        </is>
      </c>
      <c r="D5393" s="12" t="inlineStr">
        <is>
          <t>Motor 1 of 10, 30 kW</t>
        </is>
      </c>
      <c r="E5393" s="12" t="inlineStr"/>
      <c r="F5393" s="12" t="inlineStr">
        <is>
          <t>SC-2 PCM + 15 kV GCB</t>
        </is>
      </c>
      <c r="G5393" s="12" t="inlineStr">
        <is>
          <t>SC-2</t>
        </is>
      </c>
      <c r="H5393" s="12" t="inlineStr">
        <is>
          <t>SC-2: aeroderivative simple-cycle unit (LM6000 class)</t>
        </is>
      </c>
      <c r="I5393" s="12" t="inlineStr">
        <is>
          <t>LV 600 V</t>
        </is>
      </c>
      <c r="J5393" s="12" t="inlineStr">
        <is>
          <t>Type TC-ER 600 V 3/C Cu XHHW-2 + ground, PVC jacket</t>
        </is>
      </c>
      <c r="K5393" s="12" t="inlineStr">
        <is>
          <t>LV|3/C+G|6</t>
        </is>
      </c>
      <c r="L5393" s="12" t="inlineStr">
        <is>
          <t>3/C+G</t>
        </is>
      </c>
      <c r="M5393" s="12" t="inlineStr">
        <is>
          <t>6</t>
        </is>
      </c>
      <c r="N5393" s="12" t="n">
        <v>1</v>
      </c>
      <c r="O5393" s="12" t="n">
        <v>1</v>
      </c>
      <c r="P5393" s="12" t="n">
        <v>480</v>
      </c>
      <c r="Q5393" s="12" t="n">
        <v>30</v>
      </c>
      <c r="R5393" s="12" t="n">
        <v>42.5</v>
      </c>
      <c r="S5393" s="12" t="inlineStr">
        <is>
          <t>Duct bank</t>
        </is>
      </c>
      <c r="T5393" s="16" t="n">
        <v>25</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is>
          <t>VD 0.5 %</t>
        </is>
      </c>
      <c r="AA5393" s="12">
        <f>N5393*O5393</f>
        <v/>
      </c>
    </row>
    <row r="5394">
      <c r="A5394" s="12" t="inlineStr">
        <is>
          <t>I-P-0275</t>
        </is>
      </c>
      <c r="B5394" s="12" t="inlineStr">
        <is>
          <t>I</t>
        </is>
      </c>
      <c r="C5394" s="12" t="inlineStr">
        <is>
          <t>Modular / portable power</t>
        </is>
      </c>
      <c r="D5394" s="12" t="inlineStr">
        <is>
          <t>Motor 2 of 10, 30 kW</t>
        </is>
      </c>
      <c r="E5394" s="12" t="inlineStr"/>
      <c r="F5394" s="12" t="inlineStr">
        <is>
          <t>SC-2 PCM + 15 kV GCB</t>
        </is>
      </c>
      <c r="G5394" s="12" t="inlineStr">
        <is>
          <t>SC-2</t>
        </is>
      </c>
      <c r="H5394" s="12" t="inlineStr">
        <is>
          <t>SC-2: aeroderivative simple-cycle unit (LM6000 class)</t>
        </is>
      </c>
      <c r="I5394" s="12" t="inlineStr">
        <is>
          <t>LV 600 V</t>
        </is>
      </c>
      <c r="J5394" s="12" t="inlineStr">
        <is>
          <t>Type TC-ER 600 V 3/C Cu XHHW-2 + ground, PVC jacket</t>
        </is>
      </c>
      <c r="K5394" s="12" t="inlineStr">
        <is>
          <t>LV|3/C+G|6</t>
        </is>
      </c>
      <c r="L5394" s="12" t="inlineStr">
        <is>
          <t>3/C+G</t>
        </is>
      </c>
      <c r="M5394" s="12" t="inlineStr">
        <is>
          <t>6</t>
        </is>
      </c>
      <c r="N5394" s="12" t="n">
        <v>1</v>
      </c>
      <c r="O5394" s="12" t="n">
        <v>1</v>
      </c>
      <c r="P5394" s="12" t="n">
        <v>480</v>
      </c>
      <c r="Q5394" s="12" t="n">
        <v>30</v>
      </c>
      <c r="R5394" s="12" t="n">
        <v>42.5</v>
      </c>
      <c r="S5394" s="12" t="inlineStr">
        <is>
          <t>Duct bank</t>
        </is>
      </c>
      <c r="T5394" s="16" t="n">
        <v>25</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is>
          <t>VD 0.5 %</t>
        </is>
      </c>
      <c r="AA5394" s="12">
        <f>N5394*O5394</f>
        <v/>
      </c>
    </row>
    <row r="5395">
      <c r="A5395" s="12" t="inlineStr">
        <is>
          <t>I-P-0276</t>
        </is>
      </c>
      <c r="B5395" s="12" t="inlineStr">
        <is>
          <t>I</t>
        </is>
      </c>
      <c r="C5395" s="12" t="inlineStr">
        <is>
          <t>Modular / portable power</t>
        </is>
      </c>
      <c r="D5395" s="12" t="inlineStr">
        <is>
          <t>Motor 3 of 10, 30 kW</t>
        </is>
      </c>
      <c r="E5395" s="12" t="inlineStr"/>
      <c r="F5395" s="12" t="inlineStr">
        <is>
          <t>SC-2 PCM + 15 kV GCB</t>
        </is>
      </c>
      <c r="G5395" s="12" t="inlineStr">
        <is>
          <t>SC-2</t>
        </is>
      </c>
      <c r="H5395" s="12" t="inlineStr">
        <is>
          <t>SC-2: aeroderivative simple-cycle unit (LM6000 class)</t>
        </is>
      </c>
      <c r="I5395" s="12" t="inlineStr">
        <is>
          <t>LV 600 V</t>
        </is>
      </c>
      <c r="J5395" s="12" t="inlineStr">
        <is>
          <t>Type TC-ER 600 V 3/C Cu XHHW-2 + ground, PVC jacket</t>
        </is>
      </c>
      <c r="K5395" s="12" t="inlineStr">
        <is>
          <t>LV|3/C+G|6</t>
        </is>
      </c>
      <c r="L5395" s="12" t="inlineStr">
        <is>
          <t>3/C+G</t>
        </is>
      </c>
      <c r="M5395" s="12" t="inlineStr">
        <is>
          <t>6</t>
        </is>
      </c>
      <c r="N5395" s="12" t="n">
        <v>1</v>
      </c>
      <c r="O5395" s="12" t="n">
        <v>1</v>
      </c>
      <c r="P5395" s="12" t="n">
        <v>480</v>
      </c>
      <c r="Q5395" s="12" t="n">
        <v>30</v>
      </c>
      <c r="R5395" s="12" t="n">
        <v>42.5</v>
      </c>
      <c r="S5395" s="12" t="inlineStr">
        <is>
          <t>Duct bank</t>
        </is>
      </c>
      <c r="T5395" s="16" t="n">
        <v>25</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is>
          <t>VD 0.5 %</t>
        </is>
      </c>
      <c r="AA5395" s="12">
        <f>N5395*O5395</f>
        <v/>
      </c>
    </row>
    <row r="5396">
      <c r="A5396" s="12" t="inlineStr">
        <is>
          <t>I-P-0277</t>
        </is>
      </c>
      <c r="B5396" s="12" t="inlineStr">
        <is>
          <t>I</t>
        </is>
      </c>
      <c r="C5396" s="12" t="inlineStr">
        <is>
          <t>Modular / portable power</t>
        </is>
      </c>
      <c r="D5396" s="12" t="inlineStr">
        <is>
          <t>Motor 4 of 10, 30 kW</t>
        </is>
      </c>
      <c r="E5396" s="12" t="inlineStr"/>
      <c r="F5396" s="12" t="inlineStr">
        <is>
          <t>SC-2 PCM + 15 kV GCB</t>
        </is>
      </c>
      <c r="G5396" s="12" t="inlineStr">
        <is>
          <t>SC-2</t>
        </is>
      </c>
      <c r="H5396" s="12" t="inlineStr">
        <is>
          <t>SC-2: aeroderivative simple-cycle unit (LM6000 class)</t>
        </is>
      </c>
      <c r="I5396" s="12" t="inlineStr">
        <is>
          <t>LV 600 V</t>
        </is>
      </c>
      <c r="J5396" s="12" t="inlineStr">
        <is>
          <t>Type TC-ER 600 V 3/C Cu XHHW-2 + ground, PVC jacket</t>
        </is>
      </c>
      <c r="K5396" s="12" t="inlineStr">
        <is>
          <t>LV|3/C+G|6</t>
        </is>
      </c>
      <c r="L5396" s="12" t="inlineStr">
        <is>
          <t>3/C+G</t>
        </is>
      </c>
      <c r="M5396" s="12" t="inlineStr">
        <is>
          <t>6</t>
        </is>
      </c>
      <c r="N5396" s="12" t="n">
        <v>1</v>
      </c>
      <c r="O5396" s="12" t="n">
        <v>1</v>
      </c>
      <c r="P5396" s="12" t="n">
        <v>480</v>
      </c>
      <c r="Q5396" s="12" t="n">
        <v>30</v>
      </c>
      <c r="R5396" s="12" t="n">
        <v>42.5</v>
      </c>
      <c r="S5396" s="12" t="inlineStr">
        <is>
          <t>Duct bank</t>
        </is>
      </c>
      <c r="T5396" s="16" t="n">
        <v>25</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is>
          <t>VD 0.5 %</t>
        </is>
      </c>
      <c r="AA5396" s="12">
        <f>N5396*O5396</f>
        <v/>
      </c>
    </row>
    <row r="5397">
      <c r="A5397" s="12" t="inlineStr">
        <is>
          <t>I-P-0278</t>
        </is>
      </c>
      <c r="B5397" s="12" t="inlineStr">
        <is>
          <t>I</t>
        </is>
      </c>
      <c r="C5397" s="12" t="inlineStr">
        <is>
          <t>Modular / portable power</t>
        </is>
      </c>
      <c r="D5397" s="12" t="inlineStr">
        <is>
          <t>Motor 5 of 10, 30 kW</t>
        </is>
      </c>
      <c r="E5397" s="12" t="inlineStr"/>
      <c r="F5397" s="12" t="inlineStr">
        <is>
          <t>SC-2 PCM + 15 kV GCB</t>
        </is>
      </c>
      <c r="G5397" s="12" t="inlineStr">
        <is>
          <t>SC-2</t>
        </is>
      </c>
      <c r="H5397" s="12" t="inlineStr">
        <is>
          <t>SC-2: aeroderivative simple-cycle unit (LM6000 class)</t>
        </is>
      </c>
      <c r="I5397" s="12" t="inlineStr">
        <is>
          <t>LV 600 V</t>
        </is>
      </c>
      <c r="J5397" s="12" t="inlineStr">
        <is>
          <t>Type TC-ER 600 V 3/C Cu XHHW-2 + ground, PVC jacket</t>
        </is>
      </c>
      <c r="K5397" s="12" t="inlineStr">
        <is>
          <t>LV|3/C+G|6</t>
        </is>
      </c>
      <c r="L5397" s="12" t="inlineStr">
        <is>
          <t>3/C+G</t>
        </is>
      </c>
      <c r="M5397" s="12" t="inlineStr">
        <is>
          <t>6</t>
        </is>
      </c>
      <c r="N5397" s="12" t="n">
        <v>1</v>
      </c>
      <c r="O5397" s="12" t="n">
        <v>1</v>
      </c>
      <c r="P5397" s="12" t="n">
        <v>480</v>
      </c>
      <c r="Q5397" s="12" t="n">
        <v>30</v>
      </c>
      <c r="R5397" s="12" t="n">
        <v>42.5</v>
      </c>
      <c r="S5397" s="12" t="inlineStr">
        <is>
          <t>Duct bank</t>
        </is>
      </c>
      <c r="T5397" s="16" t="n">
        <v>25</v>
      </c>
      <c r="U5397" s="16" t="n">
        <v>32</v>
      </c>
      <c r="V5397" s="16">
        <f>ROUNDUP((T5397+U5397+2*'Read Me'!$B$13)*(1+'Read Me'!$B$12),-1)</f>
        <v/>
      </c>
      <c r="W5397" s="16">
        <f>V5397*N5397*O5397</f>
        <v/>
      </c>
      <c r="X5397" s="12">
        <f>IF(LEFT(I5397,2)="MV",2*N5397*IF(L5397="1/C",O5397,1),0)</f>
        <v/>
      </c>
      <c r="Y5397" s="12">
        <f>IF(OR(LEFT(K5397,4)="LVAX",LEFT(K5397,6)="MV15AX",LEFT(K5397,4)="CTAX",LEFT(K5397,2)="W|"),2*N5397*O5397,0)</f>
        <v/>
      </c>
      <c r="Z5397" s="12" t="inlineStr">
        <is>
          <t>VD 0.5 %</t>
        </is>
      </c>
      <c r="AA5397" s="12">
        <f>N5397*O5397</f>
        <v/>
      </c>
    </row>
    <row r="5398">
      <c r="A5398" s="12" t="inlineStr">
        <is>
          <t>I-P-0279</t>
        </is>
      </c>
      <c r="B5398" s="12" t="inlineStr">
        <is>
          <t>I</t>
        </is>
      </c>
      <c r="C5398" s="12" t="inlineStr">
        <is>
          <t>Modular / portable power</t>
        </is>
      </c>
      <c r="D5398" s="12" t="inlineStr">
        <is>
          <t>Motor 6 of 10, 30 kW</t>
        </is>
      </c>
      <c r="E5398" s="12" t="inlineStr"/>
      <c r="F5398" s="12" t="inlineStr">
        <is>
          <t>SC-2 PCM + 15 kV GCB</t>
        </is>
      </c>
      <c r="G5398" s="12" t="inlineStr">
        <is>
          <t>SC-2</t>
        </is>
      </c>
      <c r="H5398" s="12" t="inlineStr">
        <is>
          <t>SC-2: aeroderivative simple-cycle unit (LM6000 class)</t>
        </is>
      </c>
      <c r="I5398" s="12" t="inlineStr">
        <is>
          <t>LV 600 V</t>
        </is>
      </c>
      <c r="J5398" s="12" t="inlineStr">
        <is>
          <t>Type TC-ER 600 V 3/C Cu XHHW-2 + ground, PVC jacket</t>
        </is>
      </c>
      <c r="K5398" s="12" t="inlineStr">
        <is>
          <t>LV|3/C+G|6</t>
        </is>
      </c>
      <c r="L5398" s="12" t="inlineStr">
        <is>
          <t>3/C+G</t>
        </is>
      </c>
      <c r="M5398" s="12" t="inlineStr">
        <is>
          <t>6</t>
        </is>
      </c>
      <c r="N5398" s="12" t="n">
        <v>1</v>
      </c>
      <c r="O5398" s="12" t="n">
        <v>1</v>
      </c>
      <c r="P5398" s="12" t="n">
        <v>480</v>
      </c>
      <c r="Q5398" s="12" t="n">
        <v>30</v>
      </c>
      <c r="R5398" s="12" t="n">
        <v>42.5</v>
      </c>
      <c r="S5398" s="12" t="inlineStr">
        <is>
          <t>Duct bank</t>
        </is>
      </c>
      <c r="T5398" s="16" t="n">
        <v>25</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is>
          <t>VD 0.5 %</t>
        </is>
      </c>
      <c r="AA5398" s="12">
        <f>N5398*O5398</f>
        <v/>
      </c>
    </row>
    <row r="5399">
      <c r="A5399" s="12" t="inlineStr">
        <is>
          <t>I-P-0280</t>
        </is>
      </c>
      <c r="B5399" s="12" t="inlineStr">
        <is>
          <t>I</t>
        </is>
      </c>
      <c r="C5399" s="12" t="inlineStr">
        <is>
          <t>Modular / portable power</t>
        </is>
      </c>
      <c r="D5399" s="12" t="inlineStr">
        <is>
          <t>Motor 7 of 10, 30 kW</t>
        </is>
      </c>
      <c r="E5399" s="12" t="inlineStr"/>
      <c r="F5399" s="12" t="inlineStr">
        <is>
          <t>SC-2 PCM + 15 kV GCB</t>
        </is>
      </c>
      <c r="G5399" s="12" t="inlineStr">
        <is>
          <t>SC-2</t>
        </is>
      </c>
      <c r="H5399" s="12" t="inlineStr">
        <is>
          <t>SC-2: aeroderivative simple-cycle unit (LM6000 class)</t>
        </is>
      </c>
      <c r="I5399" s="12" t="inlineStr">
        <is>
          <t>LV 600 V</t>
        </is>
      </c>
      <c r="J5399" s="12" t="inlineStr">
        <is>
          <t>Type TC-ER 600 V 3/C Cu XHHW-2 + ground, PVC jacket</t>
        </is>
      </c>
      <c r="K5399" s="12" t="inlineStr">
        <is>
          <t>LV|3/C+G|6</t>
        </is>
      </c>
      <c r="L5399" s="12" t="inlineStr">
        <is>
          <t>3/C+G</t>
        </is>
      </c>
      <c r="M5399" s="12" t="inlineStr">
        <is>
          <t>6</t>
        </is>
      </c>
      <c r="N5399" s="12" t="n">
        <v>1</v>
      </c>
      <c r="O5399" s="12" t="n">
        <v>1</v>
      </c>
      <c r="P5399" s="12" t="n">
        <v>480</v>
      </c>
      <c r="Q5399" s="12" t="n">
        <v>30</v>
      </c>
      <c r="R5399" s="12" t="n">
        <v>42.5</v>
      </c>
      <c r="S5399" s="12" t="inlineStr">
        <is>
          <t>Duct bank</t>
        </is>
      </c>
      <c r="T5399" s="16" t="n">
        <v>25</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is>
          <t>VD 0.5 %</t>
        </is>
      </c>
      <c r="AA5399" s="12">
        <f>N5399*O5399</f>
        <v/>
      </c>
    </row>
    <row r="5400">
      <c r="A5400" s="12" t="inlineStr">
        <is>
          <t>I-P-0281</t>
        </is>
      </c>
      <c r="B5400" s="12" t="inlineStr">
        <is>
          <t>I</t>
        </is>
      </c>
      <c r="C5400" s="12" t="inlineStr">
        <is>
          <t>Modular / portable power</t>
        </is>
      </c>
      <c r="D5400" s="12" t="inlineStr">
        <is>
          <t>Motor 8 of 10, 30 kW</t>
        </is>
      </c>
      <c r="E5400" s="12" t="inlineStr"/>
      <c r="F5400" s="12" t="inlineStr">
        <is>
          <t>SC-2 PCM + 15 kV GCB</t>
        </is>
      </c>
      <c r="G5400" s="12" t="inlineStr">
        <is>
          <t>SC-2</t>
        </is>
      </c>
      <c r="H5400" s="12" t="inlineStr">
        <is>
          <t>SC-2: aeroderivative simple-cycle unit (LM6000 class)</t>
        </is>
      </c>
      <c r="I5400" s="12" t="inlineStr">
        <is>
          <t>LV 600 V</t>
        </is>
      </c>
      <c r="J5400" s="12" t="inlineStr">
        <is>
          <t>Type TC-ER 600 V 3/C Cu XHHW-2 + ground, PVC jacket</t>
        </is>
      </c>
      <c r="K5400" s="12" t="inlineStr">
        <is>
          <t>LV|3/C+G|6</t>
        </is>
      </c>
      <c r="L5400" s="12" t="inlineStr">
        <is>
          <t>3/C+G</t>
        </is>
      </c>
      <c r="M5400" s="12" t="inlineStr">
        <is>
          <t>6</t>
        </is>
      </c>
      <c r="N5400" s="12" t="n">
        <v>1</v>
      </c>
      <c r="O5400" s="12" t="n">
        <v>1</v>
      </c>
      <c r="P5400" s="12" t="n">
        <v>480</v>
      </c>
      <c r="Q5400" s="12" t="n">
        <v>30</v>
      </c>
      <c r="R5400" s="12" t="n">
        <v>42.5</v>
      </c>
      <c r="S5400" s="12" t="inlineStr">
        <is>
          <t>Duct bank</t>
        </is>
      </c>
      <c r="T5400" s="16" t="n">
        <v>25</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is>
          <t>VD 0.5 %</t>
        </is>
      </c>
      <c r="AA5400" s="12">
        <f>N5400*O5400</f>
        <v/>
      </c>
    </row>
    <row r="5401">
      <c r="A5401" s="12" t="inlineStr">
        <is>
          <t>I-P-0282</t>
        </is>
      </c>
      <c r="B5401" s="12" t="inlineStr">
        <is>
          <t>I</t>
        </is>
      </c>
      <c r="C5401" s="12" t="inlineStr">
        <is>
          <t>Modular / portable power</t>
        </is>
      </c>
      <c r="D5401" s="12" t="inlineStr">
        <is>
          <t>Motor 9 of 10, 30 kW</t>
        </is>
      </c>
      <c r="E5401" s="12" t="inlineStr"/>
      <c r="F5401" s="12" t="inlineStr">
        <is>
          <t>SC-2 PCM + 15 kV GCB</t>
        </is>
      </c>
      <c r="G5401" s="12" t="inlineStr">
        <is>
          <t>SC-2</t>
        </is>
      </c>
      <c r="H5401" s="12" t="inlineStr">
        <is>
          <t>SC-2: aeroderivative simple-cycle unit (LM6000 class)</t>
        </is>
      </c>
      <c r="I5401" s="12" t="inlineStr">
        <is>
          <t>LV 600 V</t>
        </is>
      </c>
      <c r="J5401" s="12" t="inlineStr">
        <is>
          <t>Type TC-ER 600 V 3/C Cu XHHW-2 + ground, PVC jacket</t>
        </is>
      </c>
      <c r="K5401" s="12" t="inlineStr">
        <is>
          <t>LV|3/C+G|6</t>
        </is>
      </c>
      <c r="L5401" s="12" t="inlineStr">
        <is>
          <t>3/C+G</t>
        </is>
      </c>
      <c r="M5401" s="12" t="inlineStr">
        <is>
          <t>6</t>
        </is>
      </c>
      <c r="N5401" s="12" t="n">
        <v>1</v>
      </c>
      <c r="O5401" s="12" t="n">
        <v>1</v>
      </c>
      <c r="P5401" s="12" t="n">
        <v>480</v>
      </c>
      <c r="Q5401" s="12" t="n">
        <v>30</v>
      </c>
      <c r="R5401" s="12" t="n">
        <v>42.5</v>
      </c>
      <c r="S5401" s="12" t="inlineStr">
        <is>
          <t>Duct bank</t>
        </is>
      </c>
      <c r="T5401" s="16" t="n">
        <v>25</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is>
          <t>VD 0.5 %</t>
        </is>
      </c>
      <c r="AA5401" s="12">
        <f>N5401*O5401</f>
        <v/>
      </c>
    </row>
    <row r="5402">
      <c r="A5402" s="12" t="inlineStr">
        <is>
          <t>I-P-0283</t>
        </is>
      </c>
      <c r="B5402" s="12" t="inlineStr">
        <is>
          <t>I</t>
        </is>
      </c>
      <c r="C5402" s="12" t="inlineStr">
        <is>
          <t>Modular / portable power</t>
        </is>
      </c>
      <c r="D5402" s="12" t="inlineStr">
        <is>
          <t>Motor 10 of 10, 30 kW</t>
        </is>
      </c>
      <c r="E5402" s="12" t="inlineStr"/>
      <c r="F5402" s="12" t="inlineStr">
        <is>
          <t>SC-2 PCM + 15 kV GCB</t>
        </is>
      </c>
      <c r="G5402" s="12" t="inlineStr">
        <is>
          <t>SC-2</t>
        </is>
      </c>
      <c r="H5402" s="12" t="inlineStr">
        <is>
          <t>SC-2: aeroderivative simple-cycle unit (LM6000 class)</t>
        </is>
      </c>
      <c r="I5402" s="12" t="inlineStr">
        <is>
          <t>LV 600 V</t>
        </is>
      </c>
      <c r="J5402" s="12" t="inlineStr">
        <is>
          <t>Type TC-ER 600 V 3/C Cu XHHW-2 + ground, PVC jacket</t>
        </is>
      </c>
      <c r="K5402" s="12" t="inlineStr">
        <is>
          <t>LV|3/C+G|6</t>
        </is>
      </c>
      <c r="L5402" s="12" t="inlineStr">
        <is>
          <t>3/C+G</t>
        </is>
      </c>
      <c r="M5402" s="12" t="inlineStr">
        <is>
          <t>6</t>
        </is>
      </c>
      <c r="N5402" s="12" t="n">
        <v>1</v>
      </c>
      <c r="O5402" s="12" t="n">
        <v>1</v>
      </c>
      <c r="P5402" s="12" t="n">
        <v>480</v>
      </c>
      <c r="Q5402" s="12" t="n">
        <v>30</v>
      </c>
      <c r="R5402" s="12" t="n">
        <v>42.5</v>
      </c>
      <c r="S5402" s="12" t="inlineStr">
        <is>
          <t>Duct bank</t>
        </is>
      </c>
      <c r="T5402" s="16" t="n">
        <v>25</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is>
          <t>VD 0.5 %</t>
        </is>
      </c>
      <c r="AA5402" s="12">
        <f>N5402*O5402</f>
        <v/>
      </c>
    </row>
    <row r="5403">
      <c r="A5403" s="12" t="inlineStr">
        <is>
          <t>I-P-0284</t>
        </is>
      </c>
      <c r="B5403" s="12" t="inlineStr">
        <is>
          <t>I</t>
        </is>
      </c>
      <c r="C5403" s="12" t="inlineStr">
        <is>
          <t>Modular / portable power</t>
        </is>
      </c>
      <c r="D5403" s="12" t="inlineStr">
        <is>
          <t>Area / platform lighting circuit 1 (8 fixtures)</t>
        </is>
      </c>
      <c r="E5403" s="12" t="inlineStr"/>
      <c r="F5403" s="12" t="inlineStr">
        <is>
          <t>SC-2 PCM + 15 kV GCB</t>
        </is>
      </c>
      <c r="G5403" s="12" t="inlineStr">
        <is>
          <t>SC-2</t>
        </is>
      </c>
      <c r="H5403" s="12" t="inlineStr">
        <is>
          <t>SC-2: aeroderivative simple-cycle unit (LM6000 class)</t>
        </is>
      </c>
      <c r="I5403" s="12" t="inlineStr">
        <is>
          <t>LV 600 V</t>
        </is>
      </c>
      <c r="J5403" s="12" t="inlineStr">
        <is>
          <t>Type TC-ER 600 V 3/C Cu XHHW-2 + ground, PVC jacket</t>
        </is>
      </c>
      <c r="K5403" s="12" t="inlineStr">
        <is>
          <t>LV|3/C+G|10</t>
        </is>
      </c>
      <c r="L5403" s="12" t="inlineStr">
        <is>
          <t>3/C+G</t>
        </is>
      </c>
      <c r="M5403" s="12" t="inlineStr">
        <is>
          <t>10</t>
        </is>
      </c>
      <c r="N5403" s="12" t="n">
        <v>1</v>
      </c>
      <c r="O5403" s="12" t="n">
        <v>1</v>
      </c>
      <c r="P5403" s="12" t="n">
        <v>480</v>
      </c>
      <c r="Q5403" s="12" t="n">
        <v>3</v>
      </c>
      <c r="R5403" s="12" t="n">
        <v>5</v>
      </c>
      <c r="S5403" s="12" t="inlineStr">
        <is>
          <t>Duct bank</t>
        </is>
      </c>
      <c r="T5403" s="16" t="n">
        <v>325</v>
      </c>
      <c r="U5403" s="16" t="n">
        <v>32</v>
      </c>
      <c r="V5403" s="16">
        <f>ROUNDUP((T5403+U5403+2*'Read Me'!$B$13)*(1+'Read Me'!$B$12),-1)</f>
        <v/>
      </c>
      <c r="W5403" s="16">
        <f>V5403*N5403*O5403</f>
        <v/>
      </c>
      <c r="X5403" s="12">
        <f>IF(LEFT(I5403,2)="MV",2*N5403*IF(L5403="1/C",O5403,1),0)</f>
        <v/>
      </c>
      <c r="Y5403" s="12">
        <f>IF(OR(LEFT(K5403,4)="LVAX",LEFT(K5403,6)="MV15AX",LEFT(K5403,4)="CTAX",LEFT(K5403,2)="W|"),2*N5403*O5403,0)</f>
        <v/>
      </c>
      <c r="Z5403" s="12" t="inlineStr">
        <is>
          <t>fixture-to-fixture run included</t>
        </is>
      </c>
      <c r="AA5403" s="12">
        <f>N5403*O5403</f>
        <v/>
      </c>
    </row>
    <row r="5404">
      <c r="A5404" s="12" t="inlineStr">
        <is>
          <t>I-P-0285</t>
        </is>
      </c>
      <c r="B5404" s="12" t="inlineStr">
        <is>
          <t>I</t>
        </is>
      </c>
      <c r="C5404" s="12" t="inlineStr">
        <is>
          <t>Modular / portable power</t>
        </is>
      </c>
      <c r="D5404" s="12" t="inlineStr">
        <is>
          <t>Motor 1 of 6, 2 kW</t>
        </is>
      </c>
      <c r="E5404" s="12" t="inlineStr"/>
      <c r="F5404" s="12" t="inlineStr">
        <is>
          <t>MOD-LV 480 V board + 480 V : 13.8 kV step-up</t>
        </is>
      </c>
      <c r="G5404" s="12" t="inlineStr"/>
      <c r="H5404" s="12" t="inlineStr">
        <is>
          <t>T-MOD 230 kV take-off gantry with arresters</t>
        </is>
      </c>
      <c r="I5404" s="12" t="inlineStr">
        <is>
          <t>LV 600 V</t>
        </is>
      </c>
      <c r="J5404" s="12" t="inlineStr">
        <is>
          <t>Type TC-ER 600 V 3/C Cu XHHW-2 + ground, PVC jacket</t>
        </is>
      </c>
      <c r="K5404" s="12" t="inlineStr">
        <is>
          <t>LV|3/C+G|10</t>
        </is>
      </c>
      <c r="L5404" s="12" t="inlineStr">
        <is>
          <t>3/C+G</t>
        </is>
      </c>
      <c r="M5404" s="12" t="inlineStr">
        <is>
          <t>10</t>
        </is>
      </c>
      <c r="N5404" s="12" t="n">
        <v>1</v>
      </c>
      <c r="O5404" s="12" t="n">
        <v>1</v>
      </c>
      <c r="P5404" s="12" t="n">
        <v>480</v>
      </c>
      <c r="Q5404" s="12" t="n">
        <v>2</v>
      </c>
      <c r="R5404" s="12" t="n">
        <v>2.8</v>
      </c>
      <c r="S5404" s="12" t="inlineStr">
        <is>
          <t>Duct bank</t>
        </is>
      </c>
      <c r="T5404" s="16" t="n">
        <v>357</v>
      </c>
      <c r="U5404" s="16" t="n">
        <v>128</v>
      </c>
      <c r="V5404" s="16">
        <f>ROUNDUP((T5404+U5404+2*'Read Me'!$B$13)*(1+'Read Me'!$B$12),-1)</f>
        <v/>
      </c>
      <c r="W5404" s="16">
        <f>V5404*N5404*O5404</f>
        <v/>
      </c>
      <c r="X5404" s="12">
        <f>IF(LEFT(I5404,2)="MV",2*N5404*IF(L5404="1/C",O5404,1),0)</f>
        <v/>
      </c>
      <c r="Y5404" s="12">
        <f>IF(OR(LEFT(K5404,4)="LVAX",LEFT(K5404,6)="MV15AX",LEFT(K5404,4)="CTAX",LEFT(K5404,2)="W|"),2*N5404*O5404,0)</f>
        <v/>
      </c>
      <c r="Z5404" s="12" t="inlineStr">
        <is>
          <t>VD 0.7 %</t>
        </is>
      </c>
      <c r="AA5404" s="12">
        <f>N5404*O5404</f>
        <v/>
      </c>
    </row>
    <row r="5405">
      <c r="A5405" s="12" t="inlineStr">
        <is>
          <t>I-P-0286</t>
        </is>
      </c>
      <c r="B5405" s="12" t="inlineStr">
        <is>
          <t>I</t>
        </is>
      </c>
      <c r="C5405" s="12" t="inlineStr">
        <is>
          <t>Modular / portable power</t>
        </is>
      </c>
      <c r="D5405" s="12" t="inlineStr">
        <is>
          <t>Motor 2 of 6, 2 kW</t>
        </is>
      </c>
      <c r="E5405" s="12" t="inlineStr"/>
      <c r="F5405" s="12" t="inlineStr">
        <is>
          <t>MOD-LV 480 V board + 480 V : 13.8 kV step-up</t>
        </is>
      </c>
      <c r="G5405" s="12" t="inlineStr"/>
      <c r="H5405" s="12" t="inlineStr">
        <is>
          <t>T-MOD 230 kV take-off gantry with arresters</t>
        </is>
      </c>
      <c r="I5405" s="12" t="inlineStr">
        <is>
          <t>LV 600 V</t>
        </is>
      </c>
      <c r="J5405" s="12" t="inlineStr">
        <is>
          <t>Type TC-ER 600 V 3/C Cu XHHW-2 + ground, PVC jacket</t>
        </is>
      </c>
      <c r="K5405" s="12" t="inlineStr">
        <is>
          <t>LV|3/C+G|10</t>
        </is>
      </c>
      <c r="L5405" s="12" t="inlineStr">
        <is>
          <t>3/C+G</t>
        </is>
      </c>
      <c r="M5405" s="12" t="inlineStr">
        <is>
          <t>10</t>
        </is>
      </c>
      <c r="N5405" s="12" t="n">
        <v>1</v>
      </c>
      <c r="O5405" s="12" t="n">
        <v>1</v>
      </c>
      <c r="P5405" s="12" t="n">
        <v>480</v>
      </c>
      <c r="Q5405" s="12" t="n">
        <v>2</v>
      </c>
      <c r="R5405" s="12" t="n">
        <v>2.8</v>
      </c>
      <c r="S5405" s="12" t="inlineStr">
        <is>
          <t>Duct bank</t>
        </is>
      </c>
      <c r="T5405" s="16" t="n">
        <v>357</v>
      </c>
      <c r="U5405" s="16" t="n">
        <v>128</v>
      </c>
      <c r="V5405" s="16">
        <f>ROUNDUP((T5405+U5405+2*'Read Me'!$B$13)*(1+'Read Me'!$B$12),-1)</f>
        <v/>
      </c>
      <c r="W5405" s="16">
        <f>V5405*N5405*O5405</f>
        <v/>
      </c>
      <c r="X5405" s="12">
        <f>IF(LEFT(I5405,2)="MV",2*N5405*IF(L5405="1/C",O5405,1),0)</f>
        <v/>
      </c>
      <c r="Y5405" s="12">
        <f>IF(OR(LEFT(K5405,4)="LVAX",LEFT(K5405,6)="MV15AX",LEFT(K5405,4)="CTAX",LEFT(K5405,2)="W|"),2*N5405*O5405,0)</f>
        <v/>
      </c>
      <c r="Z5405" s="12" t="inlineStr">
        <is>
          <t>VD 0.7 %</t>
        </is>
      </c>
      <c r="AA5405" s="12">
        <f>N5405*O5405</f>
        <v/>
      </c>
    </row>
    <row r="5406">
      <c r="A5406" s="12" t="inlineStr">
        <is>
          <t>I-P-0287</t>
        </is>
      </c>
      <c r="B5406" s="12" t="inlineStr">
        <is>
          <t>I</t>
        </is>
      </c>
      <c r="C5406" s="12" t="inlineStr">
        <is>
          <t>Modular / portable power</t>
        </is>
      </c>
      <c r="D5406" s="12" t="inlineStr">
        <is>
          <t>Motor 3 of 6, 2 kW</t>
        </is>
      </c>
      <c r="E5406" s="12" t="inlineStr"/>
      <c r="F5406" s="12" t="inlineStr">
        <is>
          <t>MOD-LV 480 V board + 480 V : 13.8 kV step-up</t>
        </is>
      </c>
      <c r="G5406" s="12" t="inlineStr"/>
      <c r="H5406" s="12" t="inlineStr">
        <is>
          <t>T-MOD 230 kV take-off gantry with arresters</t>
        </is>
      </c>
      <c r="I5406" s="12" t="inlineStr">
        <is>
          <t>LV 600 V</t>
        </is>
      </c>
      <c r="J5406" s="12" t="inlineStr">
        <is>
          <t>Type TC-ER 600 V 3/C Cu XHHW-2 + ground, PVC jacket</t>
        </is>
      </c>
      <c r="K5406" s="12" t="inlineStr">
        <is>
          <t>LV|3/C+G|10</t>
        </is>
      </c>
      <c r="L5406" s="12" t="inlineStr">
        <is>
          <t>3/C+G</t>
        </is>
      </c>
      <c r="M5406" s="12" t="inlineStr">
        <is>
          <t>10</t>
        </is>
      </c>
      <c r="N5406" s="12" t="n">
        <v>1</v>
      </c>
      <c r="O5406" s="12" t="n">
        <v>1</v>
      </c>
      <c r="P5406" s="12" t="n">
        <v>480</v>
      </c>
      <c r="Q5406" s="12" t="n">
        <v>2</v>
      </c>
      <c r="R5406" s="12" t="n">
        <v>2.8</v>
      </c>
      <c r="S5406" s="12" t="inlineStr">
        <is>
          <t>Duct bank</t>
        </is>
      </c>
      <c r="T5406" s="16" t="n">
        <v>357</v>
      </c>
      <c r="U5406" s="16" t="n">
        <v>128</v>
      </c>
      <c r="V5406" s="16">
        <f>ROUNDUP((T5406+U5406+2*'Read Me'!$B$13)*(1+'Read Me'!$B$12),-1)</f>
        <v/>
      </c>
      <c r="W5406" s="16">
        <f>V5406*N5406*O5406</f>
        <v/>
      </c>
      <c r="X5406" s="12">
        <f>IF(LEFT(I5406,2)="MV",2*N5406*IF(L5406="1/C",O5406,1),0)</f>
        <v/>
      </c>
      <c r="Y5406" s="12">
        <f>IF(OR(LEFT(K5406,4)="LVAX",LEFT(K5406,6)="MV15AX",LEFT(K5406,4)="CTAX",LEFT(K5406,2)="W|"),2*N5406*O5406,0)</f>
        <v/>
      </c>
      <c r="Z5406" s="12" t="inlineStr">
        <is>
          <t>VD 0.7 %</t>
        </is>
      </c>
      <c r="AA5406" s="12">
        <f>N5406*O5406</f>
        <v/>
      </c>
    </row>
    <row r="5407">
      <c r="A5407" s="12" t="inlineStr">
        <is>
          <t>I-P-0288</t>
        </is>
      </c>
      <c r="B5407" s="12" t="inlineStr">
        <is>
          <t>I</t>
        </is>
      </c>
      <c r="C5407" s="12" t="inlineStr">
        <is>
          <t>Modular / portable power</t>
        </is>
      </c>
      <c r="D5407" s="12" t="inlineStr">
        <is>
          <t>Motor 4 of 6, 2 kW</t>
        </is>
      </c>
      <c r="E5407" s="12" t="inlineStr"/>
      <c r="F5407" s="12" t="inlineStr">
        <is>
          <t>MOD-LV 480 V board + 480 V : 13.8 kV step-up</t>
        </is>
      </c>
      <c r="G5407" s="12" t="inlineStr"/>
      <c r="H5407" s="12" t="inlineStr">
        <is>
          <t>T-MOD 230 kV take-off gantry with arresters</t>
        </is>
      </c>
      <c r="I5407" s="12" t="inlineStr">
        <is>
          <t>LV 600 V</t>
        </is>
      </c>
      <c r="J5407" s="12" t="inlineStr">
        <is>
          <t>Type TC-ER 600 V 3/C Cu XHHW-2 + ground, PVC jacket</t>
        </is>
      </c>
      <c r="K5407" s="12" t="inlineStr">
        <is>
          <t>LV|3/C+G|10</t>
        </is>
      </c>
      <c r="L5407" s="12" t="inlineStr">
        <is>
          <t>3/C+G</t>
        </is>
      </c>
      <c r="M5407" s="12" t="inlineStr">
        <is>
          <t>10</t>
        </is>
      </c>
      <c r="N5407" s="12" t="n">
        <v>1</v>
      </c>
      <c r="O5407" s="12" t="n">
        <v>1</v>
      </c>
      <c r="P5407" s="12" t="n">
        <v>480</v>
      </c>
      <c r="Q5407" s="12" t="n">
        <v>2</v>
      </c>
      <c r="R5407" s="12" t="n">
        <v>2.8</v>
      </c>
      <c r="S5407" s="12" t="inlineStr">
        <is>
          <t>Duct bank</t>
        </is>
      </c>
      <c r="T5407" s="16" t="n">
        <v>357</v>
      </c>
      <c r="U5407" s="16" t="n">
        <v>128</v>
      </c>
      <c r="V5407" s="16">
        <f>ROUNDUP((T5407+U5407+2*'Read Me'!$B$13)*(1+'Read Me'!$B$12),-1)</f>
        <v/>
      </c>
      <c r="W5407" s="16">
        <f>V5407*N5407*O5407</f>
        <v/>
      </c>
      <c r="X5407" s="12">
        <f>IF(LEFT(I5407,2)="MV",2*N5407*IF(L5407="1/C",O5407,1),0)</f>
        <v/>
      </c>
      <c r="Y5407" s="12">
        <f>IF(OR(LEFT(K5407,4)="LVAX",LEFT(K5407,6)="MV15AX",LEFT(K5407,4)="CTAX",LEFT(K5407,2)="W|"),2*N5407*O5407,0)</f>
        <v/>
      </c>
      <c r="Z5407" s="12" t="inlineStr">
        <is>
          <t>VD 0.7 %</t>
        </is>
      </c>
      <c r="AA5407" s="12">
        <f>N5407*O5407</f>
        <v/>
      </c>
    </row>
    <row r="5408">
      <c r="A5408" s="12" t="inlineStr">
        <is>
          <t>I-P-0289</t>
        </is>
      </c>
      <c r="B5408" s="12" t="inlineStr">
        <is>
          <t>I</t>
        </is>
      </c>
      <c r="C5408" s="12" t="inlineStr">
        <is>
          <t>Modular / portable power</t>
        </is>
      </c>
      <c r="D5408" s="12" t="inlineStr">
        <is>
          <t>Motor 5 of 6, 2 kW</t>
        </is>
      </c>
      <c r="E5408" s="12" t="inlineStr"/>
      <c r="F5408" s="12" t="inlineStr">
        <is>
          <t>MOD-LV 480 V board + 480 V : 13.8 kV step-up</t>
        </is>
      </c>
      <c r="G5408" s="12" t="inlineStr"/>
      <c r="H5408" s="12" t="inlineStr">
        <is>
          <t>T-MOD 230 kV take-off gantry with arresters</t>
        </is>
      </c>
      <c r="I5408" s="12" t="inlineStr">
        <is>
          <t>LV 600 V</t>
        </is>
      </c>
      <c r="J5408" s="12" t="inlineStr">
        <is>
          <t>Type TC-ER 600 V 3/C Cu XHHW-2 + ground, PVC jacket</t>
        </is>
      </c>
      <c r="K5408" s="12" t="inlineStr">
        <is>
          <t>LV|3/C+G|10</t>
        </is>
      </c>
      <c r="L5408" s="12" t="inlineStr">
        <is>
          <t>3/C+G</t>
        </is>
      </c>
      <c r="M5408" s="12" t="inlineStr">
        <is>
          <t>10</t>
        </is>
      </c>
      <c r="N5408" s="12" t="n">
        <v>1</v>
      </c>
      <c r="O5408" s="12" t="n">
        <v>1</v>
      </c>
      <c r="P5408" s="12" t="n">
        <v>480</v>
      </c>
      <c r="Q5408" s="12" t="n">
        <v>2</v>
      </c>
      <c r="R5408" s="12" t="n">
        <v>2.8</v>
      </c>
      <c r="S5408" s="12" t="inlineStr">
        <is>
          <t>Duct bank</t>
        </is>
      </c>
      <c r="T5408" s="16" t="n">
        <v>357</v>
      </c>
      <c r="U5408" s="16" t="n">
        <v>128</v>
      </c>
      <c r="V5408" s="16">
        <f>ROUNDUP((T5408+U5408+2*'Read Me'!$B$13)*(1+'Read Me'!$B$12),-1)</f>
        <v/>
      </c>
      <c r="W5408" s="16">
        <f>V5408*N5408*O5408</f>
        <v/>
      </c>
      <c r="X5408" s="12">
        <f>IF(LEFT(I5408,2)="MV",2*N5408*IF(L5408="1/C",O5408,1),0)</f>
        <v/>
      </c>
      <c r="Y5408" s="12">
        <f>IF(OR(LEFT(K5408,4)="LVAX",LEFT(K5408,6)="MV15AX",LEFT(K5408,4)="CTAX",LEFT(K5408,2)="W|"),2*N5408*O5408,0)</f>
        <v/>
      </c>
      <c r="Z5408" s="12" t="inlineStr">
        <is>
          <t>VD 0.7 %</t>
        </is>
      </c>
      <c r="AA5408" s="12">
        <f>N5408*O5408</f>
        <v/>
      </c>
    </row>
    <row r="5409">
      <c r="A5409" s="12" t="inlineStr">
        <is>
          <t>I-P-0290</t>
        </is>
      </c>
      <c r="B5409" s="12" t="inlineStr">
        <is>
          <t>I</t>
        </is>
      </c>
      <c r="C5409" s="12" t="inlineStr">
        <is>
          <t>Modular / portable power</t>
        </is>
      </c>
      <c r="D5409" s="12" t="inlineStr">
        <is>
          <t>Motor 6 of 6, 2 kW</t>
        </is>
      </c>
      <c r="E5409" s="12" t="inlineStr"/>
      <c r="F5409" s="12" t="inlineStr">
        <is>
          <t>MOD-LV 480 V board + 480 V : 13.8 kV step-up</t>
        </is>
      </c>
      <c r="G5409" s="12" t="inlineStr"/>
      <c r="H5409" s="12" t="inlineStr">
        <is>
          <t>T-MOD 230 kV take-off gantry with arresters</t>
        </is>
      </c>
      <c r="I5409" s="12" t="inlineStr">
        <is>
          <t>LV 600 V</t>
        </is>
      </c>
      <c r="J5409" s="12" t="inlineStr">
        <is>
          <t>Type TC-ER 600 V 3/C Cu XHHW-2 + ground, PVC jacket</t>
        </is>
      </c>
      <c r="K5409" s="12" t="inlineStr">
        <is>
          <t>LV|3/C+G|10</t>
        </is>
      </c>
      <c r="L5409" s="12" t="inlineStr">
        <is>
          <t>3/C+G</t>
        </is>
      </c>
      <c r="M5409" s="12" t="inlineStr">
        <is>
          <t>10</t>
        </is>
      </c>
      <c r="N5409" s="12" t="n">
        <v>1</v>
      </c>
      <c r="O5409" s="12" t="n">
        <v>1</v>
      </c>
      <c r="P5409" s="12" t="n">
        <v>480</v>
      </c>
      <c r="Q5409" s="12" t="n">
        <v>2</v>
      </c>
      <c r="R5409" s="12" t="n">
        <v>2.8</v>
      </c>
      <c r="S5409" s="12" t="inlineStr">
        <is>
          <t>Duct bank</t>
        </is>
      </c>
      <c r="T5409" s="16" t="n">
        <v>357</v>
      </c>
      <c r="U5409" s="16" t="n">
        <v>128</v>
      </c>
      <c r="V5409" s="16">
        <f>ROUNDUP((T5409+U5409+2*'Read Me'!$B$13)*(1+'Read Me'!$B$12),-1)</f>
        <v/>
      </c>
      <c r="W5409" s="16">
        <f>V5409*N5409*O5409</f>
        <v/>
      </c>
      <c r="X5409" s="12">
        <f>IF(LEFT(I5409,2)="MV",2*N5409*IF(L5409="1/C",O5409,1),0)</f>
        <v/>
      </c>
      <c r="Y5409" s="12">
        <f>IF(OR(LEFT(K5409,4)="LVAX",LEFT(K5409,6)="MV15AX",LEFT(K5409,4)="CTAX",LEFT(K5409,2)="W|"),2*N5409*O5409,0)</f>
        <v/>
      </c>
      <c r="Z5409" s="12" t="inlineStr">
        <is>
          <t>VD 0.7 %</t>
        </is>
      </c>
      <c r="AA5409" s="12">
        <f>N5409*O5409</f>
        <v/>
      </c>
    </row>
    <row r="5410">
      <c r="A5410" s="12" t="inlineStr">
        <is>
          <t>I-P-0291</t>
        </is>
      </c>
      <c r="B5410" s="12" t="inlineStr">
        <is>
          <t>I</t>
        </is>
      </c>
      <c r="C5410" s="12" t="inlineStr">
        <is>
          <t>Modular / portable power</t>
        </is>
      </c>
      <c r="D5410" s="12" t="inlineStr">
        <is>
          <t>Motor 1 of 6, 2 kW</t>
        </is>
      </c>
      <c r="E5410" s="12" t="inlineStr"/>
      <c r="F5410" s="12" t="inlineStr">
        <is>
          <t>MOD-LV 480 V board + 480 V : 13.8 kV step-up</t>
        </is>
      </c>
      <c r="G5410" s="12" t="inlineStr"/>
      <c r="H5410" s="12" t="inlineStr">
        <is>
          <t>T-MOD-1 / T-MOD-2 firewall</t>
        </is>
      </c>
      <c r="I5410" s="12" t="inlineStr">
        <is>
          <t>LV 600 V</t>
        </is>
      </c>
      <c r="J5410" s="12" t="inlineStr">
        <is>
          <t>Type TC-ER 600 V 3/C Cu XHHW-2 + ground, PVC jacket</t>
        </is>
      </c>
      <c r="K5410" s="12" t="inlineStr">
        <is>
          <t>LV|3/C+G|10</t>
        </is>
      </c>
      <c r="L5410" s="12" t="inlineStr">
        <is>
          <t>3/C+G</t>
        </is>
      </c>
      <c r="M5410" s="12" t="inlineStr">
        <is>
          <t>10</t>
        </is>
      </c>
      <c r="N5410" s="12" t="n">
        <v>1</v>
      </c>
      <c r="O5410" s="12" t="n">
        <v>1</v>
      </c>
      <c r="P5410" s="12" t="n">
        <v>480</v>
      </c>
      <c r="Q5410" s="12" t="n">
        <v>2</v>
      </c>
      <c r="R5410" s="12" t="n">
        <v>2.8</v>
      </c>
      <c r="S5410" s="12" t="inlineStr">
        <is>
          <t>Duct bank</t>
        </is>
      </c>
      <c r="T5410" s="16" t="n">
        <v>349</v>
      </c>
      <c r="U5410" s="16" t="n">
        <v>130</v>
      </c>
      <c r="V5410" s="16">
        <f>ROUNDUP((T5410+U5410+2*'Read Me'!$B$13)*(1+'Read Me'!$B$12),-1)</f>
        <v/>
      </c>
      <c r="W5410" s="16">
        <f>V5410*N5410*O5410</f>
        <v/>
      </c>
      <c r="X5410" s="12">
        <f>IF(LEFT(I5410,2)="MV",2*N5410*IF(L5410="1/C",O5410,1),0)</f>
        <v/>
      </c>
      <c r="Y5410" s="12">
        <f>IF(OR(LEFT(K5410,4)="LVAX",LEFT(K5410,6)="MV15AX",LEFT(K5410,4)="CTAX",LEFT(K5410,2)="W|"),2*N5410*O5410,0)</f>
        <v/>
      </c>
      <c r="Z5410" s="12" t="inlineStr">
        <is>
          <t>VD 0.7 %</t>
        </is>
      </c>
      <c r="AA5410" s="12">
        <f>N5410*O5410</f>
        <v/>
      </c>
    </row>
    <row r="5411">
      <c r="A5411" s="12" t="inlineStr">
        <is>
          <t>I-P-0292</t>
        </is>
      </c>
      <c r="B5411" s="12" t="inlineStr">
        <is>
          <t>I</t>
        </is>
      </c>
      <c r="C5411" s="12" t="inlineStr">
        <is>
          <t>Modular / portable power</t>
        </is>
      </c>
      <c r="D5411" s="12" t="inlineStr">
        <is>
          <t>Motor 2 of 6, 2 kW</t>
        </is>
      </c>
      <c r="E5411" s="12" t="inlineStr"/>
      <c r="F5411" s="12" t="inlineStr">
        <is>
          <t>MOD-LV 480 V board + 480 V : 13.8 kV step-up</t>
        </is>
      </c>
      <c r="G5411" s="12" t="inlineStr"/>
      <c r="H5411" s="12" t="inlineStr">
        <is>
          <t>T-MOD-1 / T-MOD-2 firewall</t>
        </is>
      </c>
      <c r="I5411" s="12" t="inlineStr">
        <is>
          <t>LV 600 V</t>
        </is>
      </c>
      <c r="J5411" s="12" t="inlineStr">
        <is>
          <t>Type TC-ER 600 V 3/C Cu XHHW-2 + ground, PVC jacket</t>
        </is>
      </c>
      <c r="K5411" s="12" t="inlineStr">
        <is>
          <t>LV|3/C+G|10</t>
        </is>
      </c>
      <c r="L5411" s="12" t="inlineStr">
        <is>
          <t>3/C+G</t>
        </is>
      </c>
      <c r="M5411" s="12" t="inlineStr">
        <is>
          <t>10</t>
        </is>
      </c>
      <c r="N5411" s="12" t="n">
        <v>1</v>
      </c>
      <c r="O5411" s="12" t="n">
        <v>1</v>
      </c>
      <c r="P5411" s="12" t="n">
        <v>480</v>
      </c>
      <c r="Q5411" s="12" t="n">
        <v>2</v>
      </c>
      <c r="R5411" s="12" t="n">
        <v>2.8</v>
      </c>
      <c r="S5411" s="12" t="inlineStr">
        <is>
          <t>Duct bank</t>
        </is>
      </c>
      <c r="T5411" s="16" t="n">
        <v>349</v>
      </c>
      <c r="U5411" s="16" t="n">
        <v>130</v>
      </c>
      <c r="V5411" s="16">
        <f>ROUNDUP((T5411+U5411+2*'Read Me'!$B$13)*(1+'Read Me'!$B$12),-1)</f>
        <v/>
      </c>
      <c r="W5411" s="16">
        <f>V5411*N5411*O5411</f>
        <v/>
      </c>
      <c r="X5411" s="12">
        <f>IF(LEFT(I5411,2)="MV",2*N5411*IF(L5411="1/C",O5411,1),0)</f>
        <v/>
      </c>
      <c r="Y5411" s="12">
        <f>IF(OR(LEFT(K5411,4)="LVAX",LEFT(K5411,6)="MV15AX",LEFT(K5411,4)="CTAX",LEFT(K5411,2)="W|"),2*N5411*O5411,0)</f>
        <v/>
      </c>
      <c r="Z5411" s="12" t="inlineStr">
        <is>
          <t>VD 0.7 %</t>
        </is>
      </c>
      <c r="AA5411" s="12">
        <f>N5411*O5411</f>
        <v/>
      </c>
    </row>
    <row r="5412">
      <c r="A5412" s="12" t="inlineStr">
        <is>
          <t>I-P-0293</t>
        </is>
      </c>
      <c r="B5412" s="12" t="inlineStr">
        <is>
          <t>I</t>
        </is>
      </c>
      <c r="C5412" s="12" t="inlineStr">
        <is>
          <t>Modular / portable power</t>
        </is>
      </c>
      <c r="D5412" s="12" t="inlineStr">
        <is>
          <t>Motor 3 of 6, 2 kW</t>
        </is>
      </c>
      <c r="E5412" s="12" t="inlineStr"/>
      <c r="F5412" s="12" t="inlineStr">
        <is>
          <t>MOD-LV 480 V board + 480 V : 13.8 kV step-up</t>
        </is>
      </c>
      <c r="G5412" s="12" t="inlineStr"/>
      <c r="H5412" s="12" t="inlineStr">
        <is>
          <t>T-MOD-1 / T-MOD-2 firewall</t>
        </is>
      </c>
      <c r="I5412" s="12" t="inlineStr">
        <is>
          <t>LV 600 V</t>
        </is>
      </c>
      <c r="J5412" s="12" t="inlineStr">
        <is>
          <t>Type TC-ER 600 V 3/C Cu XHHW-2 + ground, PVC jacket</t>
        </is>
      </c>
      <c r="K5412" s="12" t="inlineStr">
        <is>
          <t>LV|3/C+G|10</t>
        </is>
      </c>
      <c r="L5412" s="12" t="inlineStr">
        <is>
          <t>3/C+G</t>
        </is>
      </c>
      <c r="M5412" s="12" t="inlineStr">
        <is>
          <t>10</t>
        </is>
      </c>
      <c r="N5412" s="12" t="n">
        <v>1</v>
      </c>
      <c r="O5412" s="12" t="n">
        <v>1</v>
      </c>
      <c r="P5412" s="12" t="n">
        <v>480</v>
      </c>
      <c r="Q5412" s="12" t="n">
        <v>2</v>
      </c>
      <c r="R5412" s="12" t="n">
        <v>2.8</v>
      </c>
      <c r="S5412" s="12" t="inlineStr">
        <is>
          <t>Duct bank</t>
        </is>
      </c>
      <c r="T5412" s="16" t="n">
        <v>349</v>
      </c>
      <c r="U5412" s="16" t="n">
        <v>130</v>
      </c>
      <c r="V5412" s="16">
        <f>ROUNDUP((T5412+U5412+2*'Read Me'!$B$13)*(1+'Read Me'!$B$12),-1)</f>
        <v/>
      </c>
      <c r="W5412" s="16">
        <f>V5412*N5412*O5412</f>
        <v/>
      </c>
      <c r="X5412" s="12">
        <f>IF(LEFT(I5412,2)="MV",2*N5412*IF(L5412="1/C",O5412,1),0)</f>
        <v/>
      </c>
      <c r="Y5412" s="12">
        <f>IF(OR(LEFT(K5412,4)="LVAX",LEFT(K5412,6)="MV15AX",LEFT(K5412,4)="CTAX",LEFT(K5412,2)="W|"),2*N5412*O5412,0)</f>
        <v/>
      </c>
      <c r="Z5412" s="12" t="inlineStr">
        <is>
          <t>VD 0.7 %</t>
        </is>
      </c>
      <c r="AA5412" s="12">
        <f>N5412*O5412</f>
        <v/>
      </c>
    </row>
    <row r="5413">
      <c r="A5413" s="12" t="inlineStr">
        <is>
          <t>I-P-0294</t>
        </is>
      </c>
      <c r="B5413" s="12" t="inlineStr">
        <is>
          <t>I</t>
        </is>
      </c>
      <c r="C5413" s="12" t="inlineStr">
        <is>
          <t>Modular / portable power</t>
        </is>
      </c>
      <c r="D5413" s="12" t="inlineStr">
        <is>
          <t>Motor 4 of 6, 2 kW</t>
        </is>
      </c>
      <c r="E5413" s="12" t="inlineStr"/>
      <c r="F5413" s="12" t="inlineStr">
        <is>
          <t>MOD-LV 480 V board + 480 V : 13.8 kV step-up</t>
        </is>
      </c>
      <c r="G5413" s="12" t="inlineStr"/>
      <c r="H5413" s="12" t="inlineStr">
        <is>
          <t>T-MOD-1 / T-MOD-2 firewall</t>
        </is>
      </c>
      <c r="I5413" s="12" t="inlineStr">
        <is>
          <t>LV 600 V</t>
        </is>
      </c>
      <c r="J5413" s="12" t="inlineStr">
        <is>
          <t>Type TC-ER 600 V 3/C Cu XHHW-2 + ground, PVC jacket</t>
        </is>
      </c>
      <c r="K5413" s="12" t="inlineStr">
        <is>
          <t>LV|3/C+G|10</t>
        </is>
      </c>
      <c r="L5413" s="12" t="inlineStr">
        <is>
          <t>3/C+G</t>
        </is>
      </c>
      <c r="M5413" s="12" t="inlineStr">
        <is>
          <t>10</t>
        </is>
      </c>
      <c r="N5413" s="12" t="n">
        <v>1</v>
      </c>
      <c r="O5413" s="12" t="n">
        <v>1</v>
      </c>
      <c r="P5413" s="12" t="n">
        <v>480</v>
      </c>
      <c r="Q5413" s="12" t="n">
        <v>2</v>
      </c>
      <c r="R5413" s="12" t="n">
        <v>2.8</v>
      </c>
      <c r="S5413" s="12" t="inlineStr">
        <is>
          <t>Duct bank</t>
        </is>
      </c>
      <c r="T5413" s="16" t="n">
        <v>349</v>
      </c>
      <c r="U5413" s="16" t="n">
        <v>130</v>
      </c>
      <c r="V5413" s="16">
        <f>ROUNDUP((T5413+U5413+2*'Read Me'!$B$13)*(1+'Read Me'!$B$12),-1)</f>
        <v/>
      </c>
      <c r="W5413" s="16">
        <f>V5413*N5413*O5413</f>
        <v/>
      </c>
      <c r="X5413" s="12">
        <f>IF(LEFT(I5413,2)="MV",2*N5413*IF(L5413="1/C",O5413,1),0)</f>
        <v/>
      </c>
      <c r="Y5413" s="12">
        <f>IF(OR(LEFT(K5413,4)="LVAX",LEFT(K5413,6)="MV15AX",LEFT(K5413,4)="CTAX",LEFT(K5413,2)="W|"),2*N5413*O5413,0)</f>
        <v/>
      </c>
      <c r="Z5413" s="12" t="inlineStr">
        <is>
          <t>VD 0.7 %</t>
        </is>
      </c>
      <c r="AA5413" s="12">
        <f>N5413*O5413</f>
        <v/>
      </c>
    </row>
    <row r="5414">
      <c r="A5414" s="12" t="inlineStr">
        <is>
          <t>I-P-0295</t>
        </is>
      </c>
      <c r="B5414" s="12" t="inlineStr">
        <is>
          <t>I</t>
        </is>
      </c>
      <c r="C5414" s="12" t="inlineStr">
        <is>
          <t>Modular / portable power</t>
        </is>
      </c>
      <c r="D5414" s="12" t="inlineStr">
        <is>
          <t>Motor 5 of 6, 2 kW</t>
        </is>
      </c>
      <c r="E5414" s="12" t="inlineStr"/>
      <c r="F5414" s="12" t="inlineStr">
        <is>
          <t>MOD-LV 480 V board + 480 V : 13.8 kV step-up</t>
        </is>
      </c>
      <c r="G5414" s="12" t="inlineStr"/>
      <c r="H5414" s="12" t="inlineStr">
        <is>
          <t>T-MOD-1 / T-MOD-2 firewall</t>
        </is>
      </c>
      <c r="I5414" s="12" t="inlineStr">
        <is>
          <t>LV 600 V</t>
        </is>
      </c>
      <c r="J5414" s="12" t="inlineStr">
        <is>
          <t>Type TC-ER 600 V 3/C Cu XHHW-2 + ground, PVC jacket</t>
        </is>
      </c>
      <c r="K5414" s="12" t="inlineStr">
        <is>
          <t>LV|3/C+G|10</t>
        </is>
      </c>
      <c r="L5414" s="12" t="inlineStr">
        <is>
          <t>3/C+G</t>
        </is>
      </c>
      <c r="M5414" s="12" t="inlineStr">
        <is>
          <t>10</t>
        </is>
      </c>
      <c r="N5414" s="12" t="n">
        <v>1</v>
      </c>
      <c r="O5414" s="12" t="n">
        <v>1</v>
      </c>
      <c r="P5414" s="12" t="n">
        <v>480</v>
      </c>
      <c r="Q5414" s="12" t="n">
        <v>2</v>
      </c>
      <c r="R5414" s="12" t="n">
        <v>2.8</v>
      </c>
      <c r="S5414" s="12" t="inlineStr">
        <is>
          <t>Duct bank</t>
        </is>
      </c>
      <c r="T5414" s="16" t="n">
        <v>349</v>
      </c>
      <c r="U5414" s="16" t="n">
        <v>130</v>
      </c>
      <c r="V5414" s="16">
        <f>ROUNDUP((T5414+U5414+2*'Read Me'!$B$13)*(1+'Read Me'!$B$12),-1)</f>
        <v/>
      </c>
      <c r="W5414" s="16">
        <f>V5414*N5414*O5414</f>
        <v/>
      </c>
      <c r="X5414" s="12">
        <f>IF(LEFT(I5414,2)="MV",2*N5414*IF(L5414="1/C",O5414,1),0)</f>
        <v/>
      </c>
      <c r="Y5414" s="12">
        <f>IF(OR(LEFT(K5414,4)="LVAX",LEFT(K5414,6)="MV15AX",LEFT(K5414,4)="CTAX",LEFT(K5414,2)="W|"),2*N5414*O5414,0)</f>
        <v/>
      </c>
      <c r="Z5414" s="12" t="inlineStr">
        <is>
          <t>VD 0.7 %</t>
        </is>
      </c>
      <c r="AA5414" s="12">
        <f>N5414*O5414</f>
        <v/>
      </c>
    </row>
    <row r="5415">
      <c r="A5415" s="12" t="inlineStr">
        <is>
          <t>I-P-0296</t>
        </is>
      </c>
      <c r="B5415" s="12" t="inlineStr">
        <is>
          <t>I</t>
        </is>
      </c>
      <c r="C5415" s="12" t="inlineStr">
        <is>
          <t>Modular / portable power</t>
        </is>
      </c>
      <c r="D5415" s="12" t="inlineStr">
        <is>
          <t>Motor 6 of 6, 2 kW</t>
        </is>
      </c>
      <c r="E5415" s="12" t="inlineStr"/>
      <c r="F5415" s="12" t="inlineStr">
        <is>
          <t>MOD-LV 480 V board + 480 V : 13.8 kV step-up</t>
        </is>
      </c>
      <c r="G5415" s="12" t="inlineStr"/>
      <c r="H5415" s="12" t="inlineStr">
        <is>
          <t>T-MOD-1 / T-MOD-2 firewall</t>
        </is>
      </c>
      <c r="I5415" s="12" t="inlineStr">
        <is>
          <t>LV 600 V</t>
        </is>
      </c>
      <c r="J5415" s="12" t="inlineStr">
        <is>
          <t>Type TC-ER 600 V 3/C Cu XHHW-2 + ground, PVC jacket</t>
        </is>
      </c>
      <c r="K5415" s="12" t="inlineStr">
        <is>
          <t>LV|3/C+G|10</t>
        </is>
      </c>
      <c r="L5415" s="12" t="inlineStr">
        <is>
          <t>3/C+G</t>
        </is>
      </c>
      <c r="M5415" s="12" t="inlineStr">
        <is>
          <t>10</t>
        </is>
      </c>
      <c r="N5415" s="12" t="n">
        <v>1</v>
      </c>
      <c r="O5415" s="12" t="n">
        <v>1</v>
      </c>
      <c r="P5415" s="12" t="n">
        <v>480</v>
      </c>
      <c r="Q5415" s="12" t="n">
        <v>2</v>
      </c>
      <c r="R5415" s="12" t="n">
        <v>2.8</v>
      </c>
      <c r="S5415" s="12" t="inlineStr">
        <is>
          <t>Duct bank</t>
        </is>
      </c>
      <c r="T5415" s="16" t="n">
        <v>349</v>
      </c>
      <c r="U5415" s="16" t="n">
        <v>130</v>
      </c>
      <c r="V5415" s="16">
        <f>ROUNDUP((T5415+U5415+2*'Read Me'!$B$13)*(1+'Read Me'!$B$12),-1)</f>
        <v/>
      </c>
      <c r="W5415" s="16">
        <f>V5415*N5415*O5415</f>
        <v/>
      </c>
      <c r="X5415" s="12">
        <f>IF(LEFT(I5415,2)="MV",2*N5415*IF(L5415="1/C",O5415,1),0)</f>
        <v/>
      </c>
      <c r="Y5415" s="12">
        <f>IF(OR(LEFT(K5415,4)="LVAX",LEFT(K5415,6)="MV15AX",LEFT(K5415,4)="CTAX",LEFT(K5415,2)="W|"),2*N5415*O5415,0)</f>
        <v/>
      </c>
      <c r="Z5415" s="12" t="inlineStr">
        <is>
          <t>VD 0.7 %</t>
        </is>
      </c>
      <c r="AA5415" s="12">
        <f>N5415*O5415</f>
        <v/>
      </c>
    </row>
    <row r="5416">
      <c r="A5416" s="12" t="inlineStr">
        <is>
          <t>I-P-0297</t>
        </is>
      </c>
      <c r="B5416" s="12" t="inlineStr">
        <is>
          <t>I</t>
        </is>
      </c>
      <c r="C5416" s="12" t="inlineStr">
        <is>
          <t>Modular / portable power</t>
        </is>
      </c>
      <c r="D5416" s="12" t="inlineStr">
        <is>
          <t>Motor 1 of 6, 2 kW</t>
        </is>
      </c>
      <c r="E5416" s="12" t="inlineStr"/>
      <c r="F5416" s="12" t="inlineStr">
        <is>
          <t>MOD-LV 480 V board + 480 V : 13.8 kV step-up</t>
        </is>
      </c>
      <c r="G5416" s="12" t="inlineStr">
        <is>
          <t>T-MOD-1</t>
        </is>
      </c>
      <c r="H5416" s="12" t="inlineStr">
        <is>
          <t>T-MOD-1: 13.8/230 kV</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2</v>
      </c>
      <c r="R5416" s="12" t="n">
        <v>2.8</v>
      </c>
      <c r="S5416" s="12" t="inlineStr">
        <is>
          <t>Duct bank</t>
        </is>
      </c>
      <c r="T5416" s="16" t="n">
        <v>349</v>
      </c>
      <c r="U5416" s="16" t="n">
        <v>82</v>
      </c>
      <c r="V5416" s="16">
        <f>ROUNDUP((T5416+U5416+2*'Read Me'!$B$13)*(1+'Read Me'!$B$12),-1)</f>
        <v/>
      </c>
      <c r="W5416" s="16">
        <f>V5416*N5416*O5416</f>
        <v/>
      </c>
      <c r="X5416" s="12">
        <f>IF(LEFT(I5416,2)="MV",2*N5416*IF(L5416="1/C",O5416,1),0)</f>
        <v/>
      </c>
      <c r="Y5416" s="12">
        <f>IF(OR(LEFT(K5416,4)="LVAX",LEFT(K5416,6)="MV15AX",LEFT(K5416,4)="CTAX",LEFT(K5416,2)="W|"),2*N5416*O5416,0)</f>
        <v/>
      </c>
      <c r="Z5416" s="12" t="inlineStr">
        <is>
          <t>VD 0.6 %</t>
        </is>
      </c>
      <c r="AA5416" s="12">
        <f>N5416*O5416</f>
        <v/>
      </c>
    </row>
    <row r="5417">
      <c r="A5417" s="12" t="inlineStr">
        <is>
          <t>I-P-0298</t>
        </is>
      </c>
      <c r="B5417" s="12" t="inlineStr">
        <is>
          <t>I</t>
        </is>
      </c>
      <c r="C5417" s="12" t="inlineStr">
        <is>
          <t>Modular / portable power</t>
        </is>
      </c>
      <c r="D5417" s="12" t="inlineStr">
        <is>
          <t>Motor 2 of 6, 2 kW</t>
        </is>
      </c>
      <c r="E5417" s="12" t="inlineStr"/>
      <c r="F5417" s="12" t="inlineStr">
        <is>
          <t>MOD-LV 480 V board + 480 V : 13.8 kV step-up</t>
        </is>
      </c>
      <c r="G5417" s="12" t="inlineStr">
        <is>
          <t>T-MOD-1</t>
        </is>
      </c>
      <c r="H5417" s="12" t="inlineStr">
        <is>
          <t>T-MOD-1: 13.8/230 kV</t>
        </is>
      </c>
      <c r="I5417" s="12" t="inlineStr">
        <is>
          <t>LV 600 V</t>
        </is>
      </c>
      <c r="J5417" s="12" t="inlineStr">
        <is>
          <t>Type TC-ER 600 V 3/C Cu XHHW-2 + ground, PVC jacket</t>
        </is>
      </c>
      <c r="K5417" s="12" t="inlineStr">
        <is>
          <t>LV|3/C+G|10</t>
        </is>
      </c>
      <c r="L5417" s="12" t="inlineStr">
        <is>
          <t>3/C+G</t>
        </is>
      </c>
      <c r="M5417" s="12" t="inlineStr">
        <is>
          <t>10</t>
        </is>
      </c>
      <c r="N5417" s="12" t="n">
        <v>1</v>
      </c>
      <c r="O5417" s="12" t="n">
        <v>1</v>
      </c>
      <c r="P5417" s="12" t="n">
        <v>480</v>
      </c>
      <c r="Q5417" s="12" t="n">
        <v>2</v>
      </c>
      <c r="R5417" s="12" t="n">
        <v>2.8</v>
      </c>
      <c r="S5417" s="12" t="inlineStr">
        <is>
          <t>Duct bank</t>
        </is>
      </c>
      <c r="T5417" s="16" t="n">
        <v>349</v>
      </c>
      <c r="U5417" s="16" t="n">
        <v>82</v>
      </c>
      <c r="V5417" s="16">
        <f>ROUNDUP((T5417+U5417+2*'Read Me'!$B$13)*(1+'Read Me'!$B$12),-1)</f>
        <v/>
      </c>
      <c r="W5417" s="16">
        <f>V5417*N5417*O5417</f>
        <v/>
      </c>
      <c r="X5417" s="12">
        <f>IF(LEFT(I5417,2)="MV",2*N5417*IF(L5417="1/C",O5417,1),0)</f>
        <v/>
      </c>
      <c r="Y5417" s="12">
        <f>IF(OR(LEFT(K5417,4)="LVAX",LEFT(K5417,6)="MV15AX",LEFT(K5417,4)="CTAX",LEFT(K5417,2)="W|"),2*N5417*O5417,0)</f>
        <v/>
      </c>
      <c r="Z5417" s="12" t="inlineStr">
        <is>
          <t>VD 0.6 %</t>
        </is>
      </c>
      <c r="AA5417" s="12">
        <f>N5417*O5417</f>
        <v/>
      </c>
    </row>
    <row r="5418">
      <c r="A5418" s="12" t="inlineStr">
        <is>
          <t>I-P-0299</t>
        </is>
      </c>
      <c r="B5418" s="12" t="inlineStr">
        <is>
          <t>I</t>
        </is>
      </c>
      <c r="C5418" s="12" t="inlineStr">
        <is>
          <t>Modular / portable power</t>
        </is>
      </c>
      <c r="D5418" s="12" t="inlineStr">
        <is>
          <t>Motor 3 of 6, 2 kW</t>
        </is>
      </c>
      <c r="E5418" s="12" t="inlineStr"/>
      <c r="F5418" s="12" t="inlineStr">
        <is>
          <t>MOD-LV 480 V board + 480 V : 13.8 kV step-up</t>
        </is>
      </c>
      <c r="G5418" s="12" t="inlineStr">
        <is>
          <t>T-MOD-1</t>
        </is>
      </c>
      <c r="H5418" s="12" t="inlineStr">
        <is>
          <t>T-MOD-1: 13.8/230 kV</t>
        </is>
      </c>
      <c r="I5418" s="12" t="inlineStr">
        <is>
          <t>LV 600 V</t>
        </is>
      </c>
      <c r="J5418" s="12" t="inlineStr">
        <is>
          <t>Type TC-ER 600 V 3/C Cu XHHW-2 + ground, PVC jacket</t>
        </is>
      </c>
      <c r="K5418" s="12" t="inlineStr">
        <is>
          <t>LV|3/C+G|10</t>
        </is>
      </c>
      <c r="L5418" s="12" t="inlineStr">
        <is>
          <t>3/C+G</t>
        </is>
      </c>
      <c r="M5418" s="12" t="inlineStr">
        <is>
          <t>10</t>
        </is>
      </c>
      <c r="N5418" s="12" t="n">
        <v>1</v>
      </c>
      <c r="O5418" s="12" t="n">
        <v>1</v>
      </c>
      <c r="P5418" s="12" t="n">
        <v>480</v>
      </c>
      <c r="Q5418" s="12" t="n">
        <v>2</v>
      </c>
      <c r="R5418" s="12" t="n">
        <v>2.8</v>
      </c>
      <c r="S5418" s="12" t="inlineStr">
        <is>
          <t>Duct bank</t>
        </is>
      </c>
      <c r="T5418" s="16" t="n">
        <v>349</v>
      </c>
      <c r="U5418" s="16" t="n">
        <v>82</v>
      </c>
      <c r="V5418" s="16">
        <f>ROUNDUP((T5418+U5418+2*'Read Me'!$B$13)*(1+'Read Me'!$B$12),-1)</f>
        <v/>
      </c>
      <c r="W5418" s="16">
        <f>V5418*N5418*O5418</f>
        <v/>
      </c>
      <c r="X5418" s="12">
        <f>IF(LEFT(I5418,2)="MV",2*N5418*IF(L5418="1/C",O5418,1),0)</f>
        <v/>
      </c>
      <c r="Y5418" s="12">
        <f>IF(OR(LEFT(K5418,4)="LVAX",LEFT(K5418,6)="MV15AX",LEFT(K5418,4)="CTAX",LEFT(K5418,2)="W|"),2*N5418*O5418,0)</f>
        <v/>
      </c>
      <c r="Z5418" s="12" t="inlineStr">
        <is>
          <t>VD 0.6 %</t>
        </is>
      </c>
      <c r="AA5418" s="12">
        <f>N5418*O5418</f>
        <v/>
      </c>
    </row>
    <row r="5419">
      <c r="A5419" s="12" t="inlineStr">
        <is>
          <t>I-P-0300</t>
        </is>
      </c>
      <c r="B5419" s="12" t="inlineStr">
        <is>
          <t>I</t>
        </is>
      </c>
      <c r="C5419" s="12" t="inlineStr">
        <is>
          <t>Modular / portable power</t>
        </is>
      </c>
      <c r="D5419" s="12" t="inlineStr">
        <is>
          <t>Motor 4 of 6, 2 kW</t>
        </is>
      </c>
      <c r="E5419" s="12" t="inlineStr"/>
      <c r="F5419" s="12" t="inlineStr">
        <is>
          <t>MOD-LV 480 V board + 480 V : 13.8 kV step-up</t>
        </is>
      </c>
      <c r="G5419" s="12" t="inlineStr">
        <is>
          <t>T-MOD-1</t>
        </is>
      </c>
      <c r="H5419" s="12" t="inlineStr">
        <is>
          <t>T-MOD-1: 13.8/230 kV</t>
        </is>
      </c>
      <c r="I5419" s="12" t="inlineStr">
        <is>
          <t>LV 600 V</t>
        </is>
      </c>
      <c r="J5419" s="12" t="inlineStr">
        <is>
          <t>Type TC-ER 600 V 3/C Cu XHHW-2 + ground, PVC jacket</t>
        </is>
      </c>
      <c r="K5419" s="12" t="inlineStr">
        <is>
          <t>LV|3/C+G|10</t>
        </is>
      </c>
      <c r="L5419" s="12" t="inlineStr">
        <is>
          <t>3/C+G</t>
        </is>
      </c>
      <c r="M5419" s="12" t="inlineStr">
        <is>
          <t>10</t>
        </is>
      </c>
      <c r="N5419" s="12" t="n">
        <v>1</v>
      </c>
      <c r="O5419" s="12" t="n">
        <v>1</v>
      </c>
      <c r="P5419" s="12" t="n">
        <v>480</v>
      </c>
      <c r="Q5419" s="12" t="n">
        <v>2</v>
      </c>
      <c r="R5419" s="12" t="n">
        <v>2.8</v>
      </c>
      <c r="S5419" s="12" t="inlineStr">
        <is>
          <t>Duct bank</t>
        </is>
      </c>
      <c r="T5419" s="16" t="n">
        <v>349</v>
      </c>
      <c r="U5419" s="16" t="n">
        <v>82</v>
      </c>
      <c r="V5419" s="16">
        <f>ROUNDUP((T5419+U5419+2*'Read Me'!$B$13)*(1+'Read Me'!$B$12),-1)</f>
        <v/>
      </c>
      <c r="W5419" s="16">
        <f>V5419*N5419*O5419</f>
        <v/>
      </c>
      <c r="X5419" s="12">
        <f>IF(LEFT(I5419,2)="MV",2*N5419*IF(L5419="1/C",O5419,1),0)</f>
        <v/>
      </c>
      <c r="Y5419" s="12">
        <f>IF(OR(LEFT(K5419,4)="LVAX",LEFT(K5419,6)="MV15AX",LEFT(K5419,4)="CTAX",LEFT(K5419,2)="W|"),2*N5419*O5419,0)</f>
        <v/>
      </c>
      <c r="Z5419" s="12" t="inlineStr">
        <is>
          <t>VD 0.6 %</t>
        </is>
      </c>
      <c r="AA5419" s="12">
        <f>N5419*O5419</f>
        <v/>
      </c>
    </row>
    <row r="5420">
      <c r="A5420" s="12" t="inlineStr">
        <is>
          <t>I-P-0301</t>
        </is>
      </c>
      <c r="B5420" s="12" t="inlineStr">
        <is>
          <t>I</t>
        </is>
      </c>
      <c r="C5420" s="12" t="inlineStr">
        <is>
          <t>Modular / portable power</t>
        </is>
      </c>
      <c r="D5420" s="12" t="inlineStr">
        <is>
          <t>Motor 5 of 6, 2 kW</t>
        </is>
      </c>
      <c r="E5420" s="12" t="inlineStr"/>
      <c r="F5420" s="12" t="inlineStr">
        <is>
          <t>MOD-LV 480 V board + 480 V : 13.8 kV step-up</t>
        </is>
      </c>
      <c r="G5420" s="12" t="inlineStr">
        <is>
          <t>T-MOD-1</t>
        </is>
      </c>
      <c r="H5420" s="12" t="inlineStr">
        <is>
          <t>T-MOD-1: 13.8/230 kV</t>
        </is>
      </c>
      <c r="I5420" s="12" t="inlineStr">
        <is>
          <t>LV 600 V</t>
        </is>
      </c>
      <c r="J5420" s="12" t="inlineStr">
        <is>
          <t>Type TC-ER 600 V 3/C Cu XHHW-2 + ground, PVC jacket</t>
        </is>
      </c>
      <c r="K5420" s="12" t="inlineStr">
        <is>
          <t>LV|3/C+G|10</t>
        </is>
      </c>
      <c r="L5420" s="12" t="inlineStr">
        <is>
          <t>3/C+G</t>
        </is>
      </c>
      <c r="M5420" s="12" t="inlineStr">
        <is>
          <t>10</t>
        </is>
      </c>
      <c r="N5420" s="12" t="n">
        <v>1</v>
      </c>
      <c r="O5420" s="12" t="n">
        <v>1</v>
      </c>
      <c r="P5420" s="12" t="n">
        <v>480</v>
      </c>
      <c r="Q5420" s="12" t="n">
        <v>2</v>
      </c>
      <c r="R5420" s="12" t="n">
        <v>2.8</v>
      </c>
      <c r="S5420" s="12" t="inlineStr">
        <is>
          <t>Duct bank</t>
        </is>
      </c>
      <c r="T5420" s="16" t="n">
        <v>349</v>
      </c>
      <c r="U5420" s="16" t="n">
        <v>82</v>
      </c>
      <c r="V5420" s="16">
        <f>ROUNDUP((T5420+U5420+2*'Read Me'!$B$13)*(1+'Read Me'!$B$12),-1)</f>
        <v/>
      </c>
      <c r="W5420" s="16">
        <f>V5420*N5420*O5420</f>
        <v/>
      </c>
      <c r="X5420" s="12">
        <f>IF(LEFT(I5420,2)="MV",2*N5420*IF(L5420="1/C",O5420,1),0)</f>
        <v/>
      </c>
      <c r="Y5420" s="12">
        <f>IF(OR(LEFT(K5420,4)="LVAX",LEFT(K5420,6)="MV15AX",LEFT(K5420,4)="CTAX",LEFT(K5420,2)="W|"),2*N5420*O5420,0)</f>
        <v/>
      </c>
      <c r="Z5420" s="12" t="inlineStr">
        <is>
          <t>VD 0.6 %</t>
        </is>
      </c>
      <c r="AA5420" s="12">
        <f>N5420*O5420</f>
        <v/>
      </c>
    </row>
    <row r="5421">
      <c r="A5421" s="12" t="inlineStr">
        <is>
          <t>I-P-0302</t>
        </is>
      </c>
      <c r="B5421" s="12" t="inlineStr">
        <is>
          <t>I</t>
        </is>
      </c>
      <c r="C5421" s="12" t="inlineStr">
        <is>
          <t>Modular / portable power</t>
        </is>
      </c>
      <c r="D5421" s="12" t="inlineStr">
        <is>
          <t>Motor 6 of 6, 2 kW</t>
        </is>
      </c>
      <c r="E5421" s="12" t="inlineStr"/>
      <c r="F5421" s="12" t="inlineStr">
        <is>
          <t>MOD-LV 480 V board + 480 V : 13.8 kV step-up</t>
        </is>
      </c>
      <c r="G5421" s="12" t="inlineStr">
        <is>
          <t>T-MOD-1</t>
        </is>
      </c>
      <c r="H5421" s="12" t="inlineStr">
        <is>
          <t>T-MOD-1: 13.8/230 kV</t>
        </is>
      </c>
      <c r="I5421" s="12" t="inlineStr">
        <is>
          <t>LV 600 V</t>
        </is>
      </c>
      <c r="J5421" s="12" t="inlineStr">
        <is>
          <t>Type TC-ER 600 V 3/C Cu XHHW-2 + ground, PVC jacket</t>
        </is>
      </c>
      <c r="K5421" s="12" t="inlineStr">
        <is>
          <t>LV|3/C+G|10</t>
        </is>
      </c>
      <c r="L5421" s="12" t="inlineStr">
        <is>
          <t>3/C+G</t>
        </is>
      </c>
      <c r="M5421" s="12" t="inlineStr">
        <is>
          <t>10</t>
        </is>
      </c>
      <c r="N5421" s="12" t="n">
        <v>1</v>
      </c>
      <c r="O5421" s="12" t="n">
        <v>1</v>
      </c>
      <c r="P5421" s="12" t="n">
        <v>480</v>
      </c>
      <c r="Q5421" s="12" t="n">
        <v>2</v>
      </c>
      <c r="R5421" s="12" t="n">
        <v>2.8</v>
      </c>
      <c r="S5421" s="12" t="inlineStr">
        <is>
          <t>Duct bank</t>
        </is>
      </c>
      <c r="T5421" s="16" t="n">
        <v>349</v>
      </c>
      <c r="U5421" s="16" t="n">
        <v>82</v>
      </c>
      <c r="V5421" s="16">
        <f>ROUNDUP((T5421+U5421+2*'Read Me'!$B$13)*(1+'Read Me'!$B$12),-1)</f>
        <v/>
      </c>
      <c r="W5421" s="16">
        <f>V5421*N5421*O5421</f>
        <v/>
      </c>
      <c r="X5421" s="12">
        <f>IF(LEFT(I5421,2)="MV",2*N5421*IF(L5421="1/C",O5421,1),0)</f>
        <v/>
      </c>
      <c r="Y5421" s="12">
        <f>IF(OR(LEFT(K5421,4)="LVAX",LEFT(K5421,6)="MV15AX",LEFT(K5421,4)="CTAX",LEFT(K5421,2)="W|"),2*N5421*O5421,0)</f>
        <v/>
      </c>
      <c r="Z5421" s="12" t="inlineStr">
        <is>
          <t>VD 0.6 %</t>
        </is>
      </c>
      <c r="AA5421" s="12">
        <f>N5421*O5421</f>
        <v/>
      </c>
    </row>
    <row r="5422">
      <c r="A5422" s="12" t="inlineStr">
        <is>
          <t>I-P-0303</t>
        </is>
      </c>
      <c r="B5422" s="12" t="inlineStr">
        <is>
          <t>I</t>
        </is>
      </c>
      <c r="C5422" s="12" t="inlineStr">
        <is>
          <t>Modular / portable power</t>
        </is>
      </c>
      <c r="D5422" s="12" t="inlineStr">
        <is>
          <t>Motor 1 of 6, 2 kW</t>
        </is>
      </c>
      <c r="E5422" s="12" t="inlineStr"/>
      <c r="F5422" s="12" t="inlineStr">
        <is>
          <t>MOD-LV 480 V board + 480 V : 13.8 kV step-up</t>
        </is>
      </c>
      <c r="G5422" s="12" t="inlineStr">
        <is>
          <t>T-MOD-2</t>
        </is>
      </c>
      <c r="H5422" s="12" t="inlineStr">
        <is>
          <t>T-MOD-2: 13.8/230 kV</t>
        </is>
      </c>
      <c r="I5422" s="12" t="inlineStr">
        <is>
          <t>LV 600 V</t>
        </is>
      </c>
      <c r="J5422" s="12" t="inlineStr">
        <is>
          <t>Type TC-ER 600 V 3/C Cu XHHW-2 + ground, PVC jacket</t>
        </is>
      </c>
      <c r="K5422" s="12" t="inlineStr">
        <is>
          <t>LV|3/C+G|10</t>
        </is>
      </c>
      <c r="L5422" s="12" t="inlineStr">
        <is>
          <t>3/C+G</t>
        </is>
      </c>
      <c r="M5422" s="12" t="inlineStr">
        <is>
          <t>10</t>
        </is>
      </c>
      <c r="N5422" s="12" t="n">
        <v>1</v>
      </c>
      <c r="O5422" s="12" t="n">
        <v>1</v>
      </c>
      <c r="P5422" s="12" t="n">
        <v>480</v>
      </c>
      <c r="Q5422" s="12" t="n">
        <v>2</v>
      </c>
      <c r="R5422" s="12" t="n">
        <v>2.8</v>
      </c>
      <c r="S5422" s="12" t="inlineStr">
        <is>
          <t>Duct bank</t>
        </is>
      </c>
      <c r="T5422" s="16" t="n">
        <v>60</v>
      </c>
      <c r="U5422" s="16" t="n">
        <v>144</v>
      </c>
      <c r="V5422" s="16">
        <f>ROUNDUP((T5422+U5422+2*'Read Me'!$B$13)*(1+'Read Me'!$B$12),-1)</f>
        <v/>
      </c>
      <c r="W5422" s="16">
        <f>V5422*N5422*O5422</f>
        <v/>
      </c>
      <c r="X5422" s="12">
        <f>IF(LEFT(I5422,2)="MV",2*N5422*IF(L5422="1/C",O5422,1),0)</f>
        <v/>
      </c>
      <c r="Y5422" s="12">
        <f>IF(OR(LEFT(K5422,4)="LVAX",LEFT(K5422,6)="MV15AX",LEFT(K5422,4)="CTAX",LEFT(K5422,2)="W|"),2*N5422*O5422,0)</f>
        <v/>
      </c>
      <c r="Z5422" s="12" t="inlineStr">
        <is>
          <t>VD 0.3 %</t>
        </is>
      </c>
      <c r="AA5422" s="12">
        <f>N5422*O5422</f>
        <v/>
      </c>
    </row>
    <row r="5423">
      <c r="A5423" s="12" t="inlineStr">
        <is>
          <t>I-P-0304</t>
        </is>
      </c>
      <c r="B5423" s="12" t="inlineStr">
        <is>
          <t>I</t>
        </is>
      </c>
      <c r="C5423" s="12" t="inlineStr">
        <is>
          <t>Modular / portable power</t>
        </is>
      </c>
      <c r="D5423" s="12" t="inlineStr">
        <is>
          <t>Motor 2 of 6, 2 kW</t>
        </is>
      </c>
      <c r="E5423" s="12" t="inlineStr"/>
      <c r="F5423" s="12" t="inlineStr">
        <is>
          <t>MOD-LV 480 V board + 480 V : 13.8 kV step-up</t>
        </is>
      </c>
      <c r="G5423" s="12" t="inlineStr">
        <is>
          <t>T-MOD-2</t>
        </is>
      </c>
      <c r="H5423" s="12" t="inlineStr">
        <is>
          <t>T-MOD-2: 13.8/230 kV</t>
        </is>
      </c>
      <c r="I5423" s="12" t="inlineStr">
        <is>
          <t>LV 600 V</t>
        </is>
      </c>
      <c r="J5423" s="12" t="inlineStr">
        <is>
          <t>Type TC-ER 600 V 3/C Cu XHHW-2 + ground, PVC jacket</t>
        </is>
      </c>
      <c r="K5423" s="12" t="inlineStr">
        <is>
          <t>LV|3/C+G|10</t>
        </is>
      </c>
      <c r="L5423" s="12" t="inlineStr">
        <is>
          <t>3/C+G</t>
        </is>
      </c>
      <c r="M5423" s="12" t="inlineStr">
        <is>
          <t>10</t>
        </is>
      </c>
      <c r="N5423" s="12" t="n">
        <v>1</v>
      </c>
      <c r="O5423" s="12" t="n">
        <v>1</v>
      </c>
      <c r="P5423" s="12" t="n">
        <v>480</v>
      </c>
      <c r="Q5423" s="12" t="n">
        <v>2</v>
      </c>
      <c r="R5423" s="12" t="n">
        <v>2.8</v>
      </c>
      <c r="S5423" s="12" t="inlineStr">
        <is>
          <t>Duct bank</t>
        </is>
      </c>
      <c r="T5423" s="16" t="n">
        <v>60</v>
      </c>
      <c r="U5423" s="16" t="n">
        <v>144</v>
      </c>
      <c r="V5423" s="16">
        <f>ROUNDUP((T5423+U5423+2*'Read Me'!$B$13)*(1+'Read Me'!$B$12),-1)</f>
        <v/>
      </c>
      <c r="W5423" s="16">
        <f>V5423*N5423*O5423</f>
        <v/>
      </c>
      <c r="X5423" s="12">
        <f>IF(LEFT(I5423,2)="MV",2*N5423*IF(L5423="1/C",O5423,1),0)</f>
        <v/>
      </c>
      <c r="Y5423" s="12">
        <f>IF(OR(LEFT(K5423,4)="LVAX",LEFT(K5423,6)="MV15AX",LEFT(K5423,4)="CTAX",LEFT(K5423,2)="W|"),2*N5423*O5423,0)</f>
        <v/>
      </c>
      <c r="Z5423" s="12" t="inlineStr">
        <is>
          <t>VD 0.3 %</t>
        </is>
      </c>
      <c r="AA5423" s="12">
        <f>N5423*O5423</f>
        <v/>
      </c>
    </row>
    <row r="5424">
      <c r="A5424" s="12" t="inlineStr">
        <is>
          <t>I-P-0305</t>
        </is>
      </c>
      <c r="B5424" s="12" t="inlineStr">
        <is>
          <t>I</t>
        </is>
      </c>
      <c r="C5424" s="12" t="inlineStr">
        <is>
          <t>Modular / portable power</t>
        </is>
      </c>
      <c r="D5424" s="12" t="inlineStr">
        <is>
          <t>Motor 3 of 6, 2 kW</t>
        </is>
      </c>
      <c r="E5424" s="12" t="inlineStr"/>
      <c r="F5424" s="12" t="inlineStr">
        <is>
          <t>MOD-LV 480 V board + 480 V : 13.8 kV step-up</t>
        </is>
      </c>
      <c r="G5424" s="12" t="inlineStr">
        <is>
          <t>T-MOD-2</t>
        </is>
      </c>
      <c r="H5424" s="12" t="inlineStr">
        <is>
          <t>T-MOD-2: 13.8/230 kV</t>
        </is>
      </c>
      <c r="I5424" s="12" t="inlineStr">
        <is>
          <t>LV 600 V</t>
        </is>
      </c>
      <c r="J5424" s="12" t="inlineStr">
        <is>
          <t>Type TC-ER 600 V 3/C Cu XHHW-2 + ground, PVC jacket</t>
        </is>
      </c>
      <c r="K5424" s="12" t="inlineStr">
        <is>
          <t>LV|3/C+G|10</t>
        </is>
      </c>
      <c r="L5424" s="12" t="inlineStr">
        <is>
          <t>3/C+G</t>
        </is>
      </c>
      <c r="M5424" s="12" t="inlineStr">
        <is>
          <t>10</t>
        </is>
      </c>
      <c r="N5424" s="12" t="n">
        <v>1</v>
      </c>
      <c r="O5424" s="12" t="n">
        <v>1</v>
      </c>
      <c r="P5424" s="12" t="n">
        <v>480</v>
      </c>
      <c r="Q5424" s="12" t="n">
        <v>2</v>
      </c>
      <c r="R5424" s="12" t="n">
        <v>2.8</v>
      </c>
      <c r="S5424" s="12" t="inlineStr">
        <is>
          <t>Duct bank</t>
        </is>
      </c>
      <c r="T5424" s="16" t="n">
        <v>60</v>
      </c>
      <c r="U5424" s="16" t="n">
        <v>144</v>
      </c>
      <c r="V5424" s="16">
        <f>ROUNDUP((T5424+U5424+2*'Read Me'!$B$13)*(1+'Read Me'!$B$12),-1)</f>
        <v/>
      </c>
      <c r="W5424" s="16">
        <f>V5424*N5424*O5424</f>
        <v/>
      </c>
      <c r="X5424" s="12">
        <f>IF(LEFT(I5424,2)="MV",2*N5424*IF(L5424="1/C",O5424,1),0)</f>
        <v/>
      </c>
      <c r="Y5424" s="12">
        <f>IF(OR(LEFT(K5424,4)="LVAX",LEFT(K5424,6)="MV15AX",LEFT(K5424,4)="CTAX",LEFT(K5424,2)="W|"),2*N5424*O5424,0)</f>
        <v/>
      </c>
      <c r="Z5424" s="12" t="inlineStr">
        <is>
          <t>VD 0.3 %</t>
        </is>
      </c>
      <c r="AA5424" s="12">
        <f>N5424*O5424</f>
        <v/>
      </c>
    </row>
    <row r="5425">
      <c r="A5425" s="12" t="inlineStr">
        <is>
          <t>I-P-0306</t>
        </is>
      </c>
      <c r="B5425" s="12" t="inlineStr">
        <is>
          <t>I</t>
        </is>
      </c>
      <c r="C5425" s="12" t="inlineStr">
        <is>
          <t>Modular / portable power</t>
        </is>
      </c>
      <c r="D5425" s="12" t="inlineStr">
        <is>
          <t>Motor 4 of 6, 2 kW</t>
        </is>
      </c>
      <c r="E5425" s="12" t="inlineStr"/>
      <c r="F5425" s="12" t="inlineStr">
        <is>
          <t>MOD-LV 480 V board + 480 V : 13.8 kV step-up</t>
        </is>
      </c>
      <c r="G5425" s="12" t="inlineStr">
        <is>
          <t>T-MOD-2</t>
        </is>
      </c>
      <c r="H5425" s="12" t="inlineStr">
        <is>
          <t>T-MOD-2: 13.8/230 kV</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2</v>
      </c>
      <c r="R5425" s="12" t="n">
        <v>2.8</v>
      </c>
      <c r="S5425" s="12" t="inlineStr">
        <is>
          <t>Duct bank</t>
        </is>
      </c>
      <c r="T5425" s="16" t="n">
        <v>60</v>
      </c>
      <c r="U5425" s="16" t="n">
        <v>144</v>
      </c>
      <c r="V5425" s="16">
        <f>ROUNDUP((T5425+U5425+2*'Read Me'!$B$13)*(1+'Read Me'!$B$12),-1)</f>
        <v/>
      </c>
      <c r="W5425" s="16">
        <f>V5425*N5425*O5425</f>
        <v/>
      </c>
      <c r="X5425" s="12">
        <f>IF(LEFT(I5425,2)="MV",2*N5425*IF(L5425="1/C",O5425,1),0)</f>
        <v/>
      </c>
      <c r="Y5425" s="12">
        <f>IF(OR(LEFT(K5425,4)="LVAX",LEFT(K5425,6)="MV15AX",LEFT(K5425,4)="CTAX",LEFT(K5425,2)="W|"),2*N5425*O5425,0)</f>
        <v/>
      </c>
      <c r="Z5425" s="12" t="inlineStr">
        <is>
          <t>VD 0.3 %</t>
        </is>
      </c>
      <c r="AA5425" s="12">
        <f>N5425*O5425</f>
        <v/>
      </c>
    </row>
    <row r="5426">
      <c r="A5426" s="12" t="inlineStr">
        <is>
          <t>I-P-0307</t>
        </is>
      </c>
      <c r="B5426" s="12" t="inlineStr">
        <is>
          <t>I</t>
        </is>
      </c>
      <c r="C5426" s="12" t="inlineStr">
        <is>
          <t>Modular / portable power</t>
        </is>
      </c>
      <c r="D5426" s="12" t="inlineStr">
        <is>
          <t>Motor 5 of 6, 2 kW</t>
        </is>
      </c>
      <c r="E5426" s="12" t="inlineStr"/>
      <c r="F5426" s="12" t="inlineStr">
        <is>
          <t>MOD-LV 480 V board + 480 V : 13.8 kV step-up</t>
        </is>
      </c>
      <c r="G5426" s="12" t="inlineStr">
        <is>
          <t>T-MOD-2</t>
        </is>
      </c>
      <c r="H5426" s="12" t="inlineStr">
        <is>
          <t>T-MOD-2: 13.8/230 kV</t>
        </is>
      </c>
      <c r="I5426" s="12" t="inlineStr">
        <is>
          <t>LV 600 V</t>
        </is>
      </c>
      <c r="J5426" s="12" t="inlineStr">
        <is>
          <t>Type TC-ER 600 V 3/C Cu XHHW-2 + ground, PVC jacket</t>
        </is>
      </c>
      <c r="K5426" s="12" t="inlineStr">
        <is>
          <t>LV|3/C+G|10</t>
        </is>
      </c>
      <c r="L5426" s="12" t="inlineStr">
        <is>
          <t>3/C+G</t>
        </is>
      </c>
      <c r="M5426" s="12" t="inlineStr">
        <is>
          <t>10</t>
        </is>
      </c>
      <c r="N5426" s="12" t="n">
        <v>1</v>
      </c>
      <c r="O5426" s="12" t="n">
        <v>1</v>
      </c>
      <c r="P5426" s="12" t="n">
        <v>480</v>
      </c>
      <c r="Q5426" s="12" t="n">
        <v>2</v>
      </c>
      <c r="R5426" s="12" t="n">
        <v>2.8</v>
      </c>
      <c r="S5426" s="12" t="inlineStr">
        <is>
          <t>Duct bank</t>
        </is>
      </c>
      <c r="T5426" s="16" t="n">
        <v>60</v>
      </c>
      <c r="U5426" s="16" t="n">
        <v>144</v>
      </c>
      <c r="V5426" s="16">
        <f>ROUNDUP((T5426+U5426+2*'Read Me'!$B$13)*(1+'Read Me'!$B$12),-1)</f>
        <v/>
      </c>
      <c r="W5426" s="16">
        <f>V5426*N5426*O5426</f>
        <v/>
      </c>
      <c r="X5426" s="12">
        <f>IF(LEFT(I5426,2)="MV",2*N5426*IF(L5426="1/C",O5426,1),0)</f>
        <v/>
      </c>
      <c r="Y5426" s="12">
        <f>IF(OR(LEFT(K5426,4)="LVAX",LEFT(K5426,6)="MV15AX",LEFT(K5426,4)="CTAX",LEFT(K5426,2)="W|"),2*N5426*O5426,0)</f>
        <v/>
      </c>
      <c r="Z5426" s="12" t="inlineStr">
        <is>
          <t>VD 0.3 %</t>
        </is>
      </c>
      <c r="AA5426" s="12">
        <f>N5426*O5426</f>
        <v/>
      </c>
    </row>
    <row r="5427">
      <c r="A5427" s="12" t="inlineStr">
        <is>
          <t>I-P-0308</t>
        </is>
      </c>
      <c r="B5427" s="12" t="inlineStr">
        <is>
          <t>I</t>
        </is>
      </c>
      <c r="C5427" s="12" t="inlineStr">
        <is>
          <t>Modular / portable power</t>
        </is>
      </c>
      <c r="D5427" s="12" t="inlineStr">
        <is>
          <t>Motor 6 of 6, 2 kW</t>
        </is>
      </c>
      <c r="E5427" s="12" t="inlineStr"/>
      <c r="F5427" s="12" t="inlineStr">
        <is>
          <t>MOD-LV 480 V board + 480 V : 13.8 kV step-up</t>
        </is>
      </c>
      <c r="G5427" s="12" t="inlineStr">
        <is>
          <t>T-MOD-2</t>
        </is>
      </c>
      <c r="H5427" s="12" t="inlineStr">
        <is>
          <t>T-MOD-2: 13.8/230 kV</t>
        </is>
      </c>
      <c r="I5427" s="12" t="inlineStr">
        <is>
          <t>LV 600 V</t>
        </is>
      </c>
      <c r="J5427" s="12" t="inlineStr">
        <is>
          <t>Type TC-ER 600 V 3/C Cu XHHW-2 + ground, PVC jacket</t>
        </is>
      </c>
      <c r="K5427" s="12" t="inlineStr">
        <is>
          <t>LV|3/C+G|10</t>
        </is>
      </c>
      <c r="L5427" s="12" t="inlineStr">
        <is>
          <t>3/C+G</t>
        </is>
      </c>
      <c r="M5427" s="12" t="inlineStr">
        <is>
          <t>10</t>
        </is>
      </c>
      <c r="N5427" s="12" t="n">
        <v>1</v>
      </c>
      <c r="O5427" s="12" t="n">
        <v>1</v>
      </c>
      <c r="P5427" s="12" t="n">
        <v>480</v>
      </c>
      <c r="Q5427" s="12" t="n">
        <v>2</v>
      </c>
      <c r="R5427" s="12" t="n">
        <v>2.8</v>
      </c>
      <c r="S5427" s="12" t="inlineStr">
        <is>
          <t>Duct bank</t>
        </is>
      </c>
      <c r="T5427" s="16" t="n">
        <v>60</v>
      </c>
      <c r="U5427" s="16" t="n">
        <v>144</v>
      </c>
      <c r="V5427" s="16">
        <f>ROUNDUP((T5427+U5427+2*'Read Me'!$B$13)*(1+'Read Me'!$B$12),-1)</f>
        <v/>
      </c>
      <c r="W5427" s="16">
        <f>V5427*N5427*O5427</f>
        <v/>
      </c>
      <c r="X5427" s="12">
        <f>IF(LEFT(I5427,2)="MV",2*N5427*IF(L5427="1/C",O5427,1),0)</f>
        <v/>
      </c>
      <c r="Y5427" s="12">
        <f>IF(OR(LEFT(K5427,4)="LVAX",LEFT(K5427,6)="MV15AX",LEFT(K5427,4)="CTAX",LEFT(K5427,2)="W|"),2*N5427*O5427,0)</f>
        <v/>
      </c>
      <c r="Z5427" s="12" t="inlineStr">
        <is>
          <t>VD 0.3 %</t>
        </is>
      </c>
      <c r="AA5427" s="12">
        <f>N5427*O5427</f>
        <v/>
      </c>
    </row>
    <row r="5428">
      <c r="A5428" s="12" t="inlineStr">
        <is>
          <t>I-P-0309</t>
        </is>
      </c>
      <c r="B5428" s="12" t="inlineStr">
        <is>
          <t>I</t>
        </is>
      </c>
      <c r="C5428" s="12" t="inlineStr">
        <is>
          <t>Modular / portable power</t>
        </is>
      </c>
      <c r="D5428" s="12" t="inlineStr">
        <is>
          <t>Motor 1 of 6, 22 kW</t>
        </is>
      </c>
      <c r="E5428" s="12" t="inlineStr"/>
      <c r="F5428" s="12" t="inlineStr">
        <is>
          <t>MOD-LV 480 V board + 480 V : 13.8 kV step-up</t>
        </is>
      </c>
      <c r="G5428" s="12" t="inlineStr">
        <is>
          <t>TM-1</t>
        </is>
      </c>
      <c r="H5428" s="12" t="inlineStr">
        <is>
          <t>TM-1: trailer-mounted aeroderivative GT (TM2500 class, ~35 MW)</t>
        </is>
      </c>
      <c r="I5428" s="12" t="inlineStr">
        <is>
          <t>LV 600 V</t>
        </is>
      </c>
      <c r="J5428" s="12" t="inlineStr">
        <is>
          <t>Type TC-ER 600 V 3/C Cu XHHW-2 + ground, PVC jacket</t>
        </is>
      </c>
      <c r="K5428" s="12" t="inlineStr">
        <is>
          <t>LV|3/C+G|1</t>
        </is>
      </c>
      <c r="L5428" s="12" t="inlineStr">
        <is>
          <t>3/C+G</t>
        </is>
      </c>
      <c r="M5428" s="12" t="inlineStr">
        <is>
          <t>1</t>
        </is>
      </c>
      <c r="N5428" s="12" t="n">
        <v>1</v>
      </c>
      <c r="O5428" s="12" t="n">
        <v>1</v>
      </c>
      <c r="P5428" s="12" t="n">
        <v>480</v>
      </c>
      <c r="Q5428" s="12" t="n">
        <v>22</v>
      </c>
      <c r="R5428" s="12" t="n">
        <v>31.1</v>
      </c>
      <c r="S5428" s="12" t="inlineStr">
        <is>
          <t>Duct bank</t>
        </is>
      </c>
      <c r="T5428" s="16" t="n">
        <v>1308</v>
      </c>
      <c r="U5428" s="16" t="n">
        <v>55</v>
      </c>
      <c r="V5428" s="16">
        <f>ROUNDUP((T5428+U5428+2*'Read Me'!$B$13)*(1+'Read Me'!$B$12),-1)</f>
        <v/>
      </c>
      <c r="W5428" s="16">
        <f>V5428*N5428*O5428</f>
        <v/>
      </c>
      <c r="X5428" s="12">
        <f>IF(LEFT(I5428,2)="MV",2*N5428*IF(L5428="1/C",O5428,1),0)</f>
        <v/>
      </c>
      <c r="Y5428" s="12">
        <f>IF(OR(LEFT(K5428,4)="LVAX",LEFT(K5428,6)="MV15AX",LEFT(K5428,4)="CTAX",LEFT(K5428,2)="W|"),2*N5428*O5428,0)</f>
        <v/>
      </c>
      <c r="Z5428" s="12" t="inlineStr">
        <is>
          <t>VD 2.6 %</t>
        </is>
      </c>
      <c r="AA5428" s="12">
        <f>N5428*O5428</f>
        <v/>
      </c>
    </row>
    <row r="5429">
      <c r="A5429" s="12" t="inlineStr">
        <is>
          <t>I-P-0310</t>
        </is>
      </c>
      <c r="B5429" s="12" t="inlineStr">
        <is>
          <t>I</t>
        </is>
      </c>
      <c r="C5429" s="12" t="inlineStr">
        <is>
          <t>Modular / portable power</t>
        </is>
      </c>
      <c r="D5429" s="12" t="inlineStr">
        <is>
          <t>Motor 2 of 6, 22 kW</t>
        </is>
      </c>
      <c r="E5429" s="12" t="inlineStr"/>
      <c r="F5429" s="12" t="inlineStr">
        <is>
          <t>MOD-LV 480 V board + 480 V : 13.8 kV step-up</t>
        </is>
      </c>
      <c r="G5429" s="12" t="inlineStr">
        <is>
          <t>TM-1</t>
        </is>
      </c>
      <c r="H5429" s="12" t="inlineStr">
        <is>
          <t>TM-1: trailer-mounted aeroderivative GT (TM2500 class, ~35 MW)</t>
        </is>
      </c>
      <c r="I5429" s="12" t="inlineStr">
        <is>
          <t>LV 600 V</t>
        </is>
      </c>
      <c r="J5429" s="12" t="inlineStr">
        <is>
          <t>Type TC-ER 600 V 3/C Cu XHHW-2 + ground, PVC jacket</t>
        </is>
      </c>
      <c r="K5429" s="12" t="inlineStr">
        <is>
          <t>LV|3/C+G|1</t>
        </is>
      </c>
      <c r="L5429" s="12" t="inlineStr">
        <is>
          <t>3/C+G</t>
        </is>
      </c>
      <c r="M5429" s="12" t="inlineStr">
        <is>
          <t>1</t>
        </is>
      </c>
      <c r="N5429" s="12" t="n">
        <v>1</v>
      </c>
      <c r="O5429" s="12" t="n">
        <v>1</v>
      </c>
      <c r="P5429" s="12" t="n">
        <v>480</v>
      </c>
      <c r="Q5429" s="12" t="n">
        <v>22</v>
      </c>
      <c r="R5429" s="12" t="n">
        <v>31.1</v>
      </c>
      <c r="S5429" s="12" t="inlineStr">
        <is>
          <t>Duct bank</t>
        </is>
      </c>
      <c r="T5429" s="16" t="n">
        <v>1308</v>
      </c>
      <c r="U5429" s="16" t="n">
        <v>55</v>
      </c>
      <c r="V5429" s="16">
        <f>ROUNDUP((T5429+U5429+2*'Read Me'!$B$13)*(1+'Read Me'!$B$12),-1)</f>
        <v/>
      </c>
      <c r="W5429" s="16">
        <f>V5429*N5429*O5429</f>
        <v/>
      </c>
      <c r="X5429" s="12">
        <f>IF(LEFT(I5429,2)="MV",2*N5429*IF(L5429="1/C",O5429,1),0)</f>
        <v/>
      </c>
      <c r="Y5429" s="12">
        <f>IF(OR(LEFT(K5429,4)="LVAX",LEFT(K5429,6)="MV15AX",LEFT(K5429,4)="CTAX",LEFT(K5429,2)="W|"),2*N5429*O5429,0)</f>
        <v/>
      </c>
      <c r="Z5429" s="12" t="inlineStr">
        <is>
          <t>VD 2.6 %</t>
        </is>
      </c>
      <c r="AA5429" s="12">
        <f>N5429*O5429</f>
        <v/>
      </c>
    </row>
    <row r="5430">
      <c r="A5430" s="12" t="inlineStr">
        <is>
          <t>I-P-0311</t>
        </is>
      </c>
      <c r="B5430" s="12" t="inlineStr">
        <is>
          <t>I</t>
        </is>
      </c>
      <c r="C5430" s="12" t="inlineStr">
        <is>
          <t>Modular / portable power</t>
        </is>
      </c>
      <c r="D5430" s="12" t="inlineStr">
        <is>
          <t>Motor 3 of 6, 22 kW</t>
        </is>
      </c>
      <c r="E5430" s="12" t="inlineStr"/>
      <c r="F5430" s="12" t="inlineStr">
        <is>
          <t>MOD-LV 480 V board + 480 V : 13.8 kV step-up</t>
        </is>
      </c>
      <c r="G5430" s="12" t="inlineStr">
        <is>
          <t>TM-1</t>
        </is>
      </c>
      <c r="H5430" s="12" t="inlineStr">
        <is>
          <t>TM-1: trailer-mounted aeroderivative GT (TM2500 class, ~35 MW)</t>
        </is>
      </c>
      <c r="I5430" s="12" t="inlineStr">
        <is>
          <t>LV 600 V</t>
        </is>
      </c>
      <c r="J5430" s="12" t="inlineStr">
        <is>
          <t>Type TC-ER 600 V 3/C Cu XHHW-2 + ground, PVC jacket</t>
        </is>
      </c>
      <c r="K5430" s="12" t="inlineStr">
        <is>
          <t>LV|3/C+G|1</t>
        </is>
      </c>
      <c r="L5430" s="12" t="inlineStr">
        <is>
          <t>3/C+G</t>
        </is>
      </c>
      <c r="M5430" s="12" t="inlineStr">
        <is>
          <t>1</t>
        </is>
      </c>
      <c r="N5430" s="12" t="n">
        <v>1</v>
      </c>
      <c r="O5430" s="12" t="n">
        <v>1</v>
      </c>
      <c r="P5430" s="12" t="n">
        <v>480</v>
      </c>
      <c r="Q5430" s="12" t="n">
        <v>22</v>
      </c>
      <c r="R5430" s="12" t="n">
        <v>31.1</v>
      </c>
      <c r="S5430" s="12" t="inlineStr">
        <is>
          <t>Duct bank</t>
        </is>
      </c>
      <c r="T5430" s="16" t="n">
        <v>1308</v>
      </c>
      <c r="U5430" s="16" t="n">
        <v>55</v>
      </c>
      <c r="V5430" s="16">
        <f>ROUNDUP((T5430+U5430+2*'Read Me'!$B$13)*(1+'Read Me'!$B$12),-1)</f>
        <v/>
      </c>
      <c r="W5430" s="16">
        <f>V5430*N5430*O5430</f>
        <v/>
      </c>
      <c r="X5430" s="12">
        <f>IF(LEFT(I5430,2)="MV",2*N5430*IF(L5430="1/C",O5430,1),0)</f>
        <v/>
      </c>
      <c r="Y5430" s="12">
        <f>IF(OR(LEFT(K5430,4)="LVAX",LEFT(K5430,6)="MV15AX",LEFT(K5430,4)="CTAX",LEFT(K5430,2)="W|"),2*N5430*O5430,0)</f>
        <v/>
      </c>
      <c r="Z5430" s="12" t="inlineStr">
        <is>
          <t>VD 2.6 %</t>
        </is>
      </c>
      <c r="AA5430" s="12">
        <f>N5430*O5430</f>
        <v/>
      </c>
    </row>
    <row r="5431">
      <c r="A5431" s="12" t="inlineStr">
        <is>
          <t>I-P-0312</t>
        </is>
      </c>
      <c r="B5431" s="12" t="inlineStr">
        <is>
          <t>I</t>
        </is>
      </c>
      <c r="C5431" s="12" t="inlineStr">
        <is>
          <t>Modular / portable power</t>
        </is>
      </c>
      <c r="D5431" s="12" t="inlineStr">
        <is>
          <t>Motor 4 of 6, 22 kW</t>
        </is>
      </c>
      <c r="E5431" s="12" t="inlineStr"/>
      <c r="F5431" s="12" t="inlineStr">
        <is>
          <t>MOD-LV 480 V board + 480 V : 13.8 kV step-up</t>
        </is>
      </c>
      <c r="G5431" s="12" t="inlineStr">
        <is>
          <t>TM-1</t>
        </is>
      </c>
      <c r="H5431" s="12" t="inlineStr">
        <is>
          <t>TM-1: trailer-mounted aeroderivative GT (TM2500 class, ~35 MW)</t>
        </is>
      </c>
      <c r="I5431" s="12" t="inlineStr">
        <is>
          <t>LV 600 V</t>
        </is>
      </c>
      <c r="J5431" s="12" t="inlineStr">
        <is>
          <t>Type TC-ER 600 V 3/C Cu XHHW-2 + ground, PVC jacket</t>
        </is>
      </c>
      <c r="K5431" s="12" t="inlineStr">
        <is>
          <t>LV|3/C+G|1</t>
        </is>
      </c>
      <c r="L5431" s="12" t="inlineStr">
        <is>
          <t>3/C+G</t>
        </is>
      </c>
      <c r="M5431" s="12" t="inlineStr">
        <is>
          <t>1</t>
        </is>
      </c>
      <c r="N5431" s="12" t="n">
        <v>1</v>
      </c>
      <c r="O5431" s="12" t="n">
        <v>1</v>
      </c>
      <c r="P5431" s="12" t="n">
        <v>480</v>
      </c>
      <c r="Q5431" s="12" t="n">
        <v>22</v>
      </c>
      <c r="R5431" s="12" t="n">
        <v>31.1</v>
      </c>
      <c r="S5431" s="12" t="inlineStr">
        <is>
          <t>Duct bank</t>
        </is>
      </c>
      <c r="T5431" s="16" t="n">
        <v>1308</v>
      </c>
      <c r="U5431" s="16" t="n">
        <v>55</v>
      </c>
      <c r="V5431" s="16">
        <f>ROUNDUP((T5431+U5431+2*'Read Me'!$B$13)*(1+'Read Me'!$B$12),-1)</f>
        <v/>
      </c>
      <c r="W5431" s="16">
        <f>V5431*N5431*O5431</f>
        <v/>
      </c>
      <c r="X5431" s="12">
        <f>IF(LEFT(I5431,2)="MV",2*N5431*IF(L5431="1/C",O5431,1),0)</f>
        <v/>
      </c>
      <c r="Y5431" s="12">
        <f>IF(OR(LEFT(K5431,4)="LVAX",LEFT(K5431,6)="MV15AX",LEFT(K5431,4)="CTAX",LEFT(K5431,2)="W|"),2*N5431*O5431,0)</f>
        <v/>
      </c>
      <c r="Z5431" s="12" t="inlineStr">
        <is>
          <t>VD 2.6 %</t>
        </is>
      </c>
      <c r="AA5431" s="12">
        <f>N5431*O5431</f>
        <v/>
      </c>
    </row>
    <row r="5432">
      <c r="A5432" s="12" t="inlineStr">
        <is>
          <t>I-P-0313</t>
        </is>
      </c>
      <c r="B5432" s="12" t="inlineStr">
        <is>
          <t>I</t>
        </is>
      </c>
      <c r="C5432" s="12" t="inlineStr">
        <is>
          <t>Modular / portable power</t>
        </is>
      </c>
      <c r="D5432" s="12" t="inlineStr">
        <is>
          <t>Motor 5 of 6, 22 kW</t>
        </is>
      </c>
      <c r="E5432" s="12" t="inlineStr"/>
      <c r="F5432" s="12" t="inlineStr">
        <is>
          <t>MOD-LV 480 V board + 480 V : 13.8 kV step-up</t>
        </is>
      </c>
      <c r="G5432" s="12" t="inlineStr">
        <is>
          <t>TM-1</t>
        </is>
      </c>
      <c r="H5432" s="12" t="inlineStr">
        <is>
          <t>TM-1: trailer-mounted aeroderivative GT (TM2500 class, ~35 MW)</t>
        </is>
      </c>
      <c r="I5432" s="12" t="inlineStr">
        <is>
          <t>LV 600 V</t>
        </is>
      </c>
      <c r="J5432" s="12" t="inlineStr">
        <is>
          <t>Type TC-ER 600 V 3/C Cu XHHW-2 + ground, PVC jacket</t>
        </is>
      </c>
      <c r="K5432" s="12" t="inlineStr">
        <is>
          <t>LV|3/C+G|1</t>
        </is>
      </c>
      <c r="L5432" s="12" t="inlineStr">
        <is>
          <t>3/C+G</t>
        </is>
      </c>
      <c r="M5432" s="12" t="inlineStr">
        <is>
          <t>1</t>
        </is>
      </c>
      <c r="N5432" s="12" t="n">
        <v>1</v>
      </c>
      <c r="O5432" s="12" t="n">
        <v>1</v>
      </c>
      <c r="P5432" s="12" t="n">
        <v>480</v>
      </c>
      <c r="Q5432" s="12" t="n">
        <v>22</v>
      </c>
      <c r="R5432" s="12" t="n">
        <v>31.1</v>
      </c>
      <c r="S5432" s="12" t="inlineStr">
        <is>
          <t>Duct bank</t>
        </is>
      </c>
      <c r="T5432" s="16" t="n">
        <v>1308</v>
      </c>
      <c r="U5432" s="16" t="n">
        <v>55</v>
      </c>
      <c r="V5432" s="16">
        <f>ROUNDUP((T5432+U5432+2*'Read Me'!$B$13)*(1+'Read Me'!$B$12),-1)</f>
        <v/>
      </c>
      <c r="W5432" s="16">
        <f>V5432*N5432*O5432</f>
        <v/>
      </c>
      <c r="X5432" s="12">
        <f>IF(LEFT(I5432,2)="MV",2*N5432*IF(L5432="1/C",O5432,1),0)</f>
        <v/>
      </c>
      <c r="Y5432" s="12">
        <f>IF(OR(LEFT(K5432,4)="LVAX",LEFT(K5432,6)="MV15AX",LEFT(K5432,4)="CTAX",LEFT(K5432,2)="W|"),2*N5432*O5432,0)</f>
        <v/>
      </c>
      <c r="Z5432" s="12" t="inlineStr">
        <is>
          <t>VD 2.6 %</t>
        </is>
      </c>
      <c r="AA5432" s="12">
        <f>N5432*O5432</f>
        <v/>
      </c>
    </row>
    <row r="5433">
      <c r="A5433" s="12" t="inlineStr">
        <is>
          <t>I-P-0314</t>
        </is>
      </c>
      <c r="B5433" s="12" t="inlineStr">
        <is>
          <t>I</t>
        </is>
      </c>
      <c r="C5433" s="12" t="inlineStr">
        <is>
          <t>Modular / portable power</t>
        </is>
      </c>
      <c r="D5433" s="12" t="inlineStr">
        <is>
          <t>Motor 6 of 6, 22 kW</t>
        </is>
      </c>
      <c r="E5433" s="12" t="inlineStr"/>
      <c r="F5433" s="12" t="inlineStr">
        <is>
          <t>MOD-LV 480 V board + 480 V : 13.8 kV step-up</t>
        </is>
      </c>
      <c r="G5433" s="12" t="inlineStr">
        <is>
          <t>TM-1</t>
        </is>
      </c>
      <c r="H5433" s="12" t="inlineStr">
        <is>
          <t>TM-1: trailer-mounted aeroderivative GT (TM2500 class, ~35 MW)</t>
        </is>
      </c>
      <c r="I5433" s="12" t="inlineStr">
        <is>
          <t>LV 600 V</t>
        </is>
      </c>
      <c r="J5433" s="12" t="inlineStr">
        <is>
          <t>Type TC-ER 600 V 3/C Cu XHHW-2 + ground, PVC jacket</t>
        </is>
      </c>
      <c r="K5433" s="12" t="inlineStr">
        <is>
          <t>LV|3/C+G|1</t>
        </is>
      </c>
      <c r="L5433" s="12" t="inlineStr">
        <is>
          <t>3/C+G</t>
        </is>
      </c>
      <c r="M5433" s="12" t="inlineStr">
        <is>
          <t>1</t>
        </is>
      </c>
      <c r="N5433" s="12" t="n">
        <v>1</v>
      </c>
      <c r="O5433" s="12" t="n">
        <v>1</v>
      </c>
      <c r="P5433" s="12" t="n">
        <v>480</v>
      </c>
      <c r="Q5433" s="12" t="n">
        <v>22</v>
      </c>
      <c r="R5433" s="12" t="n">
        <v>31.1</v>
      </c>
      <c r="S5433" s="12" t="inlineStr">
        <is>
          <t>Duct bank</t>
        </is>
      </c>
      <c r="T5433" s="16" t="n">
        <v>1308</v>
      </c>
      <c r="U5433" s="16" t="n">
        <v>55</v>
      </c>
      <c r="V5433" s="16">
        <f>ROUNDUP((T5433+U5433+2*'Read Me'!$B$13)*(1+'Read Me'!$B$12),-1)</f>
        <v/>
      </c>
      <c r="W5433" s="16">
        <f>V5433*N5433*O5433</f>
        <v/>
      </c>
      <c r="X5433" s="12">
        <f>IF(LEFT(I5433,2)="MV",2*N5433*IF(L5433="1/C",O5433,1),0)</f>
        <v/>
      </c>
      <c r="Y5433" s="12">
        <f>IF(OR(LEFT(K5433,4)="LVAX",LEFT(K5433,6)="MV15AX",LEFT(K5433,4)="CTAX",LEFT(K5433,2)="W|"),2*N5433*O5433,0)</f>
        <v/>
      </c>
      <c r="Z5433" s="12" t="inlineStr">
        <is>
          <t>VD 2.6 %</t>
        </is>
      </c>
      <c r="AA5433" s="12">
        <f>N5433*O5433</f>
        <v/>
      </c>
    </row>
    <row r="5434">
      <c r="A5434" s="12" t="inlineStr">
        <is>
          <t>I-P-0315</t>
        </is>
      </c>
      <c r="B5434" s="12" t="inlineStr">
        <is>
          <t>I</t>
        </is>
      </c>
      <c r="C5434" s="12" t="inlineStr">
        <is>
          <t>Modular / portable power</t>
        </is>
      </c>
      <c r="D5434" s="12" t="inlineStr">
        <is>
          <t>Motor 1 of 6, 22 kW</t>
        </is>
      </c>
      <c r="E5434" s="12" t="inlineStr"/>
      <c r="F5434" s="12" t="inlineStr">
        <is>
          <t>MOD-LV 480 V board + 480 V : 13.8 kV step-up</t>
        </is>
      </c>
      <c r="G5434" s="12" t="inlineStr">
        <is>
          <t>TM-2</t>
        </is>
      </c>
      <c r="H5434" s="12" t="inlineStr">
        <is>
          <t>TM-2: trailer-mounted aeroderivative GT (TM2500 class, ~35 MW)</t>
        </is>
      </c>
      <c r="I5434" s="12" t="inlineStr">
        <is>
          <t>LV 600 V</t>
        </is>
      </c>
      <c r="J5434" s="12" t="inlineStr">
        <is>
          <t>Type TC-ER 600 V 3/C Cu XHHW-2 + ground, PVC jacket</t>
        </is>
      </c>
      <c r="K5434" s="12" t="inlineStr">
        <is>
          <t>LV|3/C+G|1</t>
        </is>
      </c>
      <c r="L5434" s="12" t="inlineStr">
        <is>
          <t>3/C+G</t>
        </is>
      </c>
      <c r="M5434" s="12" t="inlineStr">
        <is>
          <t>1</t>
        </is>
      </c>
      <c r="N5434" s="12" t="n">
        <v>1</v>
      </c>
      <c r="O5434" s="12" t="n">
        <v>1</v>
      </c>
      <c r="P5434" s="12" t="n">
        <v>480</v>
      </c>
      <c r="Q5434" s="12" t="n">
        <v>22</v>
      </c>
      <c r="R5434" s="12" t="n">
        <v>31.1</v>
      </c>
      <c r="S5434" s="12" t="inlineStr">
        <is>
          <t>Duct bank</t>
        </is>
      </c>
      <c r="T5434" s="16" t="n">
        <v>1304</v>
      </c>
      <c r="U5434" s="16" t="n">
        <v>57</v>
      </c>
      <c r="V5434" s="16">
        <f>ROUNDUP((T5434+U5434+2*'Read Me'!$B$13)*(1+'Read Me'!$B$12),-1)</f>
        <v/>
      </c>
      <c r="W5434" s="16">
        <f>V5434*N5434*O5434</f>
        <v/>
      </c>
      <c r="X5434" s="12">
        <f>IF(LEFT(I5434,2)="MV",2*N5434*IF(L5434="1/C",O5434,1),0)</f>
        <v/>
      </c>
      <c r="Y5434" s="12">
        <f>IF(OR(LEFT(K5434,4)="LVAX",LEFT(K5434,6)="MV15AX",LEFT(K5434,4)="CTAX",LEFT(K5434,2)="W|"),2*N5434*O5434,0)</f>
        <v/>
      </c>
      <c r="Z5434" s="12" t="inlineStr">
        <is>
          <t>VD 2.6 %</t>
        </is>
      </c>
      <c r="AA5434" s="12">
        <f>N5434*O5434</f>
        <v/>
      </c>
    </row>
    <row r="5435">
      <c r="A5435" s="12" t="inlineStr">
        <is>
          <t>I-P-0316</t>
        </is>
      </c>
      <c r="B5435" s="12" t="inlineStr">
        <is>
          <t>I</t>
        </is>
      </c>
      <c r="C5435" s="12" t="inlineStr">
        <is>
          <t>Modular / portable power</t>
        </is>
      </c>
      <c r="D5435" s="12" t="inlineStr">
        <is>
          <t>Motor 2 of 6, 22 kW</t>
        </is>
      </c>
      <c r="E5435" s="12" t="inlineStr"/>
      <c r="F5435" s="12" t="inlineStr">
        <is>
          <t>MOD-LV 480 V board + 480 V : 13.8 kV step-up</t>
        </is>
      </c>
      <c r="G5435" s="12" t="inlineStr">
        <is>
          <t>TM-2</t>
        </is>
      </c>
      <c r="H5435" s="12" t="inlineStr">
        <is>
          <t>TM-2: trailer-mounted aeroderivative GT (TM2500 class, ~35 MW)</t>
        </is>
      </c>
      <c r="I5435" s="12" t="inlineStr">
        <is>
          <t>LV 600 V</t>
        </is>
      </c>
      <c r="J5435" s="12" t="inlineStr">
        <is>
          <t>Type TC-ER 600 V 3/C Cu XHHW-2 + ground, PVC jacket</t>
        </is>
      </c>
      <c r="K5435" s="12" t="inlineStr">
        <is>
          <t>LV|3/C+G|1</t>
        </is>
      </c>
      <c r="L5435" s="12" t="inlineStr">
        <is>
          <t>3/C+G</t>
        </is>
      </c>
      <c r="M5435" s="12" t="inlineStr">
        <is>
          <t>1</t>
        </is>
      </c>
      <c r="N5435" s="12" t="n">
        <v>1</v>
      </c>
      <c r="O5435" s="12" t="n">
        <v>1</v>
      </c>
      <c r="P5435" s="12" t="n">
        <v>480</v>
      </c>
      <c r="Q5435" s="12" t="n">
        <v>22</v>
      </c>
      <c r="R5435" s="12" t="n">
        <v>31.1</v>
      </c>
      <c r="S5435" s="12" t="inlineStr">
        <is>
          <t>Duct bank</t>
        </is>
      </c>
      <c r="T5435" s="16" t="n">
        <v>1304</v>
      </c>
      <c r="U5435" s="16" t="n">
        <v>57</v>
      </c>
      <c r="V5435" s="16">
        <f>ROUNDUP((T5435+U5435+2*'Read Me'!$B$13)*(1+'Read Me'!$B$12),-1)</f>
        <v/>
      </c>
      <c r="W5435" s="16">
        <f>V5435*N5435*O5435</f>
        <v/>
      </c>
      <c r="X5435" s="12">
        <f>IF(LEFT(I5435,2)="MV",2*N5435*IF(L5435="1/C",O5435,1),0)</f>
        <v/>
      </c>
      <c r="Y5435" s="12">
        <f>IF(OR(LEFT(K5435,4)="LVAX",LEFT(K5435,6)="MV15AX",LEFT(K5435,4)="CTAX",LEFT(K5435,2)="W|"),2*N5435*O5435,0)</f>
        <v/>
      </c>
      <c r="Z5435" s="12" t="inlineStr">
        <is>
          <t>VD 2.6 %</t>
        </is>
      </c>
      <c r="AA5435" s="12">
        <f>N5435*O5435</f>
        <v/>
      </c>
    </row>
    <row r="5436">
      <c r="A5436" s="12" t="inlineStr">
        <is>
          <t>I-P-0317</t>
        </is>
      </c>
      <c r="B5436" s="12" t="inlineStr">
        <is>
          <t>I</t>
        </is>
      </c>
      <c r="C5436" s="12" t="inlineStr">
        <is>
          <t>Modular / portable power</t>
        </is>
      </c>
      <c r="D5436" s="12" t="inlineStr">
        <is>
          <t>Motor 3 of 6, 22 kW</t>
        </is>
      </c>
      <c r="E5436" s="12" t="inlineStr"/>
      <c r="F5436" s="12" t="inlineStr">
        <is>
          <t>MOD-LV 480 V board + 480 V : 13.8 kV step-up</t>
        </is>
      </c>
      <c r="G5436" s="12" t="inlineStr">
        <is>
          <t>TM-2</t>
        </is>
      </c>
      <c r="H5436" s="12" t="inlineStr">
        <is>
          <t>TM-2: trailer-mounted aeroderivative GT (TM2500 class, ~35 MW)</t>
        </is>
      </c>
      <c r="I5436" s="12" t="inlineStr">
        <is>
          <t>LV 600 V</t>
        </is>
      </c>
      <c r="J5436" s="12" t="inlineStr">
        <is>
          <t>Type TC-ER 600 V 3/C Cu XHHW-2 + ground, PVC jacket</t>
        </is>
      </c>
      <c r="K5436" s="12" t="inlineStr">
        <is>
          <t>LV|3/C+G|1</t>
        </is>
      </c>
      <c r="L5436" s="12" t="inlineStr">
        <is>
          <t>3/C+G</t>
        </is>
      </c>
      <c r="M5436" s="12" t="inlineStr">
        <is>
          <t>1</t>
        </is>
      </c>
      <c r="N5436" s="12" t="n">
        <v>1</v>
      </c>
      <c r="O5436" s="12" t="n">
        <v>1</v>
      </c>
      <c r="P5436" s="12" t="n">
        <v>480</v>
      </c>
      <c r="Q5436" s="12" t="n">
        <v>22</v>
      </c>
      <c r="R5436" s="12" t="n">
        <v>31.1</v>
      </c>
      <c r="S5436" s="12" t="inlineStr">
        <is>
          <t>Duct bank</t>
        </is>
      </c>
      <c r="T5436" s="16" t="n">
        <v>1304</v>
      </c>
      <c r="U5436" s="16" t="n">
        <v>57</v>
      </c>
      <c r="V5436" s="16">
        <f>ROUNDUP((T5436+U5436+2*'Read Me'!$B$13)*(1+'Read Me'!$B$12),-1)</f>
        <v/>
      </c>
      <c r="W5436" s="16">
        <f>V5436*N5436*O5436</f>
        <v/>
      </c>
      <c r="X5436" s="12">
        <f>IF(LEFT(I5436,2)="MV",2*N5436*IF(L5436="1/C",O5436,1),0)</f>
        <v/>
      </c>
      <c r="Y5436" s="12">
        <f>IF(OR(LEFT(K5436,4)="LVAX",LEFT(K5436,6)="MV15AX",LEFT(K5436,4)="CTAX",LEFT(K5436,2)="W|"),2*N5436*O5436,0)</f>
        <v/>
      </c>
      <c r="Z5436" s="12" t="inlineStr">
        <is>
          <t>VD 2.6 %</t>
        </is>
      </c>
      <c r="AA5436" s="12">
        <f>N5436*O5436</f>
        <v/>
      </c>
    </row>
    <row r="5437">
      <c r="A5437" s="12" t="inlineStr">
        <is>
          <t>I-P-0318</t>
        </is>
      </c>
      <c r="B5437" s="12" t="inlineStr">
        <is>
          <t>I</t>
        </is>
      </c>
      <c r="C5437" s="12" t="inlineStr">
        <is>
          <t>Modular / portable power</t>
        </is>
      </c>
      <c r="D5437" s="12" t="inlineStr">
        <is>
          <t>Motor 4 of 6, 22 kW</t>
        </is>
      </c>
      <c r="E5437" s="12" t="inlineStr"/>
      <c r="F5437" s="12" t="inlineStr">
        <is>
          <t>MOD-LV 480 V board + 480 V : 13.8 kV step-up</t>
        </is>
      </c>
      <c r="G5437" s="12" t="inlineStr">
        <is>
          <t>TM-2</t>
        </is>
      </c>
      <c r="H5437" s="12" t="inlineStr">
        <is>
          <t>TM-2: trailer-mounted aeroderivative GT (TM2500 class, ~35 MW)</t>
        </is>
      </c>
      <c r="I5437" s="12" t="inlineStr">
        <is>
          <t>LV 600 V</t>
        </is>
      </c>
      <c r="J5437" s="12" t="inlineStr">
        <is>
          <t>Type TC-ER 600 V 3/C Cu XHHW-2 + ground, PVC jacket</t>
        </is>
      </c>
      <c r="K5437" s="12" t="inlineStr">
        <is>
          <t>LV|3/C+G|1</t>
        </is>
      </c>
      <c r="L5437" s="12" t="inlineStr">
        <is>
          <t>3/C+G</t>
        </is>
      </c>
      <c r="M5437" s="12" t="inlineStr">
        <is>
          <t>1</t>
        </is>
      </c>
      <c r="N5437" s="12" t="n">
        <v>1</v>
      </c>
      <c r="O5437" s="12" t="n">
        <v>1</v>
      </c>
      <c r="P5437" s="12" t="n">
        <v>480</v>
      </c>
      <c r="Q5437" s="12" t="n">
        <v>22</v>
      </c>
      <c r="R5437" s="12" t="n">
        <v>31.1</v>
      </c>
      <c r="S5437" s="12" t="inlineStr">
        <is>
          <t>Duct bank</t>
        </is>
      </c>
      <c r="T5437" s="16" t="n">
        <v>1304</v>
      </c>
      <c r="U5437" s="16" t="n">
        <v>57</v>
      </c>
      <c r="V5437" s="16">
        <f>ROUNDUP((T5437+U5437+2*'Read Me'!$B$13)*(1+'Read Me'!$B$12),-1)</f>
        <v/>
      </c>
      <c r="W5437" s="16">
        <f>V5437*N5437*O5437</f>
        <v/>
      </c>
      <c r="X5437" s="12">
        <f>IF(LEFT(I5437,2)="MV",2*N5437*IF(L5437="1/C",O5437,1),0)</f>
        <v/>
      </c>
      <c r="Y5437" s="12">
        <f>IF(OR(LEFT(K5437,4)="LVAX",LEFT(K5437,6)="MV15AX",LEFT(K5437,4)="CTAX",LEFT(K5437,2)="W|"),2*N5437*O5437,0)</f>
        <v/>
      </c>
      <c r="Z5437" s="12" t="inlineStr">
        <is>
          <t>VD 2.6 %</t>
        </is>
      </c>
      <c r="AA5437" s="12">
        <f>N5437*O5437</f>
        <v/>
      </c>
    </row>
    <row r="5438">
      <c r="A5438" s="12" t="inlineStr">
        <is>
          <t>I-P-0319</t>
        </is>
      </c>
      <c r="B5438" s="12" t="inlineStr">
        <is>
          <t>I</t>
        </is>
      </c>
      <c r="C5438" s="12" t="inlineStr">
        <is>
          <t>Modular / portable power</t>
        </is>
      </c>
      <c r="D5438" s="12" t="inlineStr">
        <is>
          <t>Motor 5 of 6, 22 kW</t>
        </is>
      </c>
      <c r="E5438" s="12" t="inlineStr"/>
      <c r="F5438" s="12" t="inlineStr">
        <is>
          <t>MOD-LV 480 V board + 480 V : 13.8 kV step-up</t>
        </is>
      </c>
      <c r="G5438" s="12" t="inlineStr">
        <is>
          <t>TM-2</t>
        </is>
      </c>
      <c r="H5438" s="12" t="inlineStr">
        <is>
          <t>TM-2: trailer-mounted aeroderivative GT (TM2500 class, ~35 MW)</t>
        </is>
      </c>
      <c r="I5438" s="12" t="inlineStr">
        <is>
          <t>LV 600 V</t>
        </is>
      </c>
      <c r="J5438" s="12" t="inlineStr">
        <is>
          <t>Type TC-ER 600 V 3/C Cu XHHW-2 + ground, PVC jacket</t>
        </is>
      </c>
      <c r="K5438" s="12" t="inlineStr">
        <is>
          <t>LV|3/C+G|1</t>
        </is>
      </c>
      <c r="L5438" s="12" t="inlineStr">
        <is>
          <t>3/C+G</t>
        </is>
      </c>
      <c r="M5438" s="12" t="inlineStr">
        <is>
          <t>1</t>
        </is>
      </c>
      <c r="N5438" s="12" t="n">
        <v>1</v>
      </c>
      <c r="O5438" s="12" t="n">
        <v>1</v>
      </c>
      <c r="P5438" s="12" t="n">
        <v>480</v>
      </c>
      <c r="Q5438" s="12" t="n">
        <v>22</v>
      </c>
      <c r="R5438" s="12" t="n">
        <v>31.1</v>
      </c>
      <c r="S5438" s="12" t="inlineStr">
        <is>
          <t>Duct bank</t>
        </is>
      </c>
      <c r="T5438" s="16" t="n">
        <v>1304</v>
      </c>
      <c r="U5438" s="16" t="n">
        <v>57</v>
      </c>
      <c r="V5438" s="16">
        <f>ROUNDUP((T5438+U5438+2*'Read Me'!$B$13)*(1+'Read Me'!$B$12),-1)</f>
        <v/>
      </c>
      <c r="W5438" s="16">
        <f>V5438*N5438*O5438</f>
        <v/>
      </c>
      <c r="X5438" s="12">
        <f>IF(LEFT(I5438,2)="MV",2*N5438*IF(L5438="1/C",O5438,1),0)</f>
        <v/>
      </c>
      <c r="Y5438" s="12">
        <f>IF(OR(LEFT(K5438,4)="LVAX",LEFT(K5438,6)="MV15AX",LEFT(K5438,4)="CTAX",LEFT(K5438,2)="W|"),2*N5438*O5438,0)</f>
        <v/>
      </c>
      <c r="Z5438" s="12" t="inlineStr">
        <is>
          <t>VD 2.6 %</t>
        </is>
      </c>
      <c r="AA5438" s="12">
        <f>N5438*O5438</f>
        <v/>
      </c>
    </row>
    <row r="5439">
      <c r="A5439" s="12" t="inlineStr">
        <is>
          <t>I-P-0320</t>
        </is>
      </c>
      <c r="B5439" s="12" t="inlineStr">
        <is>
          <t>I</t>
        </is>
      </c>
      <c r="C5439" s="12" t="inlineStr">
        <is>
          <t>Modular / portable power</t>
        </is>
      </c>
      <c r="D5439" s="12" t="inlineStr">
        <is>
          <t>Motor 6 of 6, 22 kW</t>
        </is>
      </c>
      <c r="E5439" s="12" t="inlineStr"/>
      <c r="F5439" s="12" t="inlineStr">
        <is>
          <t>MOD-LV 480 V board + 480 V : 13.8 kV step-up</t>
        </is>
      </c>
      <c r="G5439" s="12" t="inlineStr">
        <is>
          <t>TM-2</t>
        </is>
      </c>
      <c r="H5439" s="12" t="inlineStr">
        <is>
          <t>TM-2: trailer-mounted aeroderivative GT (TM2500 class, ~35 MW)</t>
        </is>
      </c>
      <c r="I5439" s="12" t="inlineStr">
        <is>
          <t>LV 600 V</t>
        </is>
      </c>
      <c r="J5439" s="12" t="inlineStr">
        <is>
          <t>Type TC-ER 600 V 3/C Cu XHHW-2 + ground, PVC jacket</t>
        </is>
      </c>
      <c r="K5439" s="12" t="inlineStr">
        <is>
          <t>LV|3/C+G|1</t>
        </is>
      </c>
      <c r="L5439" s="12" t="inlineStr">
        <is>
          <t>3/C+G</t>
        </is>
      </c>
      <c r="M5439" s="12" t="inlineStr">
        <is>
          <t>1</t>
        </is>
      </c>
      <c r="N5439" s="12" t="n">
        <v>1</v>
      </c>
      <c r="O5439" s="12" t="n">
        <v>1</v>
      </c>
      <c r="P5439" s="12" t="n">
        <v>480</v>
      </c>
      <c r="Q5439" s="12" t="n">
        <v>22</v>
      </c>
      <c r="R5439" s="12" t="n">
        <v>31.1</v>
      </c>
      <c r="S5439" s="12" t="inlineStr">
        <is>
          <t>Duct bank</t>
        </is>
      </c>
      <c r="T5439" s="16" t="n">
        <v>1304</v>
      </c>
      <c r="U5439" s="16" t="n">
        <v>57</v>
      </c>
      <c r="V5439" s="16">
        <f>ROUNDUP((T5439+U5439+2*'Read Me'!$B$13)*(1+'Read Me'!$B$12),-1)</f>
        <v/>
      </c>
      <c r="W5439" s="16">
        <f>V5439*N5439*O5439</f>
        <v/>
      </c>
      <c r="X5439" s="12">
        <f>IF(LEFT(I5439,2)="MV",2*N5439*IF(L5439="1/C",O5439,1),0)</f>
        <v/>
      </c>
      <c r="Y5439" s="12">
        <f>IF(OR(LEFT(K5439,4)="LVAX",LEFT(K5439,6)="MV15AX",LEFT(K5439,4)="CTAX",LEFT(K5439,2)="W|"),2*N5439*O5439,0)</f>
        <v/>
      </c>
      <c r="Z5439" s="12" t="inlineStr">
        <is>
          <t>VD 2.6 %</t>
        </is>
      </c>
      <c r="AA5439" s="12">
        <f>N5439*O5439</f>
        <v/>
      </c>
    </row>
    <row r="5440">
      <c r="A5440" s="12" t="inlineStr">
        <is>
          <t>I-P-0321</t>
        </is>
      </c>
      <c r="B5440" s="12" t="inlineStr">
        <is>
          <t>I</t>
        </is>
      </c>
      <c r="C5440" s="12" t="inlineStr">
        <is>
          <t>Modular / portable power</t>
        </is>
      </c>
      <c r="D5440" s="12" t="inlineStr">
        <is>
          <t>Motor 1 of 2, 75 kW</t>
        </is>
      </c>
      <c r="E5440" s="12" t="inlineStr"/>
      <c r="F5440" s="12" t="inlineStr">
        <is>
          <t>SC-2 PCM + 15 kV GCB</t>
        </is>
      </c>
      <c r="G5440" s="12" t="inlineStr"/>
      <c r="H5440" s="12" t="inlineStr">
        <is>
          <t>Water-injection skid</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75</v>
      </c>
      <c r="R5440" s="12" t="n">
        <v>106.1</v>
      </c>
      <c r="S5440" s="12" t="inlineStr">
        <is>
          <t>Tray</t>
        </is>
      </c>
      <c r="T5440" s="16" t="n">
        <v>0</v>
      </c>
      <c r="U5440" s="16" t="n">
        <v>60</v>
      </c>
      <c r="V5440" s="16">
        <f>ROUNDUP((T5440+U5440+2*'Read Me'!$B$13)*(1+'Read Me'!$B$12),-1)</f>
        <v/>
      </c>
      <c r="W5440" s="16">
        <f>V5440*N5440*O5440</f>
        <v/>
      </c>
      <c r="X5440" s="12">
        <f>IF(LEFT(I5440,2)="MV",2*N5440*IF(L5440="1/C",O5440,1),0)</f>
        <v/>
      </c>
      <c r="Y5440" s="12">
        <f>IF(OR(LEFT(K5440,4)="LVAX",LEFT(K5440,6)="MV15AX",LEFT(K5440,4)="CTAX",LEFT(K5440,2)="W|"),2*N5440*O5440,0)</f>
        <v/>
      </c>
      <c r="Z5440" s="12" t="inlineStr">
        <is>
          <t>VD 0.3 %</t>
        </is>
      </c>
      <c r="AA5440" s="12">
        <f>N5440*O5440</f>
        <v/>
      </c>
    </row>
    <row r="5441">
      <c r="A5441" s="12" t="inlineStr">
        <is>
          <t>I-P-0322</t>
        </is>
      </c>
      <c r="B5441" s="12" t="inlineStr">
        <is>
          <t>I</t>
        </is>
      </c>
      <c r="C5441" s="12" t="inlineStr">
        <is>
          <t>Modular / portable power</t>
        </is>
      </c>
      <c r="D5441" s="12" t="inlineStr">
        <is>
          <t>Motor 2 of 2, 75 kW</t>
        </is>
      </c>
      <c r="E5441" s="12" t="inlineStr"/>
      <c r="F5441" s="12" t="inlineStr">
        <is>
          <t>SC-2 PCM + 15 kV GCB</t>
        </is>
      </c>
      <c r="G5441" s="12" t="inlineStr"/>
      <c r="H5441" s="12" t="inlineStr">
        <is>
          <t>Water-injection skid</t>
        </is>
      </c>
      <c r="I5441" s="12" t="inlineStr">
        <is>
          <t>LV 600 V</t>
        </is>
      </c>
      <c r="J5441" s="12" t="inlineStr">
        <is>
          <t>Type TC-ER 600 V 3/C Cu XHHW-2 + ground, PVC jacket</t>
        </is>
      </c>
      <c r="K5441" s="12" t="inlineStr">
        <is>
          <t>LV|3/C+G|1/0</t>
        </is>
      </c>
      <c r="L5441" s="12" t="inlineStr">
        <is>
          <t>3/C+G</t>
        </is>
      </c>
      <c r="M5441" s="12" t="inlineStr">
        <is>
          <t>1/0</t>
        </is>
      </c>
      <c r="N5441" s="12" t="n">
        <v>1</v>
      </c>
      <c r="O5441" s="12" t="n">
        <v>1</v>
      </c>
      <c r="P5441" s="12" t="n">
        <v>480</v>
      </c>
      <c r="Q5441" s="12" t="n">
        <v>75</v>
      </c>
      <c r="R5441" s="12" t="n">
        <v>106.1</v>
      </c>
      <c r="S5441" s="12" t="inlineStr">
        <is>
          <t>Tray</t>
        </is>
      </c>
      <c r="T5441" s="16" t="n">
        <v>0</v>
      </c>
      <c r="U5441" s="16" t="n">
        <v>60</v>
      </c>
      <c r="V5441" s="16">
        <f>ROUNDUP((T5441+U5441+2*'Read Me'!$B$13)*(1+'Read Me'!$B$12),-1)</f>
        <v/>
      </c>
      <c r="W5441" s="16">
        <f>V5441*N5441*O5441</f>
        <v/>
      </c>
      <c r="X5441" s="12">
        <f>IF(LEFT(I5441,2)="MV",2*N5441*IF(L5441="1/C",O5441,1),0)</f>
        <v/>
      </c>
      <c r="Y5441" s="12">
        <f>IF(OR(LEFT(K5441,4)="LVAX",LEFT(K5441,6)="MV15AX",LEFT(K5441,4)="CTAX",LEFT(K5441,2)="W|"),2*N5441*O5441,0)</f>
        <v/>
      </c>
      <c r="Z5441" s="12" t="inlineStr">
        <is>
          <t>VD 0.3 %</t>
        </is>
      </c>
      <c r="AA5441" s="12">
        <f>N5441*O5441</f>
        <v/>
      </c>
    </row>
    <row r="5442">
      <c r="A5442" s="12" t="inlineStr">
        <is>
          <t>I-MV-0001</t>
        </is>
      </c>
      <c r="B5442" s="12" t="inlineStr">
        <is>
          <t>I</t>
        </is>
      </c>
      <c r="C5442" s="12" t="inlineStr">
        <is>
          <t>Modular / portable power</t>
        </is>
      </c>
      <c r="D5442" s="12" t="inlineStr">
        <is>
          <t>Modular-yard fuel-gas compressor</t>
        </is>
      </c>
      <c r="E5442" s="12" t="inlineStr">
        <is>
          <t>MOD-EH</t>
        </is>
      </c>
      <c r="F5442" s="12" t="inlineStr">
        <is>
          <t>MOD-EH: 13.8 kV modular collector e-house</t>
        </is>
      </c>
      <c r="G5442" s="12" t="inlineStr"/>
      <c r="H5442" s="12" t="inlineStr">
        <is>
          <t>Fuel-gas compressors 3 x 100% electric</t>
        </is>
      </c>
      <c r="I5442" s="12" t="inlineStr">
        <is>
          <t>MV 15 kV</t>
        </is>
      </c>
      <c r="J5442" s="12" t="inlineStr">
        <is>
          <t>ARMOR-X MC-HL / MV-105 15 kV 3/C Cu, EPR 133%, tape shield, gnd, CWA, red PVC</t>
        </is>
      </c>
      <c r="K5442" s="12" t="inlineStr">
        <is>
          <t>MV15AX|3/C|2</t>
        </is>
      </c>
      <c r="L5442" s="12" t="inlineStr">
        <is>
          <t>3/C</t>
        </is>
      </c>
      <c r="M5442" s="12" t="inlineStr">
        <is>
          <t>2</t>
        </is>
      </c>
      <c r="N5442" s="12" t="n">
        <v>1</v>
      </c>
      <c r="O5442" s="12" t="n">
        <v>1</v>
      </c>
      <c r="P5442" s="12" t="n">
        <v>13800</v>
      </c>
      <c r="Q5442" s="12" t="n">
        <v>1500</v>
      </c>
      <c r="R5442" s="12" t="n">
        <v>70</v>
      </c>
      <c r="S5442" s="12" t="inlineStr">
        <is>
          <t>HV duct bank</t>
        </is>
      </c>
      <c r="T5442" s="16" t="n">
        <v>3140</v>
      </c>
      <c r="U5442" s="16" t="n">
        <v>128</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I-MV-0002</t>
        </is>
      </c>
      <c r="B5443" s="12" t="inlineStr">
        <is>
          <t>I</t>
        </is>
      </c>
      <c r="C5443" s="12" t="inlineStr">
        <is>
          <t>Modular / portable power</t>
        </is>
      </c>
      <c r="D5443" s="12" t="inlineStr">
        <is>
          <t>Modular-yard fuel-gas compressor</t>
        </is>
      </c>
      <c r="E5443" s="12" t="inlineStr">
        <is>
          <t>MOD-EH</t>
        </is>
      </c>
      <c r="F5443" s="12" t="inlineStr">
        <is>
          <t>MOD-EH: 13.8 kV modular collector e-house</t>
        </is>
      </c>
      <c r="G5443" s="12" t="inlineStr"/>
      <c r="H5443" s="12" t="inlineStr">
        <is>
          <t>Fuel-gas compressors 3 x 100% electric</t>
        </is>
      </c>
      <c r="I5443" s="12" t="inlineStr">
        <is>
          <t>MV 15 kV</t>
        </is>
      </c>
      <c r="J5443" s="12" t="inlineStr">
        <is>
          <t>ARMOR-X MC-HL / MV-105 15 kV 3/C Cu, EPR 133%, tape shield, gnd, CWA, red PVC</t>
        </is>
      </c>
      <c r="K5443" s="12" t="inlineStr">
        <is>
          <t>MV15AX|3/C|2</t>
        </is>
      </c>
      <c r="L5443" s="12" t="inlineStr">
        <is>
          <t>3/C</t>
        </is>
      </c>
      <c r="M5443" s="12" t="inlineStr">
        <is>
          <t>2</t>
        </is>
      </c>
      <c r="N5443" s="12" t="n">
        <v>1</v>
      </c>
      <c r="O5443" s="12" t="n">
        <v>1</v>
      </c>
      <c r="P5443" s="12" t="n">
        <v>13800</v>
      </c>
      <c r="Q5443" s="12" t="n">
        <v>1500</v>
      </c>
      <c r="R5443" s="12" t="n">
        <v>70</v>
      </c>
      <c r="S5443" s="12" t="inlineStr">
        <is>
          <t>HV duct bank</t>
        </is>
      </c>
      <c r="T5443" s="16" t="n">
        <v>3140</v>
      </c>
      <c r="U5443" s="16" t="n">
        <v>128</v>
      </c>
      <c r="V5443" s="16">
        <f>ROUNDUP((T5443+U5443+2*'Read Me'!$B$13)*(1+'Read Me'!$B$12),-1)</f>
        <v/>
      </c>
      <c r="W5443" s="16">
        <f>V5443*N5443*O5443</f>
        <v/>
      </c>
      <c r="X5443" s="12">
        <f>IF(LEFT(I5443,2)="MV",2*N5443*IF(L5443="1/C",O5443,1),0)</f>
        <v/>
      </c>
      <c r="Y5443" s="12">
        <f>IF(OR(LEFT(K5443,4)="LVAX",LEFT(K5443,6)="MV15AX",LEFT(K5443,4)="CTAX",LEFT(K5443,2)="W|"),2*N5443*O5443,0)</f>
        <v/>
      </c>
      <c r="Z5443" s="12" t="inlineStr"/>
      <c r="AA5443" s="12">
        <f>N5443*O5443</f>
        <v/>
      </c>
    </row>
    <row r="5444">
      <c r="A5444" s="12" t="inlineStr">
        <is>
          <t>I-MV-0003</t>
        </is>
      </c>
      <c r="B5444" s="12" t="inlineStr">
        <is>
          <t>I</t>
        </is>
      </c>
      <c r="C5444" s="12" t="inlineStr">
        <is>
          <t>Modular / portable power</t>
        </is>
      </c>
      <c r="D5444" s="12" t="inlineStr">
        <is>
          <t>Modular-yard fuel-gas compressor</t>
        </is>
      </c>
      <c r="E5444" s="12" t="inlineStr">
        <is>
          <t>MOD-EH</t>
        </is>
      </c>
      <c r="F5444" s="12" t="inlineStr">
        <is>
          <t>MOD-EH: 13.8 kV modular collector e-house</t>
        </is>
      </c>
      <c r="G5444" s="12" t="inlineStr"/>
      <c r="H5444" s="12" t="inlineStr">
        <is>
          <t>Fuel-gas compressors 3 x 100% electric</t>
        </is>
      </c>
      <c r="I5444" s="12" t="inlineStr">
        <is>
          <t>MV 15 kV</t>
        </is>
      </c>
      <c r="J5444" s="12" t="inlineStr">
        <is>
          <t>ARMOR-X MC-HL / MV-105 15 kV 3/C Cu, EPR 133%, tape shield, gnd, CWA, red PVC</t>
        </is>
      </c>
      <c r="K5444" s="12" t="inlineStr">
        <is>
          <t>MV15AX|3/C|2</t>
        </is>
      </c>
      <c r="L5444" s="12" t="inlineStr">
        <is>
          <t>3/C</t>
        </is>
      </c>
      <c r="M5444" s="12" t="inlineStr">
        <is>
          <t>2</t>
        </is>
      </c>
      <c r="N5444" s="12" t="n">
        <v>1</v>
      </c>
      <c r="O5444" s="12" t="n">
        <v>1</v>
      </c>
      <c r="P5444" s="12" t="n">
        <v>13800</v>
      </c>
      <c r="Q5444" s="12" t="n">
        <v>1500</v>
      </c>
      <c r="R5444" s="12" t="n">
        <v>70</v>
      </c>
      <c r="S5444" s="12" t="inlineStr">
        <is>
          <t>HV duct bank</t>
        </is>
      </c>
      <c r="T5444" s="16" t="n">
        <v>3140</v>
      </c>
      <c r="U5444" s="16" t="n">
        <v>128</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I-MV-0004</t>
        </is>
      </c>
      <c r="B5445" s="12" t="inlineStr">
        <is>
          <t>I</t>
        </is>
      </c>
      <c r="C5445" s="12" t="inlineStr">
        <is>
          <t>Modular / portable power</t>
        </is>
      </c>
      <c r="D5445" s="12" t="inlineStr">
        <is>
          <t>SC-1 PCM to MOD-EH</t>
        </is>
      </c>
      <c r="E5445" s="12" t="inlineStr"/>
      <c r="F5445" s="12" t="inlineStr">
        <is>
          <t>SC-1 PCM + 15 kV GCB</t>
        </is>
      </c>
      <c r="G5445" s="12" t="inlineStr">
        <is>
          <t>MOD-EH</t>
        </is>
      </c>
      <c r="H5445" s="12" t="inlineStr">
        <is>
          <t>MOD-EH: 13.8 kV modular collector e-house</t>
        </is>
      </c>
      <c r="I5445" s="12" t="inlineStr">
        <is>
          <t>MV 15 kV</t>
        </is>
      </c>
      <c r="J5445" s="12" t="inlineStr">
        <is>
          <t>MV-105 15 kV 1/C Cu, EPR 133%, Cu tape shield, PVC jacket (triplexed)</t>
        </is>
      </c>
      <c r="K5445" s="12" t="inlineStr">
        <is>
          <t>MV15|1/C|750</t>
        </is>
      </c>
      <c r="L5445" s="12" t="inlineStr">
        <is>
          <t>1/C</t>
        </is>
      </c>
      <c r="M5445" s="12" t="inlineStr">
        <is>
          <t>750 kcmil</t>
        </is>
      </c>
      <c r="N5445" s="12" t="n">
        <v>5</v>
      </c>
      <c r="O5445" s="12" t="n">
        <v>3</v>
      </c>
      <c r="P5445" s="12" t="n">
        <v>13800</v>
      </c>
      <c r="Q5445" s="12" t="n">
        <v>50000</v>
      </c>
      <c r="R5445" s="12" t="n">
        <v>2092</v>
      </c>
      <c r="S5445" s="12" t="inlineStr">
        <is>
          <t>Duct bank</t>
        </is>
      </c>
      <c r="T5445" s="16" t="n">
        <v>397</v>
      </c>
      <c r="U5445" s="16" t="n">
        <v>32</v>
      </c>
      <c r="V5445" s="16">
        <f>ROUNDUP((T5445+U5445+2*'Read Me'!$B$13)*(1+'Read Me'!$B$12),-1)</f>
        <v/>
      </c>
      <c r="W5445" s="16">
        <f>V5445*N5445*O5445</f>
        <v/>
      </c>
      <c r="X5445" s="12">
        <f>IF(LEFT(I5445,2)="MV",2*N5445*IF(L5445="1/C",O5445,1),0)</f>
        <v/>
      </c>
      <c r="Y5445" s="12">
        <f>IF(OR(LEFT(K5445,4)="LVAX",LEFT(K5445,6)="MV15AX",LEFT(K5445,4)="CTAX",LEFT(K5445,2)="W|"),2*N5445*O5445,0)</f>
        <v/>
      </c>
      <c r="Z5445" s="12" t="inlineStr"/>
      <c r="AA5445" s="12">
        <f>N5445*O5445</f>
        <v/>
      </c>
    </row>
    <row r="5446">
      <c r="A5446" s="12" t="inlineStr">
        <is>
          <t>I-MV-0005</t>
        </is>
      </c>
      <c r="B5446" s="12" t="inlineStr">
        <is>
          <t>I</t>
        </is>
      </c>
      <c r="C5446" s="12" t="inlineStr">
        <is>
          <t>Modular / portable power</t>
        </is>
      </c>
      <c r="D5446" s="12" t="inlineStr">
        <is>
          <t>SC-2 PCM to MOD-EH</t>
        </is>
      </c>
      <c r="E5446" s="12" t="inlineStr"/>
      <c r="F5446" s="12" t="inlineStr">
        <is>
          <t>SC-2 PCM + 15 kV GCB</t>
        </is>
      </c>
      <c r="G5446" s="12" t="inlineStr">
        <is>
          <t>MOD-EH</t>
        </is>
      </c>
      <c r="H5446" s="12" t="inlineStr">
        <is>
          <t>MOD-EH: 13.8 kV modular collector e-house</t>
        </is>
      </c>
      <c r="I5446" s="12" t="inlineStr">
        <is>
          <t>MV 15 kV</t>
        </is>
      </c>
      <c r="J5446" s="12" t="inlineStr">
        <is>
          <t>MV-105 15 kV 1/C Cu, EPR 133%, Cu tape shield, PVC jacket (triplexed)</t>
        </is>
      </c>
      <c r="K5446" s="12" t="inlineStr">
        <is>
          <t>MV15|1/C|750</t>
        </is>
      </c>
      <c r="L5446" s="12" t="inlineStr">
        <is>
          <t>1/C</t>
        </is>
      </c>
      <c r="M5446" s="12" t="inlineStr">
        <is>
          <t>750 kcmil</t>
        </is>
      </c>
      <c r="N5446" s="12" t="n">
        <v>5</v>
      </c>
      <c r="O5446" s="12" t="n">
        <v>3</v>
      </c>
      <c r="P5446" s="12" t="n">
        <v>13800</v>
      </c>
      <c r="Q5446" s="12" t="n">
        <v>50000</v>
      </c>
      <c r="R5446" s="12" t="n">
        <v>2092</v>
      </c>
      <c r="S5446" s="12" t="inlineStr">
        <is>
          <t>HV duct bank</t>
        </is>
      </c>
      <c r="T5446" s="16" t="n">
        <v>3141</v>
      </c>
      <c r="U5446" s="16" t="n">
        <v>52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I-MV-0006</t>
        </is>
      </c>
      <c r="B5447" s="12" t="inlineStr">
        <is>
          <t>I</t>
        </is>
      </c>
      <c r="C5447" s="12" t="inlineStr">
        <is>
          <t>Modular / portable power</t>
        </is>
      </c>
      <c r="D5447" s="12" t="inlineStr">
        <is>
          <t>MOD-LV step-up to MOD-EH</t>
        </is>
      </c>
      <c r="E5447" s="12" t="inlineStr"/>
      <c r="F5447" s="12" t="inlineStr">
        <is>
          <t>MOD-LV 480 V board + 480 V : 13.8 kV step-up</t>
        </is>
      </c>
      <c r="G5447" s="12" t="inlineStr">
        <is>
          <t>MOD-EH</t>
        </is>
      </c>
      <c r="H5447" s="12" t="inlineStr">
        <is>
          <t>MOD-EH: 13.8 kV modular collector e-house</t>
        </is>
      </c>
      <c r="I5447" s="12" t="inlineStr">
        <is>
          <t>MV 15 kV</t>
        </is>
      </c>
      <c r="J5447" s="12" t="inlineStr">
        <is>
          <t>MV-105 15 kV 1/C Cu, EPR 133%, Cu tape shield, PVC jacket (triplexed)</t>
        </is>
      </c>
      <c r="K5447" s="12" t="inlineStr">
        <is>
          <t>MV15|1/C|500</t>
        </is>
      </c>
      <c r="L5447" s="12" t="inlineStr">
        <is>
          <t>1/C</t>
        </is>
      </c>
      <c r="M5447" s="12" t="inlineStr">
        <is>
          <t>500 kcmil</t>
        </is>
      </c>
      <c r="N5447" s="12" t="n">
        <v>1</v>
      </c>
      <c r="O5447" s="12" t="n">
        <v>3</v>
      </c>
      <c r="P5447" s="12" t="n">
        <v>13800</v>
      </c>
      <c r="Q5447" s="12" t="n">
        <v>7500</v>
      </c>
      <c r="R5447" s="12" t="n">
        <v>314</v>
      </c>
      <c r="S5447" s="12" t="inlineStr">
        <is>
          <t>Duct bank</t>
        </is>
      </c>
      <c r="T5447" s="16" t="n">
        <v>350</v>
      </c>
      <c r="U5447" s="16" t="n">
        <v>32</v>
      </c>
      <c r="V5447" s="16">
        <f>ROUNDUP((T5447+U5447+2*'Read Me'!$B$13)*(1+'Read Me'!$B$12),-1)</f>
        <v/>
      </c>
      <c r="W5447" s="16">
        <f>V5447*N5447*O5447</f>
        <v/>
      </c>
      <c r="X5447" s="12">
        <f>IF(LEFT(I5447,2)="MV",2*N5447*IF(L5447="1/C",O5447,1),0)</f>
        <v/>
      </c>
      <c r="Y5447" s="12">
        <f>IF(OR(LEFT(K5447,4)="LVAX",LEFT(K5447,6)="MV15AX",LEFT(K5447,4)="CTAX",LEFT(K5447,2)="W|"),2*N5447*O5447,0)</f>
        <v/>
      </c>
      <c r="Z5447" s="12" t="inlineStr"/>
      <c r="AA5447" s="12">
        <f>N5447*O5447</f>
        <v/>
      </c>
    </row>
    <row r="5448">
      <c r="A5448" s="12" t="inlineStr">
        <is>
          <t>I-MV-0007</t>
        </is>
      </c>
      <c r="B5448" s="12" t="inlineStr">
        <is>
          <t>I</t>
        </is>
      </c>
      <c r="C5448" s="12" t="inlineStr">
        <is>
          <t>Modular / portable power</t>
        </is>
      </c>
      <c r="D5448" s="12" t="inlineStr">
        <is>
          <t>CONT-3 13.8 kV to PAD-EH (extension section, ground tray)</t>
        </is>
      </c>
      <c r="E5448" s="12" t="inlineStr">
        <is>
          <t>CONT-3</t>
        </is>
      </c>
      <c r="F5448" s="12" t="inlineStr">
        <is>
          <t>CONT-3: containerized gas genset 13.8 kV (40 ft)</t>
        </is>
      </c>
      <c r="G5448" s="12" t="inlineStr">
        <is>
          <t>PAD-EH</t>
        </is>
      </c>
      <c r="H5448" s="12" t="inlineStr">
        <is>
          <t>PAD-EH 13.8 kV switchgear e-house</t>
        </is>
      </c>
      <c r="I5448" s="12" t="inlineStr">
        <is>
          <t>MV 15 kV</t>
        </is>
      </c>
      <c r="J5448" s="12" t="inlineStr">
        <is>
          <t>MV-105 15 kV 1/C Cu, EPR 133%, Cu tape shield, PVC jacket (triplexed)</t>
        </is>
      </c>
      <c r="K5448" s="12" t="inlineStr">
        <is>
          <t>MV15|1/C|2</t>
        </is>
      </c>
      <c r="L5448" s="12" t="inlineStr">
        <is>
          <t>1/C</t>
        </is>
      </c>
      <c r="M5448" s="12" t="inlineStr">
        <is>
          <t>2</t>
        </is>
      </c>
      <c r="N5448" s="12" t="n">
        <v>1</v>
      </c>
      <c r="O5448" s="12" t="n">
        <v>3</v>
      </c>
      <c r="P5448" s="12" t="n">
        <v>13800</v>
      </c>
      <c r="Q5448" s="12" t="n">
        <v>2000</v>
      </c>
      <c r="R5448" s="12" t="n">
        <v>93</v>
      </c>
      <c r="S5448" s="12" t="inlineStr">
        <is>
          <t>Surface</t>
        </is>
      </c>
      <c r="T5448" s="16" t="n">
        <v>191</v>
      </c>
      <c r="U5448" s="16" t="n">
        <v>32</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I-MV-0008</t>
        </is>
      </c>
      <c r="B5449" s="12" t="inlineStr">
        <is>
          <t>I</t>
        </is>
      </c>
      <c r="C5449" s="12" t="inlineStr">
        <is>
          <t>Modular / portable power</t>
        </is>
      </c>
      <c r="D5449" s="12" t="inlineStr">
        <is>
          <t>CONT-4 13.8 kV to PAD-EH (extension section, ground tray)</t>
        </is>
      </c>
      <c r="E5449" s="12" t="inlineStr">
        <is>
          <t>CONT-4</t>
        </is>
      </c>
      <c r="F5449" s="12" t="inlineStr">
        <is>
          <t>CONT-4: containerized gas genset 13.8 kV (40 ft)</t>
        </is>
      </c>
      <c r="G5449" s="12" t="inlineStr">
        <is>
          <t>PAD-EH</t>
        </is>
      </c>
      <c r="H5449" s="12" t="inlineStr">
        <is>
          <t>PAD-EH 13.8 kV switchgear e-house</t>
        </is>
      </c>
      <c r="I5449" s="12" t="inlineStr">
        <is>
          <t>MV 15 kV</t>
        </is>
      </c>
      <c r="J5449" s="12" t="inlineStr">
        <is>
          <t>MV-105 15 kV 1/C Cu, EPR 133%, Cu tape shield, PVC jacket (triplexed)</t>
        </is>
      </c>
      <c r="K5449" s="12" t="inlineStr">
        <is>
          <t>MV15|1/C|2</t>
        </is>
      </c>
      <c r="L5449" s="12" t="inlineStr">
        <is>
          <t>1/C</t>
        </is>
      </c>
      <c r="M5449" s="12" t="inlineStr">
        <is>
          <t>2</t>
        </is>
      </c>
      <c r="N5449" s="12" t="n">
        <v>1</v>
      </c>
      <c r="O5449" s="12" t="n">
        <v>3</v>
      </c>
      <c r="P5449" s="12" t="n">
        <v>13800</v>
      </c>
      <c r="Q5449" s="12" t="n">
        <v>2000</v>
      </c>
      <c r="R5449" s="12" t="n">
        <v>93</v>
      </c>
      <c r="S5449" s="12" t="inlineStr">
        <is>
          <t>Surface</t>
        </is>
      </c>
      <c r="T5449" s="16" t="n">
        <v>71</v>
      </c>
      <c r="U5449" s="16" t="n">
        <v>72</v>
      </c>
      <c r="V5449" s="16">
        <f>ROUNDUP((T5449+U5449+2*'Read Me'!$B$13)*(1+'Read Me'!$B$12),-1)</f>
        <v/>
      </c>
      <c r="W5449" s="16">
        <f>V5449*N5449*O5449</f>
        <v/>
      </c>
      <c r="X5449" s="12">
        <f>IF(LEFT(I5449,2)="MV",2*N5449*IF(L5449="1/C",O5449,1),0)</f>
        <v/>
      </c>
      <c r="Y5449" s="12">
        <f>IF(OR(LEFT(K5449,4)="LVAX",LEFT(K5449,6)="MV15AX",LEFT(K5449,4)="CTAX",LEFT(K5449,2)="W|"),2*N5449*O5449,0)</f>
        <v/>
      </c>
      <c r="Z5449" s="12" t="inlineStr"/>
      <c r="AA5449" s="12">
        <f>N5449*O5449</f>
        <v/>
      </c>
    </row>
    <row r="5450">
      <c r="A5450" s="12" t="inlineStr">
        <is>
          <t>I-MV-0009</t>
        </is>
      </c>
      <c r="B5450" s="12" t="inlineStr">
        <is>
          <t>I</t>
        </is>
      </c>
      <c r="C5450" s="12" t="inlineStr">
        <is>
          <t>Modular / portable power</t>
        </is>
      </c>
      <c r="D5450" s="12" t="inlineStr">
        <is>
          <t>CONT-5 13.8 kV to PAD-EH (extension section, ground tray)</t>
        </is>
      </c>
      <c r="E5450" s="12" t="inlineStr">
        <is>
          <t>CONT-5</t>
        </is>
      </c>
      <c r="F5450" s="12" t="inlineStr">
        <is>
          <t>CONT-5: containerized gas genset 13.8 kV (40 ft)</t>
        </is>
      </c>
      <c r="G5450" s="12" t="inlineStr">
        <is>
          <t>PAD-EH</t>
        </is>
      </c>
      <c r="H5450" s="12" t="inlineStr">
        <is>
          <t>PAD-EH 13.8 kV switchgear e-house</t>
        </is>
      </c>
      <c r="I5450" s="12" t="inlineStr">
        <is>
          <t>MV 15 kV</t>
        </is>
      </c>
      <c r="J5450" s="12" t="inlineStr">
        <is>
          <t>MV-105 15 kV 1/C Cu, EPR 133%, Cu tape shield, PVC jacket (triplexed)</t>
        </is>
      </c>
      <c r="K5450" s="12" t="inlineStr">
        <is>
          <t>MV15|1/C|2</t>
        </is>
      </c>
      <c r="L5450" s="12" t="inlineStr">
        <is>
          <t>1/C</t>
        </is>
      </c>
      <c r="M5450" s="12" t="inlineStr">
        <is>
          <t>2</t>
        </is>
      </c>
      <c r="N5450" s="12" t="n">
        <v>1</v>
      </c>
      <c r="O5450" s="12" t="n">
        <v>3</v>
      </c>
      <c r="P5450" s="12" t="n">
        <v>13800</v>
      </c>
      <c r="Q5450" s="12" t="n">
        <v>2000</v>
      </c>
      <c r="R5450" s="12" t="n">
        <v>93</v>
      </c>
      <c r="S5450" s="12" t="inlineStr">
        <is>
          <t>Duct bank</t>
        </is>
      </c>
      <c r="T5450" s="16" t="n">
        <v>47</v>
      </c>
      <c r="U5450" s="16" t="n">
        <v>36</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I-MV-0010</t>
        </is>
      </c>
      <c r="B5451" s="12" t="inlineStr">
        <is>
          <t>I</t>
        </is>
      </c>
      <c r="C5451" s="12" t="inlineStr">
        <is>
          <t>Modular / portable power</t>
        </is>
      </c>
      <c r="D5451" s="12" t="inlineStr">
        <is>
          <t>CONT-6 13.8 kV to PAD-EH (extension section, ground tray)</t>
        </is>
      </c>
      <c r="E5451" s="12" t="inlineStr">
        <is>
          <t>CONT-6</t>
        </is>
      </c>
      <c r="F5451" s="12" t="inlineStr">
        <is>
          <t>CONT-6: containerized gas genset 13.8 kV (40 ft)</t>
        </is>
      </c>
      <c r="G5451" s="12" t="inlineStr">
        <is>
          <t>PAD-EH</t>
        </is>
      </c>
      <c r="H5451" s="12" t="inlineStr">
        <is>
          <t>PAD-EH 13.8 kV switchgear e-house</t>
        </is>
      </c>
      <c r="I5451" s="12" t="inlineStr">
        <is>
          <t>MV 15 kV</t>
        </is>
      </c>
      <c r="J5451" s="12" t="inlineStr">
        <is>
          <t>MV-105 15 kV 1/C Cu, EPR 133%, Cu tape shield, PVC jacket (triplexed)</t>
        </is>
      </c>
      <c r="K5451" s="12" t="inlineStr">
        <is>
          <t>MV15|1/C|2</t>
        </is>
      </c>
      <c r="L5451" s="12" t="inlineStr">
        <is>
          <t>1/C</t>
        </is>
      </c>
      <c r="M5451" s="12" t="inlineStr">
        <is>
          <t>2</t>
        </is>
      </c>
      <c r="N5451" s="12" t="n">
        <v>1</v>
      </c>
      <c r="O5451" s="12" t="n">
        <v>3</v>
      </c>
      <c r="P5451" s="12" t="n">
        <v>13800</v>
      </c>
      <c r="Q5451" s="12" t="n">
        <v>2000</v>
      </c>
      <c r="R5451" s="12" t="n">
        <v>93</v>
      </c>
      <c r="S5451" s="12" t="inlineStr">
        <is>
          <t>Surface</t>
        </is>
      </c>
      <c r="T5451" s="16" t="n">
        <v>242</v>
      </c>
      <c r="U5451" s="16" t="n">
        <v>32</v>
      </c>
      <c r="V5451" s="16">
        <f>ROUNDUP((T5451+U5451+2*'Read Me'!$B$13)*(1+'Read Me'!$B$12),-1)</f>
        <v/>
      </c>
      <c r="W5451" s="16">
        <f>V5451*N5451*O5451</f>
        <v/>
      </c>
      <c r="X5451" s="12">
        <f>IF(LEFT(I5451,2)="MV",2*N5451*IF(L5451="1/C",O5451,1),0)</f>
        <v/>
      </c>
      <c r="Y5451" s="12">
        <f>IF(OR(LEFT(K5451,4)="LVAX",LEFT(K5451,6)="MV15AX",LEFT(K5451,4)="CTAX",LEFT(K5451,2)="W|"),2*N5451*O5451,0)</f>
        <v/>
      </c>
      <c r="Z5451" s="12" t="inlineStr"/>
      <c r="AA5451" s="12">
        <f>N5451*O5451</f>
        <v/>
      </c>
    </row>
    <row r="5452">
      <c r="A5452" s="12" t="inlineStr">
        <is>
          <t>I-MV-0011</t>
        </is>
      </c>
      <c r="B5452" s="12" t="inlineStr">
        <is>
          <t>I</t>
        </is>
      </c>
      <c r="C5452" s="12" t="inlineStr">
        <is>
          <t>Modular / portable power</t>
        </is>
      </c>
      <c r="D5452" s="12" t="inlineStr">
        <is>
          <t>CONT-7 13.8 kV to PAD-EH (extension section, ground tray)</t>
        </is>
      </c>
      <c r="E5452" s="12" t="inlineStr">
        <is>
          <t>CONT-7</t>
        </is>
      </c>
      <c r="F5452" s="12" t="inlineStr">
        <is>
          <t>CONT-7: containerized gas genset 13.8 kV (40 ft)</t>
        </is>
      </c>
      <c r="G5452" s="12" t="inlineStr">
        <is>
          <t>PAD-EH</t>
        </is>
      </c>
      <c r="H5452" s="12" t="inlineStr">
        <is>
          <t>PAD-EH 13.8 kV switchgear e-house</t>
        </is>
      </c>
      <c r="I5452" s="12" t="inlineStr">
        <is>
          <t>MV 15 kV</t>
        </is>
      </c>
      <c r="J5452" s="12" t="inlineStr">
        <is>
          <t>MV-105 15 kV 1/C Cu, EPR 133%, Cu tape shield, PVC jacket (triplexed)</t>
        </is>
      </c>
      <c r="K5452" s="12" t="inlineStr">
        <is>
          <t>MV15|1/C|2</t>
        </is>
      </c>
      <c r="L5452" s="12" t="inlineStr">
        <is>
          <t>1/C</t>
        </is>
      </c>
      <c r="M5452" s="12" t="inlineStr">
        <is>
          <t>2</t>
        </is>
      </c>
      <c r="N5452" s="12" t="n">
        <v>1</v>
      </c>
      <c r="O5452" s="12" t="n">
        <v>3</v>
      </c>
      <c r="P5452" s="12" t="n">
        <v>13800</v>
      </c>
      <c r="Q5452" s="12" t="n">
        <v>2000</v>
      </c>
      <c r="R5452" s="12" t="n">
        <v>93</v>
      </c>
      <c r="S5452" s="12" t="inlineStr">
        <is>
          <t>Surface</t>
        </is>
      </c>
      <c r="T5452" s="16" t="n">
        <v>228</v>
      </c>
      <c r="U5452" s="16" t="n">
        <v>46</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I-MV-0012</t>
        </is>
      </c>
      <c r="B5453" s="12" t="inlineStr">
        <is>
          <t>I</t>
        </is>
      </c>
      <c r="C5453" s="12" t="inlineStr">
        <is>
          <t>Modular / portable power</t>
        </is>
      </c>
      <c r="D5453" s="12" t="inlineStr">
        <is>
          <t>CONT-8 13.8 kV to PAD-EH (extension section, ground tray)</t>
        </is>
      </c>
      <c r="E5453" s="12" t="inlineStr">
        <is>
          <t>CONT-8</t>
        </is>
      </c>
      <c r="F5453" s="12" t="inlineStr">
        <is>
          <t>CONT-8: containerized gas genset 13.8 kV (40 ft)</t>
        </is>
      </c>
      <c r="G5453" s="12" t="inlineStr">
        <is>
          <t>PAD-EH</t>
        </is>
      </c>
      <c r="H5453" s="12" t="inlineStr">
        <is>
          <t>PAD-EH 13.8 kV switchgear e-house</t>
        </is>
      </c>
      <c r="I5453" s="12" t="inlineStr">
        <is>
          <t>MV 15 kV</t>
        </is>
      </c>
      <c r="J5453" s="12" t="inlineStr">
        <is>
          <t>MV-105 15 kV 1/C Cu, EPR 133%, Cu tape shield, PVC jacket (triplexed)</t>
        </is>
      </c>
      <c r="K5453" s="12" t="inlineStr">
        <is>
          <t>MV15|1/C|2</t>
        </is>
      </c>
      <c r="L5453" s="12" t="inlineStr">
        <is>
          <t>1/C</t>
        </is>
      </c>
      <c r="M5453" s="12" t="inlineStr">
        <is>
          <t>2</t>
        </is>
      </c>
      <c r="N5453" s="12" t="n">
        <v>1</v>
      </c>
      <c r="O5453" s="12" t="n">
        <v>3</v>
      </c>
      <c r="P5453" s="12" t="n">
        <v>13800</v>
      </c>
      <c r="Q5453" s="12" t="n">
        <v>2000</v>
      </c>
      <c r="R5453" s="12" t="n">
        <v>93</v>
      </c>
      <c r="S5453" s="12" t="inlineStr">
        <is>
          <t>Surface</t>
        </is>
      </c>
      <c r="T5453" s="16" t="n">
        <v>97</v>
      </c>
      <c r="U5453" s="16" t="n">
        <v>36</v>
      </c>
      <c r="V5453" s="16">
        <f>ROUNDUP((T5453+U5453+2*'Read Me'!$B$13)*(1+'Read Me'!$B$12),-1)</f>
        <v/>
      </c>
      <c r="W5453" s="16">
        <f>V5453*N5453*O5453</f>
        <v/>
      </c>
      <c r="X5453" s="12">
        <f>IF(LEFT(I5453,2)="MV",2*N5453*IF(L5453="1/C",O5453,1),0)</f>
        <v/>
      </c>
      <c r="Y5453" s="12">
        <f>IF(OR(LEFT(K5453,4)="LVAX",LEFT(K5453,6)="MV15AX",LEFT(K5453,4)="CTAX",LEFT(K5453,2)="W|"),2*N5453*O5453,0)</f>
        <v/>
      </c>
      <c r="Z5453" s="12" t="inlineStr"/>
      <c r="AA5453" s="12">
        <f>N5453*O5453</f>
        <v/>
      </c>
    </row>
    <row r="5454">
      <c r="A5454" s="12" t="inlineStr">
        <is>
          <t>I-MV-0013</t>
        </is>
      </c>
      <c r="B5454" s="12" t="inlineStr">
        <is>
          <t>I</t>
        </is>
      </c>
      <c r="C5454" s="12" t="inlineStr">
        <is>
          <t>Modular / portable power</t>
        </is>
      </c>
      <c r="D5454" s="12" t="inlineStr">
        <is>
          <t>TM-1 (TM2500) generator leads to PAD-EH</t>
        </is>
      </c>
      <c r="E5454" s="12" t="inlineStr">
        <is>
          <t>TM-1</t>
        </is>
      </c>
      <c r="F5454" s="12" t="inlineStr">
        <is>
          <t>TM-1: trailer-mounted aeroderivative GT (TM2500 class, ~35 MW)</t>
        </is>
      </c>
      <c r="G5454" s="12" t="inlineStr">
        <is>
          <t>PAD-EH</t>
        </is>
      </c>
      <c r="H5454" s="12" t="inlineStr">
        <is>
          <t>PAD-EH 13.8 kV switchgear e-house</t>
        </is>
      </c>
      <c r="I5454" s="12" t="inlineStr">
        <is>
          <t>MV 15 kV</t>
        </is>
      </c>
      <c r="J5454" s="12" t="inlineStr">
        <is>
          <t>MV-105 15 kV 1/C Cu, EPR 133%, Cu tape shield, PVC jacket (triplexed)</t>
        </is>
      </c>
      <c r="K5454" s="12" t="inlineStr">
        <is>
          <t>MV15|1/C|1000</t>
        </is>
      </c>
      <c r="L5454" s="12" t="inlineStr">
        <is>
          <t>1/C</t>
        </is>
      </c>
      <c r="M5454" s="12" t="inlineStr">
        <is>
          <t>1000 kcmil</t>
        </is>
      </c>
      <c r="N5454" s="12" t="n">
        <v>3</v>
      </c>
      <c r="O5454" s="12" t="n">
        <v>3</v>
      </c>
      <c r="P5454" s="12" t="n">
        <v>13800</v>
      </c>
      <c r="Q5454" s="12" t="n">
        <v>35000</v>
      </c>
      <c r="R5454" s="12" t="n">
        <v>1464</v>
      </c>
      <c r="S5454" s="12" t="inlineStr">
        <is>
          <t>Surface</t>
        </is>
      </c>
      <c r="T5454" s="16" t="n">
        <v>405</v>
      </c>
      <c r="U5454" s="16" t="n">
        <v>27</v>
      </c>
      <c r="V5454" s="16">
        <f>ROUNDUP((T5454+U5454+2*'Read Me'!$B$13)*(1+'Read Me'!$B$12),-1)</f>
        <v/>
      </c>
      <c r="W5454" s="16">
        <f>V5454*N5454*O5454</f>
        <v/>
      </c>
      <c r="X5454" s="12">
        <f>IF(LEFT(I5454,2)="MV",2*N5454*IF(L5454="1/C",O5454,1),0)</f>
        <v/>
      </c>
      <c r="Y5454" s="12">
        <f>IF(OR(LEFT(K5454,4)="LVAX",LEFT(K5454,6)="MV15AX",LEFT(K5454,4)="CTAX",LEFT(K5454,2)="W|"),2*N5454*O5454,0)</f>
        <v/>
      </c>
      <c r="Z5454" s="12" t="inlineStr">
        <is>
          <t>3 per phase for 125 % (the model shows 2 per phase: update the model)</t>
        </is>
      </c>
      <c r="AA5454" s="12">
        <f>N5454*O5454</f>
        <v/>
      </c>
    </row>
    <row r="5455">
      <c r="A5455" s="12" t="inlineStr">
        <is>
          <t>I-MV-0014</t>
        </is>
      </c>
      <c r="B5455" s="12" t="inlineStr">
        <is>
          <t>I</t>
        </is>
      </c>
      <c r="C5455" s="12" t="inlineStr">
        <is>
          <t>Modular / portable power</t>
        </is>
      </c>
      <c r="D5455" s="12" t="inlineStr">
        <is>
          <t>TM-2 (TM2500) generator leads to PAD-EH</t>
        </is>
      </c>
      <c r="E5455" s="12" t="inlineStr">
        <is>
          <t>TM-2</t>
        </is>
      </c>
      <c r="F5455" s="12" t="inlineStr">
        <is>
          <t>TM-2: trailer-mounted aeroderivative GT (TM2500 class, ~35 MW)</t>
        </is>
      </c>
      <c r="G5455" s="12" t="inlineStr">
        <is>
          <t>PAD-EH</t>
        </is>
      </c>
      <c r="H5455" s="12" t="inlineStr">
        <is>
          <t>PAD-EH 13.8 kV switchgear e-house</t>
        </is>
      </c>
      <c r="I5455" s="12" t="inlineStr">
        <is>
          <t>MV 15 kV</t>
        </is>
      </c>
      <c r="J5455" s="12" t="inlineStr">
        <is>
          <t>MV-105 15 kV 1/C Cu, EPR 133%, Cu tape shield, PVC jacket (triplexed)</t>
        </is>
      </c>
      <c r="K5455" s="12" t="inlineStr">
        <is>
          <t>MV15|1/C|1000</t>
        </is>
      </c>
      <c r="L5455" s="12" t="inlineStr">
        <is>
          <t>1/C</t>
        </is>
      </c>
      <c r="M5455" s="12" t="inlineStr">
        <is>
          <t>1000 kcmil</t>
        </is>
      </c>
      <c r="N5455" s="12" t="n">
        <v>3</v>
      </c>
      <c r="O5455" s="12" t="n">
        <v>3</v>
      </c>
      <c r="P5455" s="12" t="n">
        <v>13800</v>
      </c>
      <c r="Q5455" s="12" t="n">
        <v>35000</v>
      </c>
      <c r="R5455" s="12" t="n">
        <v>1464</v>
      </c>
      <c r="S5455" s="12" t="inlineStr">
        <is>
          <t>Surface</t>
        </is>
      </c>
      <c r="T5455" s="16" t="n">
        <v>411</v>
      </c>
      <c r="U5455" s="16" t="n">
        <v>27</v>
      </c>
      <c r="V5455" s="16">
        <f>ROUNDUP((T5455+U5455+2*'Read Me'!$B$13)*(1+'Read Me'!$B$12),-1)</f>
        <v/>
      </c>
      <c r="W5455" s="16">
        <f>V5455*N5455*O5455</f>
        <v/>
      </c>
      <c r="X5455" s="12">
        <f>IF(LEFT(I5455,2)="MV",2*N5455*IF(L5455="1/C",O5455,1),0)</f>
        <v/>
      </c>
      <c r="Y5455" s="12">
        <f>IF(OR(LEFT(K5455,4)="LVAX",LEFT(K5455,6)="MV15AX",LEFT(K5455,4)="CTAX",LEFT(K5455,2)="W|"),2*N5455*O5455,0)</f>
        <v/>
      </c>
      <c r="Z5455" s="12" t="inlineStr">
        <is>
          <t>3 per phase for 125 % (the model shows 2 per phase: update the model)</t>
        </is>
      </c>
      <c r="AA5455" s="12">
        <f>N5455*O5455</f>
        <v/>
      </c>
    </row>
    <row r="5456">
      <c r="A5456" s="12" t="inlineStr">
        <is>
          <t>I-MV-0015</t>
        </is>
      </c>
      <c r="B5456" s="12" t="inlineStr">
        <is>
          <t>I</t>
        </is>
      </c>
      <c r="C5456" s="12" t="inlineStr">
        <is>
          <t>Modular / portable power</t>
        </is>
      </c>
      <c r="D5456" s="12" t="inlineStr">
        <is>
          <t>RICE-1 generator leads to the PCM</t>
        </is>
      </c>
      <c r="E5456" s="12" t="inlineStr">
        <is>
          <t>RICE-1</t>
        </is>
      </c>
      <c r="F5456" s="12" t="inlineStr">
        <is>
          <t>RICE engine-generator 1</t>
        </is>
      </c>
      <c r="G5456" s="12" t="inlineStr"/>
      <c r="H5456" s="12" t="inlineStr">
        <is>
          <t>PCM: power control module</t>
        </is>
      </c>
      <c r="I5456" s="12" t="inlineStr">
        <is>
          <t>MV 15 kV</t>
        </is>
      </c>
      <c r="J5456" s="12" t="inlineStr">
        <is>
          <t>MV-105 15 kV 1/C Cu, EPR 133%, Cu tape shield, PVC jacket (triplexed)</t>
        </is>
      </c>
      <c r="K5456" s="12" t="inlineStr">
        <is>
          <t>MV15|1/C|750</t>
        </is>
      </c>
      <c r="L5456" s="12" t="inlineStr">
        <is>
          <t>1/C</t>
        </is>
      </c>
      <c r="M5456" s="12" t="inlineStr">
        <is>
          <t>750 kcmil</t>
        </is>
      </c>
      <c r="N5456" s="12" t="n">
        <v>2</v>
      </c>
      <c r="O5456" s="12" t="n">
        <v>3</v>
      </c>
      <c r="P5456" s="12" t="n">
        <v>13800</v>
      </c>
      <c r="Q5456" s="12" t="n">
        <v>18400</v>
      </c>
      <c r="R5456" s="12" t="n">
        <v>770</v>
      </c>
      <c r="S5456" s="12" t="inlineStr">
        <is>
          <t>Duct bank</t>
        </is>
      </c>
      <c r="T5456" s="16" t="n">
        <v>576</v>
      </c>
      <c r="U5456" s="16" t="n">
        <v>111</v>
      </c>
      <c r="V5456" s="16">
        <f>ROUNDUP((T5456+U5456+2*'Read Me'!$B$13)*(1+'Read Me'!$B$12),-1)</f>
        <v/>
      </c>
      <c r="W5456" s="16">
        <f>V5456*N5456*O5456</f>
        <v/>
      </c>
      <c r="X5456" s="12">
        <f>IF(LEFT(I5456,2)="MV",2*N5456*IF(L5456="1/C",O5456,1),0)</f>
        <v/>
      </c>
      <c r="Y5456" s="12">
        <f>IF(OR(LEFT(K5456,4)="LVAX",LEFT(K5456,6)="MV15AX",LEFT(K5456,4)="CTAX",LEFT(K5456,2)="W|"),2*N5456*O5456,0)</f>
        <v/>
      </c>
      <c r="Z5456" s="12" t="inlineStr">
        <is>
          <t>18V50 class ~18 MW (typ.)</t>
        </is>
      </c>
      <c r="AA5456" s="12">
        <f>N5456*O5456</f>
        <v/>
      </c>
    </row>
    <row r="5457">
      <c r="A5457" s="12" t="inlineStr">
        <is>
          <t>I-MV-0016</t>
        </is>
      </c>
      <c r="B5457" s="12" t="inlineStr">
        <is>
          <t>I</t>
        </is>
      </c>
      <c r="C5457" s="12" t="inlineStr">
        <is>
          <t>Modular / portable power</t>
        </is>
      </c>
      <c r="D5457" s="12" t="inlineStr">
        <is>
          <t>RICE-2 generator leads to the PCM</t>
        </is>
      </c>
      <c r="E5457" s="12" t="inlineStr">
        <is>
          <t>RICE-2</t>
        </is>
      </c>
      <c r="F5457" s="12" t="inlineStr">
        <is>
          <t>RICE engine-generator 2</t>
        </is>
      </c>
      <c r="G5457" s="12" t="inlineStr"/>
      <c r="H5457" s="12" t="inlineStr">
        <is>
          <t>PCM: power control module</t>
        </is>
      </c>
      <c r="I5457" s="12" t="inlineStr">
        <is>
          <t>MV 15 kV</t>
        </is>
      </c>
      <c r="J5457" s="12" t="inlineStr">
        <is>
          <t>MV-105 15 kV 1/C Cu, EPR 133%, Cu tape shield, PVC jacket (triplexed)</t>
        </is>
      </c>
      <c r="K5457" s="12" t="inlineStr">
        <is>
          <t>MV15|1/C|750</t>
        </is>
      </c>
      <c r="L5457" s="12" t="inlineStr">
        <is>
          <t>1/C</t>
        </is>
      </c>
      <c r="M5457" s="12" t="inlineStr">
        <is>
          <t>750 kcmil</t>
        </is>
      </c>
      <c r="N5457" s="12" t="n">
        <v>2</v>
      </c>
      <c r="O5457" s="12" t="n">
        <v>3</v>
      </c>
      <c r="P5457" s="12" t="n">
        <v>13800</v>
      </c>
      <c r="Q5457" s="12" t="n">
        <v>18400</v>
      </c>
      <c r="R5457" s="12" t="n">
        <v>770</v>
      </c>
      <c r="S5457" s="12" t="inlineStr">
        <is>
          <t>Duct bank</t>
        </is>
      </c>
      <c r="T5457" s="16" t="n">
        <v>550</v>
      </c>
      <c r="U5457" s="16" t="n">
        <v>109</v>
      </c>
      <c r="V5457" s="16">
        <f>ROUNDUP((T5457+U5457+2*'Read Me'!$B$13)*(1+'Read Me'!$B$12),-1)</f>
        <v/>
      </c>
      <c r="W5457" s="16">
        <f>V5457*N5457*O5457</f>
        <v/>
      </c>
      <c r="X5457" s="12">
        <f>IF(LEFT(I5457,2)="MV",2*N5457*IF(L5457="1/C",O5457,1),0)</f>
        <v/>
      </c>
      <c r="Y5457" s="12">
        <f>IF(OR(LEFT(K5457,4)="LVAX",LEFT(K5457,6)="MV15AX",LEFT(K5457,4)="CTAX",LEFT(K5457,2)="W|"),2*N5457*O5457,0)</f>
        <v/>
      </c>
      <c r="Z5457" s="12" t="inlineStr">
        <is>
          <t>18V50 class ~18 MW (typ.)</t>
        </is>
      </c>
      <c r="AA5457" s="12">
        <f>N5457*O5457</f>
        <v/>
      </c>
    </row>
    <row r="5458">
      <c r="A5458" s="12" t="inlineStr">
        <is>
          <t>I-MV-0017</t>
        </is>
      </c>
      <c r="B5458" s="12" t="inlineStr">
        <is>
          <t>I</t>
        </is>
      </c>
      <c r="C5458" s="12" t="inlineStr">
        <is>
          <t>Modular / portable power</t>
        </is>
      </c>
      <c r="D5458" s="12" t="inlineStr">
        <is>
          <t>RICE-3 generator leads to the PCM</t>
        </is>
      </c>
      <c r="E5458" s="12" t="inlineStr">
        <is>
          <t>RICE-3</t>
        </is>
      </c>
      <c r="F5458" s="12" t="inlineStr">
        <is>
          <t>RICE engine-generator 3</t>
        </is>
      </c>
      <c r="G5458" s="12" t="inlineStr"/>
      <c r="H5458" s="12" t="inlineStr">
        <is>
          <t>PCM: power control module</t>
        </is>
      </c>
      <c r="I5458" s="12" t="inlineStr">
        <is>
          <t>MV 15 kV</t>
        </is>
      </c>
      <c r="J5458" s="12" t="inlineStr">
        <is>
          <t>MV-105 15 kV 1/C Cu, EPR 133%, Cu tape shield, PVC jacket (triplexed)</t>
        </is>
      </c>
      <c r="K5458" s="12" t="inlineStr">
        <is>
          <t>MV15|1/C|750</t>
        </is>
      </c>
      <c r="L5458" s="12" t="inlineStr">
        <is>
          <t>1/C</t>
        </is>
      </c>
      <c r="M5458" s="12" t="inlineStr">
        <is>
          <t>750 kcmil</t>
        </is>
      </c>
      <c r="N5458" s="12" t="n">
        <v>2</v>
      </c>
      <c r="O5458" s="12" t="n">
        <v>3</v>
      </c>
      <c r="P5458" s="12" t="n">
        <v>13800</v>
      </c>
      <c r="Q5458" s="12" t="n">
        <v>18400</v>
      </c>
      <c r="R5458" s="12" t="n">
        <v>770</v>
      </c>
      <c r="S5458" s="12" t="inlineStr">
        <is>
          <t>Duct bank</t>
        </is>
      </c>
      <c r="T5458" s="16" t="n">
        <v>550</v>
      </c>
      <c r="U5458" s="16" t="n">
        <v>81</v>
      </c>
      <c r="V5458" s="16">
        <f>ROUNDUP((T5458+U5458+2*'Read Me'!$B$13)*(1+'Read Me'!$B$12),-1)</f>
        <v/>
      </c>
      <c r="W5458" s="16">
        <f>V5458*N5458*O5458</f>
        <v/>
      </c>
      <c r="X5458" s="12">
        <f>IF(LEFT(I5458,2)="MV",2*N5458*IF(L5458="1/C",O5458,1),0)</f>
        <v/>
      </c>
      <c r="Y5458" s="12">
        <f>IF(OR(LEFT(K5458,4)="LVAX",LEFT(K5458,6)="MV15AX",LEFT(K5458,4)="CTAX",LEFT(K5458,2)="W|"),2*N5458*O5458,0)</f>
        <v/>
      </c>
      <c r="Z5458" s="12" t="inlineStr">
        <is>
          <t>18V50 class ~18 MW (typ.)</t>
        </is>
      </c>
      <c r="AA5458" s="12">
        <f>N5458*O5458</f>
        <v/>
      </c>
    </row>
    <row r="5459">
      <c r="A5459" s="12" t="inlineStr">
        <is>
          <t>I-MV-0018</t>
        </is>
      </c>
      <c r="B5459" s="12" t="inlineStr">
        <is>
          <t>I</t>
        </is>
      </c>
      <c r="C5459" s="12" t="inlineStr">
        <is>
          <t>Modular / portable power</t>
        </is>
      </c>
      <c r="D5459" s="12" t="inlineStr">
        <is>
          <t>RICE-4 generator leads to the PCM</t>
        </is>
      </c>
      <c r="E5459" s="12" t="inlineStr">
        <is>
          <t>RICE-4</t>
        </is>
      </c>
      <c r="F5459" s="12" t="inlineStr">
        <is>
          <t>RICE engine-generator 4</t>
        </is>
      </c>
      <c r="G5459" s="12" t="inlineStr"/>
      <c r="H5459" s="12" t="inlineStr">
        <is>
          <t>PCM: power control module</t>
        </is>
      </c>
      <c r="I5459" s="12" t="inlineStr">
        <is>
          <t>MV 15 kV</t>
        </is>
      </c>
      <c r="J5459" s="12" t="inlineStr">
        <is>
          <t>MV-105 15 kV 1/C Cu, EPR 133%, Cu tape shield, PVC jacket (triplexed)</t>
        </is>
      </c>
      <c r="K5459" s="12" t="inlineStr">
        <is>
          <t>MV15|1/C|750</t>
        </is>
      </c>
      <c r="L5459" s="12" t="inlineStr">
        <is>
          <t>1/C</t>
        </is>
      </c>
      <c r="M5459" s="12" t="inlineStr">
        <is>
          <t>750 kcmil</t>
        </is>
      </c>
      <c r="N5459" s="12" t="n">
        <v>2</v>
      </c>
      <c r="O5459" s="12" t="n">
        <v>3</v>
      </c>
      <c r="P5459" s="12" t="n">
        <v>13800</v>
      </c>
      <c r="Q5459" s="12" t="n">
        <v>18400</v>
      </c>
      <c r="R5459" s="12" t="n">
        <v>770</v>
      </c>
      <c r="S5459" s="12" t="inlineStr">
        <is>
          <t>Duct bank</t>
        </is>
      </c>
      <c r="T5459" s="16" t="n">
        <v>550</v>
      </c>
      <c r="U5459" s="16" t="n">
        <v>53</v>
      </c>
      <c r="V5459" s="16">
        <f>ROUNDUP((T5459+U5459+2*'Read Me'!$B$13)*(1+'Read Me'!$B$12),-1)</f>
        <v/>
      </c>
      <c r="W5459" s="16">
        <f>V5459*N5459*O5459</f>
        <v/>
      </c>
      <c r="X5459" s="12">
        <f>IF(LEFT(I5459,2)="MV",2*N5459*IF(L5459="1/C",O5459,1),0)</f>
        <v/>
      </c>
      <c r="Y5459" s="12">
        <f>IF(OR(LEFT(K5459,4)="LVAX",LEFT(K5459,6)="MV15AX",LEFT(K5459,4)="CTAX",LEFT(K5459,2)="W|"),2*N5459*O5459,0)</f>
        <v/>
      </c>
      <c r="Z5459" s="12" t="inlineStr">
        <is>
          <t>18V50 class ~18 MW (typ.)</t>
        </is>
      </c>
      <c r="AA5459" s="12">
        <f>N5459*O5459</f>
        <v/>
      </c>
    </row>
    <row r="5460">
      <c r="A5460" s="12" t="inlineStr">
        <is>
          <t>I-MV-0019</t>
        </is>
      </c>
      <c r="B5460" s="12" t="inlineStr">
        <is>
          <t>I</t>
        </is>
      </c>
      <c r="C5460" s="12" t="inlineStr">
        <is>
          <t>Modular / portable power</t>
        </is>
      </c>
      <c r="D5460" s="12" t="inlineStr">
        <is>
          <t>RICE-5 generator leads to the PCM</t>
        </is>
      </c>
      <c r="E5460" s="12" t="inlineStr">
        <is>
          <t>RICE-5</t>
        </is>
      </c>
      <c r="F5460" s="12" t="inlineStr">
        <is>
          <t>RICE engine-generator 5</t>
        </is>
      </c>
      <c r="G5460" s="12" t="inlineStr"/>
      <c r="H5460" s="12" t="inlineStr">
        <is>
          <t>PCM: power control module</t>
        </is>
      </c>
      <c r="I5460" s="12" t="inlineStr">
        <is>
          <t>MV 15 kV</t>
        </is>
      </c>
      <c r="J5460" s="12" t="inlineStr">
        <is>
          <t>MV-105 15 kV 1/C Cu, EPR 133%, Cu tape shield, PVC jacket (triplexed)</t>
        </is>
      </c>
      <c r="K5460" s="12" t="inlineStr">
        <is>
          <t>MV15|1/C|750</t>
        </is>
      </c>
      <c r="L5460" s="12" t="inlineStr">
        <is>
          <t>1/C</t>
        </is>
      </c>
      <c r="M5460" s="12" t="inlineStr">
        <is>
          <t>750 kcmil</t>
        </is>
      </c>
      <c r="N5460" s="12" t="n">
        <v>2</v>
      </c>
      <c r="O5460" s="12" t="n">
        <v>3</v>
      </c>
      <c r="P5460" s="12" t="n">
        <v>13800</v>
      </c>
      <c r="Q5460" s="12" t="n">
        <v>18400</v>
      </c>
      <c r="R5460" s="12" t="n">
        <v>770</v>
      </c>
      <c r="S5460" s="12" t="inlineStr">
        <is>
          <t>Duct bank</t>
        </is>
      </c>
      <c r="T5460" s="16" t="n">
        <v>525</v>
      </c>
      <c r="U5460" s="16" t="n">
        <v>50</v>
      </c>
      <c r="V5460" s="16">
        <f>ROUNDUP((T5460+U5460+2*'Read Me'!$B$13)*(1+'Read Me'!$B$12),-1)</f>
        <v/>
      </c>
      <c r="W5460" s="16">
        <f>V5460*N5460*O5460</f>
        <v/>
      </c>
      <c r="X5460" s="12">
        <f>IF(LEFT(I5460,2)="MV",2*N5460*IF(L5460="1/C",O5460,1),0)</f>
        <v/>
      </c>
      <c r="Y5460" s="12">
        <f>IF(OR(LEFT(K5460,4)="LVAX",LEFT(K5460,6)="MV15AX",LEFT(K5460,4)="CTAX",LEFT(K5460,2)="W|"),2*N5460*O5460,0)</f>
        <v/>
      </c>
      <c r="Z5460" s="12" t="inlineStr">
        <is>
          <t>18V50 class ~18 MW (typ.)</t>
        </is>
      </c>
      <c r="AA5460" s="12">
        <f>N5460*O5460</f>
        <v/>
      </c>
    </row>
    <row r="5461">
      <c r="A5461" s="12" t="inlineStr">
        <is>
          <t>I-MV-0020</t>
        </is>
      </c>
      <c r="B5461" s="12" t="inlineStr">
        <is>
          <t>I</t>
        </is>
      </c>
      <c r="C5461" s="12" t="inlineStr">
        <is>
          <t>Modular / portable power</t>
        </is>
      </c>
      <c r="D5461" s="12" t="inlineStr">
        <is>
          <t>RICE-6 generator leads to the PCM</t>
        </is>
      </c>
      <c r="E5461" s="12" t="inlineStr">
        <is>
          <t>RICE-6</t>
        </is>
      </c>
      <c r="F5461" s="12" t="inlineStr">
        <is>
          <t>RICE engine-generator 6</t>
        </is>
      </c>
      <c r="G5461" s="12" t="inlineStr"/>
      <c r="H5461" s="12" t="inlineStr">
        <is>
          <t>PCM: power control module</t>
        </is>
      </c>
      <c r="I5461" s="12" t="inlineStr">
        <is>
          <t>MV 15 kV</t>
        </is>
      </c>
      <c r="J5461" s="12" t="inlineStr">
        <is>
          <t>MV-105 15 kV 1/C Cu, EPR 133%, Cu tape shield, PVC jacket (triplexed)</t>
        </is>
      </c>
      <c r="K5461" s="12" t="inlineStr">
        <is>
          <t>MV15|1/C|750</t>
        </is>
      </c>
      <c r="L5461" s="12" t="inlineStr">
        <is>
          <t>1/C</t>
        </is>
      </c>
      <c r="M5461" s="12" t="inlineStr">
        <is>
          <t>750 kcmil</t>
        </is>
      </c>
      <c r="N5461" s="12" t="n">
        <v>2</v>
      </c>
      <c r="O5461" s="12" t="n">
        <v>3</v>
      </c>
      <c r="P5461" s="12" t="n">
        <v>13800</v>
      </c>
      <c r="Q5461" s="12" t="n">
        <v>18400</v>
      </c>
      <c r="R5461" s="12" t="n">
        <v>770</v>
      </c>
      <c r="S5461" s="12" t="inlineStr">
        <is>
          <t>Duct bank</t>
        </is>
      </c>
      <c r="T5461" s="16" t="n">
        <v>469</v>
      </c>
      <c r="U5461" s="16" t="n">
        <v>78</v>
      </c>
      <c r="V5461" s="16">
        <f>ROUNDUP((T5461+U5461+2*'Read Me'!$B$13)*(1+'Read Me'!$B$12),-1)</f>
        <v/>
      </c>
      <c r="W5461" s="16">
        <f>V5461*N5461*O5461</f>
        <v/>
      </c>
      <c r="X5461" s="12">
        <f>IF(LEFT(I5461,2)="MV",2*N5461*IF(L5461="1/C",O5461,1),0)</f>
        <v/>
      </c>
      <c r="Y5461" s="12">
        <f>IF(OR(LEFT(K5461,4)="LVAX",LEFT(K5461,6)="MV15AX",LEFT(K5461,4)="CTAX",LEFT(K5461,2)="W|"),2*N5461*O5461,0)</f>
        <v/>
      </c>
      <c r="Z5461" s="12" t="inlineStr">
        <is>
          <t>18V50 class ~18 MW (typ.)</t>
        </is>
      </c>
      <c r="AA5461" s="12">
        <f>N5461*O5461</f>
        <v/>
      </c>
    </row>
    <row r="5462">
      <c r="A5462" s="12" t="inlineStr">
        <is>
          <t>I-MV-0021</t>
        </is>
      </c>
      <c r="B5462" s="12" t="inlineStr">
        <is>
          <t>I</t>
        </is>
      </c>
      <c r="C5462" s="12" t="inlineStr">
        <is>
          <t>Modular / portable power</t>
        </is>
      </c>
      <c r="D5462" s="12" t="inlineStr">
        <is>
          <t>RICE-7 generator leads to the PCM</t>
        </is>
      </c>
      <c r="E5462" s="12" t="inlineStr">
        <is>
          <t>RICE-7</t>
        </is>
      </c>
      <c r="F5462" s="12" t="inlineStr">
        <is>
          <t>RICE engine-generator 7</t>
        </is>
      </c>
      <c r="G5462" s="12" t="inlineStr"/>
      <c r="H5462" s="12" t="inlineStr">
        <is>
          <t>PCM: power control module</t>
        </is>
      </c>
      <c r="I5462" s="12" t="inlineStr">
        <is>
          <t>MV 15 kV</t>
        </is>
      </c>
      <c r="J5462" s="12" t="inlineStr">
        <is>
          <t>MV-105 15 kV 1/C Cu, EPR 133%, Cu tape shield, PVC jacket (triplexed)</t>
        </is>
      </c>
      <c r="K5462" s="12" t="inlineStr">
        <is>
          <t>MV15|1/C|750</t>
        </is>
      </c>
      <c r="L5462" s="12" t="inlineStr">
        <is>
          <t>1/C</t>
        </is>
      </c>
      <c r="M5462" s="12" t="inlineStr">
        <is>
          <t>750 kcmil</t>
        </is>
      </c>
      <c r="N5462" s="12" t="n">
        <v>2</v>
      </c>
      <c r="O5462" s="12" t="n">
        <v>3</v>
      </c>
      <c r="P5462" s="12" t="n">
        <v>13800</v>
      </c>
      <c r="Q5462" s="12" t="n">
        <v>18400</v>
      </c>
      <c r="R5462" s="12" t="n">
        <v>770</v>
      </c>
      <c r="S5462" s="12" t="inlineStr">
        <is>
          <t>Tray</t>
        </is>
      </c>
      <c r="T5462" s="16" t="n">
        <v>83</v>
      </c>
      <c r="U5462" s="16" t="n">
        <v>106</v>
      </c>
      <c r="V5462" s="16">
        <f>ROUNDUP((T5462+U5462+2*'Read Me'!$B$13)*(1+'Read Me'!$B$12),-1)</f>
        <v/>
      </c>
      <c r="W5462" s="16">
        <f>V5462*N5462*O5462</f>
        <v/>
      </c>
      <c r="X5462" s="12">
        <f>IF(LEFT(I5462,2)="MV",2*N5462*IF(L5462="1/C",O5462,1),0)</f>
        <v/>
      </c>
      <c r="Y5462" s="12">
        <f>IF(OR(LEFT(K5462,4)="LVAX",LEFT(K5462,6)="MV15AX",LEFT(K5462,4)="CTAX",LEFT(K5462,2)="W|"),2*N5462*O5462,0)</f>
        <v/>
      </c>
      <c r="Z5462" s="12" t="inlineStr">
        <is>
          <t>18V50 class ~18 MW (typ.)</t>
        </is>
      </c>
      <c r="AA5462" s="12">
        <f>N5462*O5462</f>
        <v/>
      </c>
    </row>
    <row r="5463">
      <c r="A5463" s="12" t="inlineStr">
        <is>
          <t>I-MV-0022</t>
        </is>
      </c>
      <c r="B5463" s="12" t="inlineStr">
        <is>
          <t>I</t>
        </is>
      </c>
      <c r="C5463" s="12" t="inlineStr">
        <is>
          <t>Modular / portable power</t>
        </is>
      </c>
      <c r="D5463" s="12" t="inlineStr">
        <is>
          <t>RICE-8 generator leads to the PCM</t>
        </is>
      </c>
      <c r="E5463" s="12" t="inlineStr">
        <is>
          <t>RICE-8</t>
        </is>
      </c>
      <c r="F5463" s="12" t="inlineStr">
        <is>
          <t>RICE engine-generator 8</t>
        </is>
      </c>
      <c r="G5463" s="12" t="inlineStr"/>
      <c r="H5463" s="12" t="inlineStr">
        <is>
          <t>PCM: power control module</t>
        </is>
      </c>
      <c r="I5463" s="12" t="inlineStr">
        <is>
          <t>MV 15 kV</t>
        </is>
      </c>
      <c r="J5463" s="12" t="inlineStr">
        <is>
          <t>MV-105 15 kV 1/C Cu, EPR 133%, Cu tape shield, PVC jacket (triplexed)</t>
        </is>
      </c>
      <c r="K5463" s="12" t="inlineStr">
        <is>
          <t>MV15|1/C|750</t>
        </is>
      </c>
      <c r="L5463" s="12" t="inlineStr">
        <is>
          <t>1/C</t>
        </is>
      </c>
      <c r="M5463" s="12" t="inlineStr">
        <is>
          <t>750 kcmil</t>
        </is>
      </c>
      <c r="N5463" s="12" t="n">
        <v>2</v>
      </c>
      <c r="O5463" s="12" t="n">
        <v>3</v>
      </c>
      <c r="P5463" s="12" t="n">
        <v>13800</v>
      </c>
      <c r="Q5463" s="12" t="n">
        <v>18400</v>
      </c>
      <c r="R5463" s="12" t="n">
        <v>770</v>
      </c>
      <c r="S5463" s="12" t="inlineStr">
        <is>
          <t>Tray</t>
        </is>
      </c>
      <c r="T5463" s="16" t="n">
        <v>37</v>
      </c>
      <c r="U5463" s="16" t="n">
        <v>124</v>
      </c>
      <c r="V5463" s="16">
        <f>ROUNDUP((T5463+U5463+2*'Read Me'!$B$13)*(1+'Read Me'!$B$12),-1)</f>
        <v/>
      </c>
      <c r="W5463" s="16">
        <f>V5463*N5463*O5463</f>
        <v/>
      </c>
      <c r="X5463" s="12">
        <f>IF(LEFT(I5463,2)="MV",2*N5463*IF(L5463="1/C",O5463,1),0)</f>
        <v/>
      </c>
      <c r="Y5463" s="12">
        <f>IF(OR(LEFT(K5463,4)="LVAX",LEFT(K5463,6)="MV15AX",LEFT(K5463,4)="CTAX",LEFT(K5463,2)="W|"),2*N5463*O5463,0)</f>
        <v/>
      </c>
      <c r="Z5463" s="12" t="inlineStr">
        <is>
          <t>18V50 class ~18 MW (typ.)</t>
        </is>
      </c>
      <c r="AA5463" s="12">
        <f>N5463*O5463</f>
        <v/>
      </c>
    </row>
    <row r="5464">
      <c r="A5464" s="12" t="inlineStr">
        <is>
          <t>I-MV-0023</t>
        </is>
      </c>
      <c r="B5464" s="12" t="inlineStr">
        <is>
          <t>I</t>
        </is>
      </c>
      <c r="C5464" s="12" t="inlineStr">
        <is>
          <t>Modular / portable power</t>
        </is>
      </c>
      <c r="D5464" s="12" t="inlineStr">
        <is>
          <t>SC-1 (LM6000 class) generator leads to its PCM / GCB</t>
        </is>
      </c>
      <c r="E5464" s="12" t="inlineStr">
        <is>
          <t>SC-1</t>
        </is>
      </c>
      <c r="F5464" s="12" t="inlineStr">
        <is>
          <t>SC-1: aeroderivative simple-cycle unit (LM6000 class)</t>
        </is>
      </c>
      <c r="G5464" s="12" t="inlineStr"/>
      <c r="H5464" s="12" t="inlineStr">
        <is>
          <t>SC-1 PCM + 15 kV GCB</t>
        </is>
      </c>
      <c r="I5464" s="12" t="inlineStr">
        <is>
          <t>MV 15 kV</t>
        </is>
      </c>
      <c r="J5464" s="12" t="inlineStr">
        <is>
          <t>MV-105 15 kV 1/C Cu, EPR 133%, Cu tape shield, PVC jacket (triplexed)</t>
        </is>
      </c>
      <c r="K5464" s="12" t="inlineStr">
        <is>
          <t>MV15|1/C|750</t>
        </is>
      </c>
      <c r="L5464" s="12" t="inlineStr">
        <is>
          <t>1/C</t>
        </is>
      </c>
      <c r="M5464" s="12" t="inlineStr">
        <is>
          <t>750 kcmil</t>
        </is>
      </c>
      <c r="N5464" s="12" t="n">
        <v>5</v>
      </c>
      <c r="O5464" s="12" t="n">
        <v>3</v>
      </c>
      <c r="P5464" s="12" t="n">
        <v>13800</v>
      </c>
      <c r="Q5464" s="12" t="n">
        <v>50000</v>
      </c>
      <c r="R5464" s="12" t="n">
        <v>2092</v>
      </c>
      <c r="S5464" s="12" t="inlineStr">
        <is>
          <t>Tray</t>
        </is>
      </c>
      <c r="T5464" s="16" t="n">
        <v>12</v>
      </c>
      <c r="U5464" s="16" t="n">
        <v>52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I-MV-0024</t>
        </is>
      </c>
      <c r="B5465" s="12" t="inlineStr">
        <is>
          <t>I</t>
        </is>
      </c>
      <c r="C5465" s="12" t="inlineStr">
        <is>
          <t>Modular / portable power</t>
        </is>
      </c>
      <c r="D5465" s="12" t="inlineStr">
        <is>
          <t>SC-1 generator neutral to the NGR (in the terminal-box enclosure)</t>
        </is>
      </c>
      <c r="E5465" s="12" t="inlineStr">
        <is>
          <t>SC-1</t>
        </is>
      </c>
      <c r="F5465" s="12" t="inlineStr">
        <is>
          <t>SC-1: aeroderivative simple-cycle unit (LM6000 class)</t>
        </is>
      </c>
      <c r="G5465" s="12" t="inlineStr"/>
      <c r="H5465" s="12" t="inlineStr">
        <is>
          <t>SC-1 PCM + 15 kV GCB</t>
        </is>
      </c>
      <c r="I5465" s="12" t="inlineStr">
        <is>
          <t>MV 15 kV</t>
        </is>
      </c>
      <c r="J5465" s="12" t="inlineStr">
        <is>
          <t>MV-105 15 kV 1/C Cu, EPR 133%, Cu tape shield, PVC jacket (triplexed)</t>
        </is>
      </c>
      <c r="K5465" s="12" t="inlineStr">
        <is>
          <t>MV15|1/C|2</t>
        </is>
      </c>
      <c r="L5465" s="12" t="inlineStr">
        <is>
          <t>1/C</t>
        </is>
      </c>
      <c r="M5465" s="12" t="inlineStr">
        <is>
          <t>2</t>
        </is>
      </c>
      <c r="N5465" s="12" t="n">
        <v>1</v>
      </c>
      <c r="O5465" s="12" t="n">
        <v>1</v>
      </c>
      <c r="P5465" s="12" t="n">
        <v>13800</v>
      </c>
      <c r="Q5465" s="12" t="n"/>
      <c r="R5465" s="12" t="n"/>
      <c r="S5465" s="12" t="inlineStr">
        <is>
          <t>Conduit</t>
        </is>
      </c>
      <c r="T5465" s="16" t="n">
        <v>15</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neutral grounding resistor beside the generator enclosure</t>
        </is>
      </c>
      <c r="AA5465" s="12">
        <f>N5465*O5465</f>
        <v/>
      </c>
    </row>
    <row r="5466">
      <c r="A5466" s="12" t="inlineStr">
        <is>
          <t>I-MV-0025</t>
        </is>
      </c>
      <c r="B5466" s="12" t="inlineStr">
        <is>
          <t>I</t>
        </is>
      </c>
      <c r="C5466" s="12" t="inlineStr">
        <is>
          <t>Modular / portable power</t>
        </is>
      </c>
      <c r="D5466" s="12" t="inlineStr">
        <is>
          <t>SC-1 PCM auxiliary transformer primary, 2 MVA 13.8 kV / 480 V (from the GCB bus)</t>
        </is>
      </c>
      <c r="E5466" s="12" t="inlineStr"/>
      <c r="F5466" s="12" t="inlineStr">
        <is>
          <t>SC-1 PCM + 15 kV GCB</t>
        </is>
      </c>
      <c r="G5466" s="12" t="inlineStr"/>
      <c r="H5466" s="12" t="inlineStr">
        <is>
          <t>SC-1 PCM + 15 kV GCB</t>
        </is>
      </c>
      <c r="I5466" s="12" t="inlineStr">
        <is>
          <t>MV 15 kV</t>
        </is>
      </c>
      <c r="J5466" s="12" t="inlineStr">
        <is>
          <t>MV-105 15 kV 1/C Cu, EPR 133%, Cu tape shield, PVC jacket (triplexed)</t>
        </is>
      </c>
      <c r="K5466" s="12" t="inlineStr">
        <is>
          <t>MV15|1/C|2</t>
        </is>
      </c>
      <c r="L5466" s="12" t="inlineStr">
        <is>
          <t>1/C</t>
        </is>
      </c>
      <c r="M5466" s="12" t="inlineStr">
        <is>
          <t>2</t>
        </is>
      </c>
      <c r="N5466" s="12" t="n">
        <v>1</v>
      </c>
      <c r="O5466" s="12" t="n">
        <v>3</v>
      </c>
      <c r="P5466" s="12" t="n">
        <v>13800</v>
      </c>
      <c r="Q5466" s="12" t="n">
        <v>2000</v>
      </c>
      <c r="R5466" s="12" t="n">
        <v>84</v>
      </c>
      <c r="S5466" s="12" t="inlineStr">
        <is>
          <t>Tray</t>
        </is>
      </c>
      <c r="T5466" s="16" t="n">
        <v>0</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is>
          <t>internal to the PCM; ~1.0-1.1 MW connected 480 V load + 0.5 MW conditional inlet chiller</t>
        </is>
      </c>
      <c r="AA5466" s="12">
        <f>N5466*O5466</f>
        <v/>
      </c>
    </row>
    <row r="5467">
      <c r="A5467" s="12" t="inlineStr">
        <is>
          <t>I-MV-0026</t>
        </is>
      </c>
      <c r="B5467" s="12" t="inlineStr">
        <is>
          <t>I</t>
        </is>
      </c>
      <c r="C5467" s="12" t="inlineStr">
        <is>
          <t>Modular / portable power</t>
        </is>
      </c>
      <c r="D5467" s="12" t="inlineStr">
        <is>
          <t>SC-2 (LM6000 class) generator leads to its PCM / GCB</t>
        </is>
      </c>
      <c r="E5467" s="12" t="inlineStr">
        <is>
          <t>SC-2</t>
        </is>
      </c>
      <c r="F5467" s="12" t="inlineStr">
        <is>
          <t>SC-2: aeroderivative simple-cycle unit (LM6000 class)</t>
        </is>
      </c>
      <c r="G5467" s="12" t="inlineStr"/>
      <c r="H5467" s="12" t="inlineStr">
        <is>
          <t>SC-2 PCM + 15 kV GCB</t>
        </is>
      </c>
      <c r="I5467" s="12" t="inlineStr">
        <is>
          <t>MV 15 kV</t>
        </is>
      </c>
      <c r="J5467" s="12" t="inlineStr">
        <is>
          <t>MV-105 15 kV 1/C Cu, EPR 133%, Cu tape shield, PVC jacket (triplexed)</t>
        </is>
      </c>
      <c r="K5467" s="12" t="inlineStr">
        <is>
          <t>MV15|1/C|750</t>
        </is>
      </c>
      <c r="L5467" s="12" t="inlineStr">
        <is>
          <t>1/C</t>
        </is>
      </c>
      <c r="M5467" s="12" t="inlineStr">
        <is>
          <t>750 kcmil</t>
        </is>
      </c>
      <c r="N5467" s="12" t="n">
        <v>5</v>
      </c>
      <c r="O5467" s="12" t="n">
        <v>3</v>
      </c>
      <c r="P5467" s="12" t="n">
        <v>13800</v>
      </c>
      <c r="Q5467" s="12" t="n">
        <v>50000</v>
      </c>
      <c r="R5467" s="12" t="n">
        <v>2092</v>
      </c>
      <c r="S5467" s="12" t="inlineStr">
        <is>
          <t>Tray</t>
        </is>
      </c>
      <c r="T5467" s="16" t="n">
        <v>0</v>
      </c>
      <c r="U5467" s="16" t="n">
        <v>57</v>
      </c>
      <c r="V5467" s="16">
        <f>ROUNDUP((T5467+U5467+2*'Read Me'!$B$13)*(1+'Read Me'!$B$12),-1)</f>
        <v/>
      </c>
      <c r="W5467" s="16">
        <f>V5467*N5467*O5467</f>
        <v/>
      </c>
      <c r="X5467" s="12">
        <f>IF(LEFT(I5467,2)="MV",2*N5467*IF(L5467="1/C",O5467,1),0)</f>
        <v/>
      </c>
      <c r="Y5467" s="12">
        <f>IF(OR(LEFT(K5467,4)="LVAX",LEFT(K5467,6)="MV15AX",LEFT(K5467,4)="CTAX",LEFT(K5467,2)="W|"),2*N5467*O5467,0)</f>
        <v/>
      </c>
      <c r="Z5467" s="12" t="inlineStr"/>
      <c r="AA5467" s="12">
        <f>N5467*O5467</f>
        <v/>
      </c>
    </row>
    <row r="5468">
      <c r="A5468" s="12" t="inlineStr">
        <is>
          <t>I-MV-0027</t>
        </is>
      </c>
      <c r="B5468" s="12" t="inlineStr">
        <is>
          <t>I</t>
        </is>
      </c>
      <c r="C5468" s="12" t="inlineStr">
        <is>
          <t>Modular / portable power</t>
        </is>
      </c>
      <c r="D5468" s="12" t="inlineStr">
        <is>
          <t>SC-2 generator neutral to the NGR (in the terminal-box enclosure)</t>
        </is>
      </c>
      <c r="E5468" s="12" t="inlineStr">
        <is>
          <t>SC-2</t>
        </is>
      </c>
      <c r="F5468" s="12" t="inlineStr">
        <is>
          <t>SC-2: aeroderivative simple-cycle unit (LM6000 class)</t>
        </is>
      </c>
      <c r="G5468" s="12" t="inlineStr"/>
      <c r="H5468" s="12" t="inlineStr">
        <is>
          <t>SC-2 PCM + 15 kV GCB</t>
        </is>
      </c>
      <c r="I5468" s="12" t="inlineStr">
        <is>
          <t>MV 15 kV</t>
        </is>
      </c>
      <c r="J5468" s="12" t="inlineStr">
        <is>
          <t>MV-105 15 kV 1/C Cu, EPR 133%, Cu tape shield, PVC jacket (triplexed)</t>
        </is>
      </c>
      <c r="K5468" s="12" t="inlineStr">
        <is>
          <t>MV15|1/C|2</t>
        </is>
      </c>
      <c r="L5468" s="12" t="inlineStr">
        <is>
          <t>1/C</t>
        </is>
      </c>
      <c r="M5468" s="12" t="inlineStr">
        <is>
          <t>2</t>
        </is>
      </c>
      <c r="N5468" s="12" t="n">
        <v>1</v>
      </c>
      <c r="O5468" s="12" t="n">
        <v>1</v>
      </c>
      <c r="P5468" s="12" t="n">
        <v>13800</v>
      </c>
      <c r="Q5468" s="12" t="n"/>
      <c r="R5468" s="12" t="n"/>
      <c r="S5468" s="12" t="inlineStr">
        <is>
          <t>Conduit</t>
        </is>
      </c>
      <c r="T5468" s="16" t="n">
        <v>15</v>
      </c>
      <c r="U5468" s="16" t="n">
        <v>10</v>
      </c>
      <c r="V5468" s="16">
        <f>ROUNDUP((T5468+U5468+2*'Read Me'!$B$13)*(1+'Read Me'!$B$12),-1)</f>
        <v/>
      </c>
      <c r="W5468" s="16">
        <f>V5468*N5468*O5468</f>
        <v/>
      </c>
      <c r="X5468" s="12">
        <f>IF(LEFT(I5468,2)="MV",2*N5468*IF(L5468="1/C",O5468,1),0)</f>
        <v/>
      </c>
      <c r="Y5468" s="12">
        <f>IF(OR(LEFT(K5468,4)="LVAX",LEFT(K5468,6)="MV15AX",LEFT(K5468,4)="CTAX",LEFT(K5468,2)="W|"),2*N5468*O5468,0)</f>
        <v/>
      </c>
      <c r="Z5468" s="12" t="inlineStr">
        <is>
          <t>neutral grounding resistor beside the generator enclosure</t>
        </is>
      </c>
      <c r="AA5468" s="12">
        <f>N5468*O5468</f>
        <v/>
      </c>
    </row>
    <row r="5469">
      <c r="A5469" s="12" t="inlineStr">
        <is>
          <t>I-MV-0028</t>
        </is>
      </c>
      <c r="B5469" s="12" t="inlineStr">
        <is>
          <t>I</t>
        </is>
      </c>
      <c r="C5469" s="12" t="inlineStr">
        <is>
          <t>Modular / portable power</t>
        </is>
      </c>
      <c r="D5469" s="12" t="inlineStr">
        <is>
          <t>SC-2 PCM auxiliary transformer primary, 2 MVA 13.8 kV / 480 V (from the GCB bus)</t>
        </is>
      </c>
      <c r="E5469" s="12" t="inlineStr"/>
      <c r="F5469" s="12" t="inlineStr">
        <is>
          <t>SC-2 PCM + 15 kV GCB</t>
        </is>
      </c>
      <c r="G5469" s="12" t="inlineStr"/>
      <c r="H5469" s="12" t="inlineStr">
        <is>
          <t>SC-2 PCM + 15 kV GCB</t>
        </is>
      </c>
      <c r="I5469" s="12" t="inlineStr">
        <is>
          <t>MV 15 kV</t>
        </is>
      </c>
      <c r="J5469" s="12" t="inlineStr">
        <is>
          <t>MV-105 15 kV 1/C Cu, EPR 133%, Cu tape shield, PVC jacket (triplexed)</t>
        </is>
      </c>
      <c r="K5469" s="12" t="inlineStr">
        <is>
          <t>MV15|1/C|2</t>
        </is>
      </c>
      <c r="L5469" s="12" t="inlineStr">
        <is>
          <t>1/C</t>
        </is>
      </c>
      <c r="M5469" s="12" t="inlineStr">
        <is>
          <t>2</t>
        </is>
      </c>
      <c r="N5469" s="12" t="n">
        <v>1</v>
      </c>
      <c r="O5469" s="12" t="n">
        <v>3</v>
      </c>
      <c r="P5469" s="12" t="n">
        <v>13800</v>
      </c>
      <c r="Q5469" s="12" t="n">
        <v>2000</v>
      </c>
      <c r="R5469" s="12" t="n">
        <v>84</v>
      </c>
      <c r="S5469" s="12" t="inlineStr">
        <is>
          <t>Tray</t>
        </is>
      </c>
      <c r="T5469" s="16" t="n">
        <v>0</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is>
          <t>internal to the PCM; ~1.0-1.1 MW connected 480 V load + 0.5 MW conditional inlet chiller</t>
        </is>
      </c>
      <c r="AA5469" s="12">
        <f>N5469*O5469</f>
        <v/>
      </c>
    </row>
    <row r="5470">
      <c r="A5470" s="12" t="inlineStr">
        <is>
          <t>I-MV-0029</t>
        </is>
      </c>
      <c r="B5470" s="12" t="inlineStr">
        <is>
          <t>I</t>
        </is>
      </c>
      <c r="C5470" s="12" t="inlineStr">
        <is>
          <t>Modular / portable power</t>
        </is>
      </c>
      <c r="D5470" s="12" t="inlineStr">
        <is>
          <t>L3 35 kV collector loop, segment 1 of 5 (SWG-MY to GBT-1)</t>
        </is>
      </c>
      <c r="E5470" s="12" t="inlineStr">
        <is>
          <t>SWG-MY</t>
        </is>
      </c>
      <c r="F5470" s="12" t="inlineStr">
        <is>
          <t xml:space="preserve">SWG-MY: 35 kV switchgear lineup for the modular blocks (group breaker </t>
        </is>
      </c>
      <c r="G5470" s="12" t="inlineStr">
        <is>
          <t>GBT-1</t>
        </is>
      </c>
      <c r="H5470" s="12" t="inlineStr">
        <is>
          <t>GBT-1: block GB-1 step-up 480 V : 34.5 kV, ~3 MVA pad-mount (on the 35</t>
        </is>
      </c>
      <c r="I5470" s="12" t="inlineStr">
        <is>
          <t>MV 35 kV</t>
        </is>
      </c>
      <c r="J5470" s="12" t="inlineStr">
        <is>
          <t>MV-105 35 kV 1/C Al, EPR 133%, 1/3 concentric neutral, LLDPE jacket</t>
        </is>
      </c>
      <c r="K5470" s="12" t="inlineStr">
        <is>
          <t>MV35|1/C|750</t>
        </is>
      </c>
      <c r="L5470" s="12" t="inlineStr">
        <is>
          <t>1/C</t>
        </is>
      </c>
      <c r="M5470" s="12" t="inlineStr">
        <is>
          <t>750 kcmil</t>
        </is>
      </c>
      <c r="N5470" s="12" t="n">
        <v>1</v>
      </c>
      <c r="O5470" s="12" t="n">
        <v>3</v>
      </c>
      <c r="P5470" s="12" t="n">
        <v>34500</v>
      </c>
      <c r="Q5470" s="12" t="n">
        <v>10000</v>
      </c>
      <c r="R5470" s="12" t="n">
        <v>167</v>
      </c>
      <c r="S5470" s="12" t="inlineStr">
        <is>
          <t>Duct bank</t>
        </is>
      </c>
      <c r="T5470" s="16" t="n">
        <v>82</v>
      </c>
      <c r="U5470" s="16" t="n">
        <v>37</v>
      </c>
      <c r="V5470" s="16">
        <f>ROUNDUP((T5470+U5470+2*'Read Me'!$B$13)*(1+'Read Me'!$B$12),-1)</f>
        <v/>
      </c>
      <c r="W5470" s="16">
        <f>V5470*N5470*O5470</f>
        <v/>
      </c>
      <c r="X5470" s="12">
        <f>IF(LEFT(I5470,2)="MV",2*N5470*IF(L5470="1/C",O5470,1),0)</f>
        <v/>
      </c>
      <c r="Y5470" s="12">
        <f>IF(OR(LEFT(K5470,4)="LVAX",LEFT(K5470,6)="MV15AX",LEFT(K5470,4)="CTAX",LEFT(K5470,2)="W|"),2*N5470*O5470,0)</f>
        <v/>
      </c>
      <c r="Z5470" s="12" t="inlineStr">
        <is>
          <t>loop conductor 750 kcmil Al, 133 % (WORKING ASSUMPTION)</t>
        </is>
      </c>
      <c r="AA5470" s="12">
        <f>N5470*O5470</f>
        <v/>
      </c>
    </row>
    <row r="5471">
      <c r="A5471" s="12" t="inlineStr">
        <is>
          <t>I-MV-0030</t>
        </is>
      </c>
      <c r="B5471" s="12" t="inlineStr">
        <is>
          <t>I</t>
        </is>
      </c>
      <c r="C5471" s="12" t="inlineStr">
        <is>
          <t>Modular / portable power</t>
        </is>
      </c>
      <c r="D5471" s="12" t="inlineStr">
        <is>
          <t>L3 35 kV collector loop, segment 2 of 5 (GBT-1 to GBT-2)</t>
        </is>
      </c>
      <c r="E5471" s="12" t="inlineStr">
        <is>
          <t>GBT-1</t>
        </is>
      </c>
      <c r="F5471" s="12" t="inlineStr">
        <is>
          <t>GBT-1: block GB-1 step-up 480 V : 34.5 kV, ~3 MVA pad-mount (on the 35</t>
        </is>
      </c>
      <c r="G5471" s="12" t="inlineStr">
        <is>
          <t>GBT-2</t>
        </is>
      </c>
      <c r="H5471" s="12" t="inlineStr">
        <is>
          <t>GBT-2: block GB-2 step-up 480 V : 34.5 kV, ~3 MVA pad-mount (on the 35</t>
        </is>
      </c>
      <c r="I5471" s="12" t="inlineStr">
        <is>
          <t>MV 35 kV</t>
        </is>
      </c>
      <c r="J5471" s="12" t="inlineStr">
        <is>
          <t>MV-105 35 kV 1/C Al, EPR 133%, 1/3 concentric neutral, LLDPE jacket</t>
        </is>
      </c>
      <c r="K5471" s="12" t="inlineStr">
        <is>
          <t>MV35|1/C|750</t>
        </is>
      </c>
      <c r="L5471" s="12" t="inlineStr">
        <is>
          <t>1/C</t>
        </is>
      </c>
      <c r="M5471" s="12" t="inlineStr">
        <is>
          <t>750 kcmil</t>
        </is>
      </c>
      <c r="N5471" s="12" t="n">
        <v>1</v>
      </c>
      <c r="O5471" s="12" t="n">
        <v>3</v>
      </c>
      <c r="P5471" s="12" t="n">
        <v>34500</v>
      </c>
      <c r="Q5471" s="12" t="n">
        <v>10000</v>
      </c>
      <c r="R5471" s="12" t="n">
        <v>167</v>
      </c>
      <c r="S5471" s="12" t="inlineStr">
        <is>
          <t>Surface</t>
        </is>
      </c>
      <c r="T5471" s="16" t="n">
        <v>78</v>
      </c>
      <c r="U5471" s="16" t="n">
        <v>37</v>
      </c>
      <c r="V5471" s="16">
        <f>ROUNDUP((T5471+U5471+2*'Read Me'!$B$13)*(1+'Read Me'!$B$12),-1)</f>
        <v/>
      </c>
      <c r="W5471" s="16">
        <f>V5471*N5471*O5471</f>
        <v/>
      </c>
      <c r="X5471" s="12">
        <f>IF(LEFT(I5471,2)="MV",2*N5471*IF(L5471="1/C",O5471,1),0)</f>
        <v/>
      </c>
      <c r="Y5471" s="12">
        <f>IF(OR(LEFT(K5471,4)="LVAX",LEFT(K5471,6)="MV15AX",LEFT(K5471,4)="CTAX",LEFT(K5471,2)="W|"),2*N5471*O5471,0)</f>
        <v/>
      </c>
      <c r="Z5471" s="12" t="inlineStr">
        <is>
          <t>loop conductor 750 kcmil Al, 133 % (WORKING ASSUMPTION)</t>
        </is>
      </c>
      <c r="AA5471" s="12">
        <f>N5471*O5471</f>
        <v/>
      </c>
    </row>
    <row r="5472">
      <c r="A5472" s="12" t="inlineStr">
        <is>
          <t>I-MV-0031</t>
        </is>
      </c>
      <c r="B5472" s="12" t="inlineStr">
        <is>
          <t>I</t>
        </is>
      </c>
      <c r="C5472" s="12" t="inlineStr">
        <is>
          <t>Modular / portable power</t>
        </is>
      </c>
      <c r="D5472" s="12" t="inlineStr">
        <is>
          <t>L3 35 kV collector loop, segment 3 of 5 (GBT-2 to GBT-3)</t>
        </is>
      </c>
      <c r="E5472" s="12" t="inlineStr">
        <is>
          <t>GBT-2</t>
        </is>
      </c>
      <c r="F5472" s="12" t="inlineStr">
        <is>
          <t>GBT-2: block GB-2 step-up 480 V : 34.5 kV, ~3 MVA pad-mount (on the 35</t>
        </is>
      </c>
      <c r="G5472" s="12" t="inlineStr">
        <is>
          <t>GBT-3</t>
        </is>
      </c>
      <c r="H5472" s="12" t="inlineStr">
        <is>
          <t>GBT-3: block GB-3 step-up 480 V : 34.5 kV, ~3 MVA pad-mount (on the 35</t>
        </is>
      </c>
      <c r="I5472" s="12" t="inlineStr">
        <is>
          <t>MV 35 kV</t>
        </is>
      </c>
      <c r="J5472" s="12" t="inlineStr">
        <is>
          <t>MV-105 35 kV 1/C Al, EPR 133%, 1/3 concentric neutral, LLDPE jacket</t>
        </is>
      </c>
      <c r="K5472" s="12" t="inlineStr">
        <is>
          <t>MV35|1/C|750</t>
        </is>
      </c>
      <c r="L5472" s="12" t="inlineStr">
        <is>
          <t>1/C</t>
        </is>
      </c>
      <c r="M5472" s="12" t="inlineStr">
        <is>
          <t>750 kcmil</t>
        </is>
      </c>
      <c r="N5472" s="12" t="n">
        <v>1</v>
      </c>
      <c r="O5472" s="12" t="n">
        <v>3</v>
      </c>
      <c r="P5472" s="12" t="n">
        <v>34500</v>
      </c>
      <c r="Q5472" s="12" t="n">
        <v>10000</v>
      </c>
      <c r="R5472" s="12" t="n">
        <v>167</v>
      </c>
      <c r="S5472" s="12" t="inlineStr">
        <is>
          <t>Surface</t>
        </is>
      </c>
      <c r="T5472" s="16" t="n">
        <v>28</v>
      </c>
      <c r="U5472" s="16" t="n">
        <v>27</v>
      </c>
      <c r="V5472" s="16">
        <f>ROUNDUP((T5472+U5472+2*'Read Me'!$B$13)*(1+'Read Me'!$B$12),-1)</f>
        <v/>
      </c>
      <c r="W5472" s="16">
        <f>V5472*N5472*O5472</f>
        <v/>
      </c>
      <c r="X5472" s="12">
        <f>IF(LEFT(I5472,2)="MV",2*N5472*IF(L5472="1/C",O5472,1),0)</f>
        <v/>
      </c>
      <c r="Y5472" s="12">
        <f>IF(OR(LEFT(K5472,4)="LVAX",LEFT(K5472,6)="MV15AX",LEFT(K5472,4)="CTAX",LEFT(K5472,2)="W|"),2*N5472*O5472,0)</f>
        <v/>
      </c>
      <c r="Z5472" s="12" t="inlineStr">
        <is>
          <t>loop conductor 750 kcmil Al, 133 % (WORKING ASSUMPTION)</t>
        </is>
      </c>
      <c r="AA5472" s="12">
        <f>N5472*O5472</f>
        <v/>
      </c>
    </row>
    <row r="5473">
      <c r="A5473" s="12" t="inlineStr">
        <is>
          <t>I-MV-0032</t>
        </is>
      </c>
      <c r="B5473" s="12" t="inlineStr">
        <is>
          <t>I</t>
        </is>
      </c>
      <c r="C5473" s="12" t="inlineStr">
        <is>
          <t>Modular / portable power</t>
        </is>
      </c>
      <c r="D5473" s="12" t="inlineStr">
        <is>
          <t>L3 35 kV collector loop, segment 4 of 5 (GBT-3 to GBT-4)</t>
        </is>
      </c>
      <c r="E5473" s="12" t="inlineStr">
        <is>
          <t>GBT-3</t>
        </is>
      </c>
      <c r="F5473" s="12" t="inlineStr">
        <is>
          <t>GBT-3: block GB-3 step-up 480 V : 34.5 kV, ~3 MVA pad-mount (on the 35</t>
        </is>
      </c>
      <c r="G5473" s="12" t="inlineStr">
        <is>
          <t>GBT-4</t>
        </is>
      </c>
      <c r="H5473" s="12" t="inlineStr">
        <is>
          <t>GBT-4: block GB-4 step-up 480 V : 34.5 kV, ~3 MVA pad-mount (on the 35</t>
        </is>
      </c>
      <c r="I5473" s="12" t="inlineStr">
        <is>
          <t>MV 35 kV</t>
        </is>
      </c>
      <c r="J5473" s="12" t="inlineStr">
        <is>
          <t>MV-105 35 kV 1/C Al, EPR 133%, 1/3 concentric neutral, LLDPE jacket</t>
        </is>
      </c>
      <c r="K5473" s="12" t="inlineStr">
        <is>
          <t>MV35|1/C|750</t>
        </is>
      </c>
      <c r="L5473" s="12" t="inlineStr">
        <is>
          <t>1/C</t>
        </is>
      </c>
      <c r="M5473" s="12" t="inlineStr">
        <is>
          <t>750 kcmil</t>
        </is>
      </c>
      <c r="N5473" s="12" t="n">
        <v>1</v>
      </c>
      <c r="O5473" s="12" t="n">
        <v>3</v>
      </c>
      <c r="P5473" s="12" t="n">
        <v>34500</v>
      </c>
      <c r="Q5473" s="12" t="n">
        <v>10000</v>
      </c>
      <c r="R5473" s="12" t="n">
        <v>167</v>
      </c>
      <c r="S5473" s="12" t="inlineStr">
        <is>
          <t>Surface</t>
        </is>
      </c>
      <c r="T5473" s="16" t="n">
        <v>79</v>
      </c>
      <c r="U5473" s="16" t="n">
        <v>37</v>
      </c>
      <c r="V5473" s="16">
        <f>ROUNDUP((T5473+U5473+2*'Read Me'!$B$13)*(1+'Read Me'!$B$12),-1)</f>
        <v/>
      </c>
      <c r="W5473" s="16">
        <f>V5473*N5473*O5473</f>
        <v/>
      </c>
      <c r="X5473" s="12">
        <f>IF(LEFT(I5473,2)="MV",2*N5473*IF(L5473="1/C",O5473,1),0)</f>
        <v/>
      </c>
      <c r="Y5473" s="12">
        <f>IF(OR(LEFT(K5473,4)="LVAX",LEFT(K5473,6)="MV15AX",LEFT(K5473,4)="CTAX",LEFT(K5473,2)="W|"),2*N5473*O5473,0)</f>
        <v/>
      </c>
      <c r="Z5473" s="12" t="inlineStr">
        <is>
          <t>loop conductor 750 kcmil Al, 133 % (WORKING ASSUMPTION)</t>
        </is>
      </c>
      <c r="AA5473" s="12">
        <f>N5473*O5473</f>
        <v/>
      </c>
    </row>
    <row r="5474">
      <c r="A5474" s="12" t="inlineStr">
        <is>
          <t>I-MV-0033</t>
        </is>
      </c>
      <c r="B5474" s="12" t="inlineStr">
        <is>
          <t>I</t>
        </is>
      </c>
      <c r="C5474" s="12" t="inlineStr">
        <is>
          <t>Modular / portable power</t>
        </is>
      </c>
      <c r="D5474" s="12" t="inlineStr">
        <is>
          <t>L3 35 kV collector loop, segment 5 of 5 (GBT-4 to SWG-MY)</t>
        </is>
      </c>
      <c r="E5474" s="12" t="inlineStr">
        <is>
          <t>GBT-4</t>
        </is>
      </c>
      <c r="F5474" s="12" t="inlineStr">
        <is>
          <t>GBT-4: block GB-4 step-up 480 V : 34.5 kV, ~3 MVA pad-mount (on the 35</t>
        </is>
      </c>
      <c r="G5474" s="12" t="inlineStr">
        <is>
          <t>SWG-MY</t>
        </is>
      </c>
      <c r="H5474" s="12" t="inlineStr">
        <is>
          <t xml:space="preserve">SWG-MY: 35 kV switchgear lineup for the modular blocks (group breaker </t>
        </is>
      </c>
      <c r="I5474" s="12" t="inlineStr">
        <is>
          <t>MV 35 kV</t>
        </is>
      </c>
      <c r="J5474" s="12" t="inlineStr">
        <is>
          <t>MV-105 35 kV 1/C Al, EPR 133%, 1/3 concentric neutral, LLDPE jacket</t>
        </is>
      </c>
      <c r="K5474" s="12" t="inlineStr">
        <is>
          <t>MV35|1/C|750</t>
        </is>
      </c>
      <c r="L5474" s="12" t="inlineStr">
        <is>
          <t>1/C</t>
        </is>
      </c>
      <c r="M5474" s="12" t="inlineStr">
        <is>
          <t>750 kcmil</t>
        </is>
      </c>
      <c r="N5474" s="12" t="n">
        <v>1</v>
      </c>
      <c r="O5474" s="12" t="n">
        <v>3</v>
      </c>
      <c r="P5474" s="12" t="n">
        <v>34500</v>
      </c>
      <c r="Q5474" s="12" t="n">
        <v>10000</v>
      </c>
      <c r="R5474" s="12" t="n">
        <v>167</v>
      </c>
      <c r="S5474" s="12" t="inlineStr">
        <is>
          <t>Duct bank</t>
        </is>
      </c>
      <c r="T5474" s="16" t="n">
        <v>121</v>
      </c>
      <c r="U5474" s="16" t="n">
        <v>37</v>
      </c>
      <c r="V5474" s="16">
        <f>ROUNDUP((T5474+U5474+2*'Read Me'!$B$13)*(1+'Read Me'!$B$12),-1)</f>
        <v/>
      </c>
      <c r="W5474" s="16">
        <f>V5474*N5474*O5474</f>
        <v/>
      </c>
      <c r="X5474" s="12">
        <f>IF(LEFT(I5474,2)="MV",2*N5474*IF(L5474="1/C",O5474,1),0)</f>
        <v/>
      </c>
      <c r="Y5474" s="12">
        <f>IF(OR(LEFT(K5474,4)="LVAX",LEFT(K5474,6)="MV15AX",LEFT(K5474,4)="CTAX",LEFT(K5474,2)="W|"),2*N5474*O5474,0)</f>
        <v/>
      </c>
      <c r="Z5474" s="12" t="inlineStr">
        <is>
          <t>loop conductor 750 kcmil Al, 133 % (WORKING ASSUMPTION)</t>
        </is>
      </c>
      <c r="AA5474" s="12">
        <f>N5474*O5474</f>
        <v/>
      </c>
    </row>
    <row r="5475">
      <c r="A5475" s="12" t="inlineStr">
        <is>
          <t>I-MV-0034</t>
        </is>
      </c>
      <c r="B5475" s="12" t="inlineStr">
        <is>
          <t>I</t>
        </is>
      </c>
      <c r="C5475" s="12" t="inlineStr">
        <is>
          <t>Modular / portable power</t>
        </is>
      </c>
      <c r="D5475" s="12" t="inlineStr">
        <is>
          <t>L5 SWG-MY feeder to the data centre 34.5 kV switchgear BTM-SWGR, to the fence (scope owner TO VERIFY)</t>
        </is>
      </c>
      <c r="E5475" s="12" t="inlineStr">
        <is>
          <t>SWG-MY</t>
        </is>
      </c>
      <c r="F5475" s="12" t="inlineStr">
        <is>
          <t xml:space="preserve">SWG-MY: 35 kV switchgear lineup for the modular blocks (group breaker </t>
        </is>
      </c>
      <c r="G5475" s="12" t="inlineStr">
        <is>
          <t>SWG-MY</t>
        </is>
      </c>
      <c r="H5475" s="12" t="inlineStr">
        <is>
          <t xml:space="preserve">SWG-MY: 35 kV switchgear lineup for the modular blocks (group breaker </t>
        </is>
      </c>
      <c r="I5475" s="12" t="inlineStr">
        <is>
          <t>MV 35 kV</t>
        </is>
      </c>
      <c r="J5475" s="12" t="inlineStr">
        <is>
          <t>MV-105 35 kV 1/C Al, EPR 133%, 1/3 concentric neutral, LLDPE jacket</t>
        </is>
      </c>
      <c r="K5475" s="12" t="inlineStr">
        <is>
          <t>MV35|1/C|750</t>
        </is>
      </c>
      <c r="L5475" s="12" t="inlineStr">
        <is>
          <t>1/C</t>
        </is>
      </c>
      <c r="M5475" s="12" t="inlineStr">
        <is>
          <t>750 kcmil</t>
        </is>
      </c>
      <c r="N5475" s="12" t="n">
        <v>1</v>
      </c>
      <c r="O5475" s="12" t="n">
        <v>3</v>
      </c>
      <c r="P5475" s="12" t="n">
        <v>34500</v>
      </c>
      <c r="Q5475" s="12" t="n">
        <v>10000</v>
      </c>
      <c r="R5475" s="12" t="n">
        <v>167</v>
      </c>
      <c r="S5475" s="12" t="inlineStr">
        <is>
          <t>Buried</t>
        </is>
      </c>
      <c r="T5475" s="16" t="n">
        <v>585</v>
      </c>
      <c r="U5475" s="16" t="n">
        <v>20</v>
      </c>
      <c r="V5475" s="16">
        <f>ROUNDUP((T5475+U5475+2*'Read Me'!$B$13)*(1+'Read Me'!$B$12),-1)</f>
        <v/>
      </c>
      <c r="W5475" s="16">
        <f>V5475*N5475*O5475</f>
        <v/>
      </c>
      <c r="X5475" s="12">
        <f>IF(LEFT(I5475,2)="MV",2*N5475*IF(L5475="1/C",O5475,1),0)</f>
        <v/>
      </c>
      <c r="Y5475" s="12">
        <f>IF(OR(LEFT(K5475,4)="LVAX",LEFT(K5475,6)="MV15AX",LEFT(K5475,4)="CTAX",LEFT(K5475,2)="W|"),2*N5475*O5475,0)</f>
        <v/>
      </c>
      <c r="Z5475" s="12" t="inlineStr">
        <is>
          <t>to the fence 585 ft; + ~120 ft beyond to BTM-SWGR (data-centre scope)</t>
        </is>
      </c>
      <c r="AA5475" s="12">
        <f>N5475*O5475</f>
        <v/>
      </c>
    </row>
    <row r="5476">
      <c r="A5476" s="12" t="inlineStr">
        <is>
          <t>I-PP-0001</t>
        </is>
      </c>
      <c r="B5476" s="12" t="inlineStr">
        <is>
          <t>I</t>
        </is>
      </c>
      <c r="C5476" s="12" t="inlineStr">
        <is>
          <t>Modular / portable power</t>
        </is>
      </c>
      <c r="D5476" s="12" t="inlineStr">
        <is>
          <t>GEN-E 480 V to PAD-LV (Type W sets, cam-lock)</t>
        </is>
      </c>
      <c r="E5476" s="12" t="inlineStr">
        <is>
          <t>GEN-E</t>
        </is>
      </c>
      <c r="F5476" s="12" t="inlineStr">
        <is>
          <t>GEN-E: enclosed industrial gas genset 2 MW</t>
        </is>
      </c>
      <c r="G5476" s="12" t="inlineStr">
        <is>
          <t>PAD-LV</t>
        </is>
      </c>
      <c r="H5476" s="12" t="inlineStr">
        <is>
          <t>PAD-LV 480 V paralleling switchboard</t>
        </is>
      </c>
      <c r="I5476" s="12" t="inlineStr">
        <is>
          <t>Portable LV</t>
        </is>
      </c>
      <c r="J5476" s="12" t="inlineStr">
        <is>
          <t>Type W 2 kV 1/C Cu, EPDM / CPE (portable, cam-lock)</t>
        </is>
      </c>
      <c r="K5476" s="12" t="inlineStr">
        <is>
          <t>W|1/C|4/0</t>
        </is>
      </c>
      <c r="L5476" s="12" t="inlineStr">
        <is>
          <t>1/C</t>
        </is>
      </c>
      <c r="M5476" s="12" t="inlineStr">
        <is>
          <t>4/0</t>
        </is>
      </c>
      <c r="N5476" s="12" t="n">
        <v>8</v>
      </c>
      <c r="O5476" s="12" t="n">
        <v>4</v>
      </c>
      <c r="P5476" s="12" t="n">
        <v>480</v>
      </c>
      <c r="Q5476" s="12" t="n">
        <v>2000</v>
      </c>
      <c r="R5476" s="12" t="n">
        <v>2406</v>
      </c>
      <c r="S5476" s="12" t="inlineStr">
        <is>
          <t>Surface</t>
        </is>
      </c>
      <c r="T5476" s="16" t="n">
        <v>143</v>
      </c>
      <c r="U5476" s="16" t="n">
        <v>27</v>
      </c>
      <c r="V5476" s="16">
        <f>ROUNDUP((T5476+U5476+2*'Read Me'!$B$13)*(1+'Read Me'!$B$12),-1)</f>
        <v/>
      </c>
      <c r="W5476" s="16">
        <f>V5476*N5476*O5476</f>
        <v/>
      </c>
      <c r="X5476" s="12">
        <f>IF(LEFT(I5476,2)="MV",2*N5476*IF(L5476="1/C",O5476,1),0)</f>
        <v/>
      </c>
      <c r="Y5476" s="12">
        <f>IF(OR(LEFT(K5476,4)="LVAX",LEFT(K5476,6)="MV15AX",LEFT(K5476,4)="CTAX",LEFT(K5476,2)="W|"),2*N5476*O5476,0)</f>
        <v/>
      </c>
      <c r="Z5476" s="12" t="inlineStr">
        <is>
          <t>4 x 1/C per set incl. ground</t>
        </is>
      </c>
      <c r="AA5476" s="12">
        <f>N5476*O5476</f>
        <v/>
      </c>
    </row>
    <row r="5477">
      <c r="A5477" s="12" t="inlineStr">
        <is>
          <t>I-PP-0002</t>
        </is>
      </c>
      <c r="B5477" s="12" t="inlineStr">
        <is>
          <t>I</t>
        </is>
      </c>
      <c r="C5477" s="12" t="inlineStr">
        <is>
          <t>Modular / portable power</t>
        </is>
      </c>
      <c r="D5477" s="12" t="inlineStr">
        <is>
          <t>GEN-O 480 V to PAD-LV (Type W sets, cam-lock)</t>
        </is>
      </c>
      <c r="E5477" s="12" t="inlineStr">
        <is>
          <t>GEN-O</t>
        </is>
      </c>
      <c r="F5477" s="12" t="inlineStr">
        <is>
          <t>GEN-O: open engine-generator skid</t>
        </is>
      </c>
      <c r="G5477" s="12" t="inlineStr">
        <is>
          <t>PAD-LV</t>
        </is>
      </c>
      <c r="H5477" s="12" t="inlineStr">
        <is>
          <t>PAD-LV 480 V paralleling switchboard</t>
        </is>
      </c>
      <c r="I5477" s="12" t="inlineStr">
        <is>
          <t>Portable LV</t>
        </is>
      </c>
      <c r="J5477" s="12" t="inlineStr">
        <is>
          <t>Type W 2 kV 1/C Cu, EPDM / CPE (portable, cam-lock)</t>
        </is>
      </c>
      <c r="K5477" s="12" t="inlineStr">
        <is>
          <t>W|1/C|4/0</t>
        </is>
      </c>
      <c r="L5477" s="12" t="inlineStr">
        <is>
          <t>1/C</t>
        </is>
      </c>
      <c r="M5477" s="12" t="inlineStr">
        <is>
          <t>4/0</t>
        </is>
      </c>
      <c r="N5477" s="12" t="n">
        <v>4</v>
      </c>
      <c r="O5477" s="12" t="n">
        <v>4</v>
      </c>
      <c r="P5477" s="12" t="n">
        <v>480</v>
      </c>
      <c r="Q5477" s="12" t="n">
        <v>1000</v>
      </c>
      <c r="R5477" s="12" t="n">
        <v>1203</v>
      </c>
      <c r="S5477" s="12" t="inlineStr">
        <is>
          <t>Surface</t>
        </is>
      </c>
      <c r="T5477" s="16" t="n">
        <v>132</v>
      </c>
      <c r="U5477" s="16" t="n">
        <v>27</v>
      </c>
      <c r="V5477" s="16">
        <f>ROUNDUP((T5477+U5477+2*'Read Me'!$B$13)*(1+'Read Me'!$B$12),-1)</f>
        <v/>
      </c>
      <c r="W5477" s="16">
        <f>V5477*N5477*O5477</f>
        <v/>
      </c>
      <c r="X5477" s="12">
        <f>IF(LEFT(I5477,2)="MV",2*N5477*IF(L5477="1/C",O5477,1),0)</f>
        <v/>
      </c>
      <c r="Y5477" s="12">
        <f>IF(OR(LEFT(K5477,4)="LVAX",LEFT(K5477,6)="MV15AX",LEFT(K5477,4)="CTAX",LEFT(K5477,2)="W|"),2*N5477*O5477,0)</f>
        <v/>
      </c>
      <c r="Z5477" s="12" t="inlineStr">
        <is>
          <t>4 x 1/C per set incl. ground</t>
        </is>
      </c>
      <c r="AA5477" s="12">
        <f>N5477*O5477</f>
        <v/>
      </c>
    </row>
    <row r="5478">
      <c r="A5478" s="12" t="inlineStr">
        <is>
          <t>I-PP-0003</t>
        </is>
      </c>
      <c r="B5478" s="12" t="inlineStr">
        <is>
          <t>I</t>
        </is>
      </c>
      <c r="C5478" s="12" t="inlineStr">
        <is>
          <t>Modular / portable power</t>
        </is>
      </c>
      <c r="D5478" s="12" t="inlineStr">
        <is>
          <t>CONT-1 13.8 kV leads to GSP-1</t>
        </is>
      </c>
      <c r="E5478" s="12" t="inlineStr">
        <is>
          <t>CONT-1</t>
        </is>
      </c>
      <c r="F5478" s="12" t="inlineStr">
        <is>
          <t>CONT-1: containerized genset 13.8 kV (40 ft)</t>
        </is>
      </c>
      <c r="G5478" s="12" t="inlineStr">
        <is>
          <t>GSP-1</t>
        </is>
      </c>
      <c r="H5478" s="12" t="inlineStr">
        <is>
          <t>GSP-1: generator breaker / protection</t>
        </is>
      </c>
      <c r="I5478" s="12" t="inlineStr">
        <is>
          <t>Portable MV</t>
        </is>
      </c>
      <c r="J5478" s="12" t="inlineStr">
        <is>
          <t>Type SHD-GC 15 kV 3/C Cu, 2 grounds + GC, yellow CPE (portable)</t>
        </is>
      </c>
      <c r="K5478" s="12" t="inlineStr">
        <is>
          <t>SHD|3/C|2</t>
        </is>
      </c>
      <c r="L5478" s="12" t="inlineStr">
        <is>
          <t>3/C</t>
        </is>
      </c>
      <c r="M5478" s="12" t="inlineStr">
        <is>
          <t>2</t>
        </is>
      </c>
      <c r="N5478" s="12" t="n">
        <v>1</v>
      </c>
      <c r="O5478" s="12" t="n">
        <v>1</v>
      </c>
      <c r="P5478" s="12" t="n">
        <v>13800</v>
      </c>
      <c r="Q5478" s="12" t="n">
        <v>2000</v>
      </c>
      <c r="R5478" s="12" t="n">
        <v>93</v>
      </c>
      <c r="S5478" s="12" t="inlineStr">
        <is>
          <t>Tray</t>
        </is>
      </c>
      <c r="T5478" s="16" t="n">
        <v>0</v>
      </c>
      <c r="U5478" s="16" t="n">
        <v>29</v>
      </c>
      <c r="V5478" s="16">
        <f>ROUNDUP((T5478+U5478+2*'Read Me'!$B$13)*(1+'Read Me'!$B$12),-1)</f>
        <v/>
      </c>
      <c r="W5478" s="16">
        <f>V5478*N5478*O5478</f>
        <v/>
      </c>
      <c r="X5478" s="12">
        <f>IF(LEFT(I5478,2)="MV",2*N5478*IF(L5478="1/C",O5478,1),0)</f>
        <v/>
      </c>
      <c r="Y5478" s="12">
        <f>IF(OR(LEFT(K5478,4)="LVAX",LEFT(K5478,6)="MV15AX",LEFT(K5478,4)="CTAX",LEFT(K5478,2)="W|"),2*N5478*O5478,0)</f>
        <v/>
      </c>
      <c r="Z5478" s="12" t="inlineStr">
        <is>
          <t>portable, on grade</t>
        </is>
      </c>
      <c r="AA5478" s="12">
        <f>N5478*O5478</f>
        <v/>
      </c>
    </row>
    <row r="5479">
      <c r="A5479" s="12" t="inlineStr">
        <is>
          <t>I-PP-0004</t>
        </is>
      </c>
      <c r="B5479" s="12" t="inlineStr">
        <is>
          <t>I</t>
        </is>
      </c>
      <c r="C5479" s="12" t="inlineStr">
        <is>
          <t>Modular / portable power</t>
        </is>
      </c>
      <c r="D5479" s="12" t="inlineStr">
        <is>
          <t>CONT-2 13.8 kV leads to GSP-2</t>
        </is>
      </c>
      <c r="E5479" s="12" t="inlineStr">
        <is>
          <t>CONT-2</t>
        </is>
      </c>
      <c r="F5479" s="12" t="inlineStr">
        <is>
          <t>CONT-2: containerized genset 13.8 kV (40 ft)</t>
        </is>
      </c>
      <c r="G5479" s="12" t="inlineStr">
        <is>
          <t>GSP-2</t>
        </is>
      </c>
      <c r="H5479" s="12" t="inlineStr">
        <is>
          <t>GSP-2: generator breaker / protection</t>
        </is>
      </c>
      <c r="I5479" s="12" t="inlineStr">
        <is>
          <t>Portable MV</t>
        </is>
      </c>
      <c r="J5479" s="12" t="inlineStr">
        <is>
          <t>Type SHD-GC 15 kV 3/C Cu, 2 grounds + GC, yellow CPE (portable)</t>
        </is>
      </c>
      <c r="K5479" s="12" t="inlineStr">
        <is>
          <t>SHD|3/C|2</t>
        </is>
      </c>
      <c r="L5479" s="12" t="inlineStr">
        <is>
          <t>3/C</t>
        </is>
      </c>
      <c r="M5479" s="12" t="inlineStr">
        <is>
          <t>2</t>
        </is>
      </c>
      <c r="N5479" s="12" t="n">
        <v>1</v>
      </c>
      <c r="O5479" s="12" t="n">
        <v>1</v>
      </c>
      <c r="P5479" s="12" t="n">
        <v>13800</v>
      </c>
      <c r="Q5479" s="12" t="n">
        <v>2000</v>
      </c>
      <c r="R5479" s="12" t="n">
        <v>93</v>
      </c>
      <c r="S5479" s="12" t="inlineStr">
        <is>
          <t>Riser</t>
        </is>
      </c>
      <c r="T5479" s="16" t="n">
        <v>2</v>
      </c>
      <c r="U5479" s="16" t="n">
        <v>27</v>
      </c>
      <c r="V5479" s="16">
        <f>ROUNDUP((T5479+U5479+2*'Read Me'!$B$13)*(1+'Read Me'!$B$12),-1)</f>
        <v/>
      </c>
      <c r="W5479" s="16">
        <f>V5479*N5479*O5479</f>
        <v/>
      </c>
      <c r="X5479" s="12">
        <f>IF(LEFT(I5479,2)="MV",2*N5479*IF(L5479="1/C",O5479,1),0)</f>
        <v/>
      </c>
      <c r="Y5479" s="12">
        <f>IF(OR(LEFT(K5479,4)="LVAX",LEFT(K5479,6)="MV15AX",LEFT(K5479,4)="CTAX",LEFT(K5479,2)="W|"),2*N5479*O5479,0)</f>
        <v/>
      </c>
      <c r="Z5479" s="12" t="inlineStr">
        <is>
          <t>portable, on grade</t>
        </is>
      </c>
      <c r="AA5479" s="12">
        <f>N5479*O5479</f>
        <v/>
      </c>
    </row>
    <row r="5480">
      <c r="A5480" s="12" t="inlineStr">
        <is>
          <t>I-PP-0005</t>
        </is>
      </c>
      <c r="B5480" s="12" t="inlineStr">
        <is>
          <t>I</t>
        </is>
      </c>
      <c r="C5480" s="12" t="inlineStr">
        <is>
          <t>Modular / portable power</t>
        </is>
      </c>
      <c r="D5480" s="12" t="inlineStr">
        <is>
          <t>PIC to commissioning load bank</t>
        </is>
      </c>
      <c r="E5480" s="12" t="inlineStr">
        <is>
          <t>PIC</t>
        </is>
      </c>
      <c r="F5480" s="12" t="inlineStr">
        <is>
          <t>PIC: portable input cabinet</t>
        </is>
      </c>
      <c r="G5480" s="12" t="inlineStr">
        <is>
          <t>LB</t>
        </is>
      </c>
      <c r="H5480" s="12" t="inlineStr">
        <is>
          <t>LB: commissioning load bank (trailer)</t>
        </is>
      </c>
      <c r="I5480" s="12" t="inlineStr">
        <is>
          <t>Portable MV</t>
        </is>
      </c>
      <c r="J5480" s="12" t="inlineStr">
        <is>
          <t>Type SHD-GC 15 kV 3/C Cu, 2 grounds + GC, yellow CPE (portable)</t>
        </is>
      </c>
      <c r="K5480" s="12" t="inlineStr">
        <is>
          <t>SHD|3/C|2</t>
        </is>
      </c>
      <c r="L5480" s="12" t="inlineStr">
        <is>
          <t>3/C</t>
        </is>
      </c>
      <c r="M5480" s="12" t="inlineStr">
        <is>
          <t>2</t>
        </is>
      </c>
      <c r="N5480" s="12" t="n">
        <v>1</v>
      </c>
      <c r="O5480" s="12" t="n">
        <v>1</v>
      </c>
      <c r="P5480" s="12" t="n">
        <v>13800</v>
      </c>
      <c r="Q5480" s="12" t="n">
        <v>2000</v>
      </c>
      <c r="R5480" s="12" t="n">
        <v>93</v>
      </c>
      <c r="S5480" s="12" t="inlineStr">
        <is>
          <t>Surface</t>
        </is>
      </c>
      <c r="T5480" s="16" t="n">
        <v>27</v>
      </c>
      <c r="U5480" s="16" t="n">
        <v>53</v>
      </c>
      <c r="V5480" s="16">
        <f>ROUNDUP((T5480+U5480+2*'Read Me'!$B$13)*(1+'Read Me'!$B$12),-1)</f>
        <v/>
      </c>
      <c r="W5480" s="16">
        <f>V5480*N5480*O5480</f>
        <v/>
      </c>
      <c r="X5480" s="12">
        <f>IF(LEFT(I5480,2)="MV",2*N5480*IF(L5480="1/C",O5480,1),0)</f>
        <v/>
      </c>
      <c r="Y5480" s="12">
        <f>IF(OR(LEFT(K5480,4)="LVAX",LEFT(K5480,6)="MV15AX",LEFT(K5480,4)="CTAX",LEFT(K5480,2)="W|"),2*N5480*O5480,0)</f>
        <v/>
      </c>
      <c r="Z5480" s="12" t="inlineStr">
        <is>
          <t>portable</t>
        </is>
      </c>
      <c r="AA5480" s="12">
        <f>N5480*O5480</f>
        <v/>
      </c>
    </row>
    <row r="5481">
      <c r="A5481" s="12" t="inlineStr">
        <is>
          <t>I-PP-0006</t>
        </is>
      </c>
      <c r="B5481" s="12" t="inlineStr">
        <is>
          <t>I</t>
        </is>
      </c>
      <c r="C5481" s="12" t="inlineStr">
        <is>
          <t>Modular / portable power</t>
        </is>
      </c>
      <c r="D5481" s="12" t="inlineStr">
        <is>
          <t>GSP-1 to PAD-EH</t>
        </is>
      </c>
      <c r="E5481" s="12" t="inlineStr">
        <is>
          <t>GSP-1</t>
        </is>
      </c>
      <c r="F5481" s="12" t="inlineStr">
        <is>
          <t>GSP-1: generator breaker / protection</t>
        </is>
      </c>
      <c r="G5481" s="12" t="inlineStr">
        <is>
          <t>PAD-EH</t>
        </is>
      </c>
      <c r="H5481" s="12" t="inlineStr">
        <is>
          <t>PAD-EH 13.8 kV switchgear e-house</t>
        </is>
      </c>
      <c r="I5481" s="12" t="inlineStr">
        <is>
          <t>Portable MV</t>
        </is>
      </c>
      <c r="J5481" s="12" t="inlineStr">
        <is>
          <t>Type SHD-GC 15 kV 3/C Cu, 2 grounds + GC, yellow CPE (portable)</t>
        </is>
      </c>
      <c r="K5481" s="12" t="inlineStr">
        <is>
          <t>SHD|3/C|2</t>
        </is>
      </c>
      <c r="L5481" s="12" t="inlineStr">
        <is>
          <t>3/C</t>
        </is>
      </c>
      <c r="M5481" s="12" t="inlineStr">
        <is>
          <t>2</t>
        </is>
      </c>
      <c r="N5481" s="12" t="n">
        <v>1</v>
      </c>
      <c r="O5481" s="12" t="n">
        <v>1</v>
      </c>
      <c r="P5481" s="12" t="n">
        <v>13800</v>
      </c>
      <c r="Q5481" s="12" t="n">
        <v>2000</v>
      </c>
      <c r="R5481" s="12" t="n">
        <v>93</v>
      </c>
      <c r="S5481" s="12" t="inlineStr">
        <is>
          <t>Surface</t>
        </is>
      </c>
      <c r="T5481" s="16" t="n">
        <v>298</v>
      </c>
      <c r="U5481" s="16" t="n">
        <v>37</v>
      </c>
      <c r="V5481" s="16">
        <f>ROUNDUP((T5481+U5481+2*'Read Me'!$B$13)*(1+'Read Me'!$B$12),-1)</f>
        <v/>
      </c>
      <c r="W5481" s="16">
        <f>V5481*N5481*O5481</f>
        <v/>
      </c>
      <c r="X5481" s="12">
        <f>IF(LEFT(I5481,2)="MV",2*N5481*IF(L5481="1/C",O5481,1),0)</f>
        <v/>
      </c>
      <c r="Y5481" s="12">
        <f>IF(OR(LEFT(K5481,4)="LVAX",LEFT(K5481,6)="MV15AX",LEFT(K5481,4)="CTAX",LEFT(K5481,2)="W|"),2*N5481*O5481,0)</f>
        <v/>
      </c>
      <c r="Z5481" s="12" t="inlineStr">
        <is>
          <t>portable, on grade</t>
        </is>
      </c>
      <c r="AA5481" s="12">
        <f>N5481*O5481</f>
        <v/>
      </c>
    </row>
    <row r="5482">
      <c r="A5482" s="12" t="inlineStr">
        <is>
          <t>I-PP-0007</t>
        </is>
      </c>
      <c r="B5482" s="12" t="inlineStr">
        <is>
          <t>I</t>
        </is>
      </c>
      <c r="C5482" s="12" t="inlineStr">
        <is>
          <t>Modular / portable power</t>
        </is>
      </c>
      <c r="D5482" s="12" t="inlineStr">
        <is>
          <t>GSP-2 to PAD-EH</t>
        </is>
      </c>
      <c r="E5482" s="12" t="inlineStr">
        <is>
          <t>GSP-2</t>
        </is>
      </c>
      <c r="F5482" s="12" t="inlineStr">
        <is>
          <t>GSP-2: generator breaker / protection</t>
        </is>
      </c>
      <c r="G5482" s="12" t="inlineStr">
        <is>
          <t>PAD-EH</t>
        </is>
      </c>
      <c r="H5482" s="12" t="inlineStr">
        <is>
          <t>PAD-EH 13.8 kV switchgear e-house</t>
        </is>
      </c>
      <c r="I5482" s="12" t="inlineStr">
        <is>
          <t>Portable MV</t>
        </is>
      </c>
      <c r="J5482" s="12" t="inlineStr">
        <is>
          <t>Type SHD-GC 15 kV 3/C Cu, 2 grounds + GC, yellow CPE (portable)</t>
        </is>
      </c>
      <c r="K5482" s="12" t="inlineStr">
        <is>
          <t>SHD|3/C|2</t>
        </is>
      </c>
      <c r="L5482" s="12" t="inlineStr">
        <is>
          <t>3/C</t>
        </is>
      </c>
      <c r="M5482" s="12" t="inlineStr">
        <is>
          <t>2</t>
        </is>
      </c>
      <c r="N5482" s="12" t="n">
        <v>1</v>
      </c>
      <c r="O5482" s="12" t="n">
        <v>1</v>
      </c>
      <c r="P5482" s="12" t="n">
        <v>13800</v>
      </c>
      <c r="Q5482" s="12" t="n">
        <v>2000</v>
      </c>
      <c r="R5482" s="12" t="n">
        <v>93</v>
      </c>
      <c r="S5482" s="12" t="inlineStr">
        <is>
          <t>Surface</t>
        </is>
      </c>
      <c r="T5482" s="16" t="n">
        <v>269</v>
      </c>
      <c r="U5482" s="16" t="n">
        <v>37</v>
      </c>
      <c r="V5482" s="16">
        <f>ROUNDUP((T5482+U5482+2*'Read Me'!$B$13)*(1+'Read Me'!$B$12),-1)</f>
        <v/>
      </c>
      <c r="W5482" s="16">
        <f>V5482*N5482*O5482</f>
        <v/>
      </c>
      <c r="X5482" s="12">
        <f>IF(LEFT(I5482,2)="MV",2*N5482*IF(L5482="1/C",O5482,1),0)</f>
        <v/>
      </c>
      <c r="Y5482" s="12">
        <f>IF(OR(LEFT(K5482,4)="LVAX",LEFT(K5482,6)="MV15AX",LEFT(K5482,4)="CTAX",LEFT(K5482,2)="W|"),2*N5482*O5482,0)</f>
        <v/>
      </c>
      <c r="Z5482" s="12" t="inlineStr">
        <is>
          <t>portable, on grade</t>
        </is>
      </c>
      <c r="AA5482" s="12">
        <f>N5482*O5482</f>
        <v/>
      </c>
    </row>
    <row r="5483">
      <c r="A5483" s="12" t="inlineStr">
        <is>
          <t>I-PP-0008</t>
        </is>
      </c>
      <c r="B5483" s="12" t="inlineStr">
        <is>
          <t>I</t>
        </is>
      </c>
      <c r="C5483" s="12" t="inlineStr">
        <is>
          <t>Modular / portable power</t>
        </is>
      </c>
      <c r="D5483" s="12" t="inlineStr">
        <is>
          <t>MOB-1 13.8 kV to PIC through the C-L01 ramp</t>
        </is>
      </c>
      <c r="E5483" s="12" t="inlineStr">
        <is>
          <t>MOB-1</t>
        </is>
      </c>
      <c r="F5483" s="12" t="inlineStr">
        <is>
          <t>MOB-1: trailer genset</t>
        </is>
      </c>
      <c r="G5483" s="12" t="inlineStr">
        <is>
          <t>PIC</t>
        </is>
      </c>
      <c r="H5483" s="12" t="inlineStr">
        <is>
          <t>PIC: portable input cabinet</t>
        </is>
      </c>
      <c r="I5483" s="12" t="inlineStr">
        <is>
          <t>Portable MV</t>
        </is>
      </c>
      <c r="J5483" s="12" t="inlineStr">
        <is>
          <t>Type SHD-GC 15 kV 3/C Cu, 2 grounds + GC, yellow CPE (portable)</t>
        </is>
      </c>
      <c r="K5483" s="12" t="inlineStr">
        <is>
          <t>SHD|3/C|2</t>
        </is>
      </c>
      <c r="L5483" s="12" t="inlineStr">
        <is>
          <t>3/C</t>
        </is>
      </c>
      <c r="M5483" s="12" t="inlineStr">
        <is>
          <t>2</t>
        </is>
      </c>
      <c r="N5483" s="12" t="n">
        <v>1</v>
      </c>
      <c r="O5483" s="12" t="n">
        <v>1</v>
      </c>
      <c r="P5483" s="12" t="n">
        <v>13800</v>
      </c>
      <c r="Q5483" s="12" t="n">
        <v>2000</v>
      </c>
      <c r="R5483" s="12" t="n">
        <v>93</v>
      </c>
      <c r="S5483" s="12" t="inlineStr">
        <is>
          <t>Surface</t>
        </is>
      </c>
      <c r="T5483" s="16" t="n">
        <v>162</v>
      </c>
      <c r="U5483" s="16" t="n">
        <v>27</v>
      </c>
      <c r="V5483" s="16">
        <f>ROUNDUP((T5483+U5483+2*'Read Me'!$B$13)*(1+'Read Me'!$B$12),-1)</f>
        <v/>
      </c>
      <c r="W5483" s="16">
        <f>V5483*N5483*O5483</f>
        <v/>
      </c>
      <c r="X5483" s="12">
        <f>IF(LEFT(I5483,2)="MV",2*N5483*IF(L5483="1/C",O5483,1),0)</f>
        <v/>
      </c>
      <c r="Y5483" s="12">
        <f>IF(OR(LEFT(K5483,4)="LVAX",LEFT(K5483,6)="MV15AX",LEFT(K5483,4)="CTAX",LEFT(K5483,2)="W|"),2*N5483*O5483,0)</f>
        <v/>
      </c>
      <c r="Z5483" s="12" t="inlineStr">
        <is>
          <t>portable</t>
        </is>
      </c>
      <c r="AA5483" s="12">
        <f>N5483*O5483</f>
        <v/>
      </c>
    </row>
    <row r="5484">
      <c r="A5484" s="12" t="inlineStr">
        <is>
          <t>J-C-0001</t>
        </is>
      </c>
      <c r="B5484" s="12" t="inlineStr">
        <is>
          <t>J</t>
        </is>
      </c>
      <c r="C5484" s="12" t="inlineStr">
        <is>
          <t>GT inlet chilling</t>
        </is>
      </c>
      <c r="D5484" s="12" t="inlineStr">
        <is>
          <t>Motor 1 of 4: control / local station</t>
        </is>
      </c>
      <c r="E5484" s="12" t="inlineStr"/>
      <c r="F5484" s="12" t="inlineStr">
        <is>
          <t>Inlet-chilling e-house / transformer</t>
        </is>
      </c>
      <c r="G5484" s="12" t="inlineStr"/>
      <c r="H5484" s="12" t="inlineStr">
        <is>
          <t>CHW pumps</t>
        </is>
      </c>
      <c r="I5484" s="12" t="inlineStr">
        <is>
          <t>Control</t>
        </is>
      </c>
      <c r="J5484" s="12" t="inlineStr">
        <is>
          <t>Control cable 600 V Type TC-ER, Cu #14 AWG, PVC jacket</t>
        </is>
      </c>
      <c r="K5484" s="12" t="inlineStr">
        <is>
          <t>CT|7/C|14</t>
        </is>
      </c>
      <c r="L5484" s="12" t="inlineStr">
        <is>
          <t>7/C</t>
        </is>
      </c>
      <c r="M5484" s="12" t="inlineStr">
        <is>
          <t>14</t>
        </is>
      </c>
      <c r="N5484" s="12" t="n">
        <v>1</v>
      </c>
      <c r="O5484" s="12" t="n">
        <v>1</v>
      </c>
      <c r="P5484" s="12" t="n"/>
      <c r="Q5484" s="12" t="n"/>
      <c r="R5484" s="12" t="n"/>
      <c r="S5484" s="12" t="inlineStr">
        <is>
          <t>Duct bank</t>
        </is>
      </c>
      <c r="T5484" s="16" t="n">
        <v>579</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J-C-0002</t>
        </is>
      </c>
      <c r="B5485" s="12" t="inlineStr">
        <is>
          <t>J</t>
        </is>
      </c>
      <c r="C5485" s="12" t="inlineStr">
        <is>
          <t>GT inlet chilling</t>
        </is>
      </c>
      <c r="D5485" s="12" t="inlineStr">
        <is>
          <t>Motor 2 of 4: control / local station</t>
        </is>
      </c>
      <c r="E5485" s="12" t="inlineStr"/>
      <c r="F5485" s="12" t="inlineStr">
        <is>
          <t>Inlet-chilling e-house / transformer</t>
        </is>
      </c>
      <c r="G5485" s="12" t="inlineStr"/>
      <c r="H5485" s="12" t="inlineStr">
        <is>
          <t>CHW pumps</t>
        </is>
      </c>
      <c r="I5485" s="12" t="inlineStr">
        <is>
          <t>Control</t>
        </is>
      </c>
      <c r="J5485" s="12" t="inlineStr">
        <is>
          <t>Control cable 600 V Type TC-ER, Cu #14 AWG, PVC jacket</t>
        </is>
      </c>
      <c r="K5485" s="12" t="inlineStr">
        <is>
          <t>CT|7/C|14</t>
        </is>
      </c>
      <c r="L5485" s="12" t="inlineStr">
        <is>
          <t>7/C</t>
        </is>
      </c>
      <c r="M5485" s="12" t="inlineStr">
        <is>
          <t>14</t>
        </is>
      </c>
      <c r="N5485" s="12" t="n">
        <v>1</v>
      </c>
      <c r="O5485" s="12" t="n">
        <v>1</v>
      </c>
      <c r="P5485" s="12" t="n"/>
      <c r="Q5485" s="12" t="n"/>
      <c r="R5485" s="12" t="n"/>
      <c r="S5485" s="12" t="inlineStr">
        <is>
          <t>Duct bank</t>
        </is>
      </c>
      <c r="T5485" s="16" t="n">
        <v>579</v>
      </c>
      <c r="U5485" s="16" t="n">
        <v>32</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J-C-0003</t>
        </is>
      </c>
      <c r="B5486" s="12" t="inlineStr">
        <is>
          <t>J</t>
        </is>
      </c>
      <c r="C5486" s="12" t="inlineStr">
        <is>
          <t>GT inlet chilling</t>
        </is>
      </c>
      <c r="D5486" s="12" t="inlineStr">
        <is>
          <t>Motor 3 of 4: control / local station</t>
        </is>
      </c>
      <c r="E5486" s="12" t="inlineStr"/>
      <c r="F5486" s="12" t="inlineStr">
        <is>
          <t>Inlet-chilling e-house / transformer</t>
        </is>
      </c>
      <c r="G5486" s="12" t="inlineStr"/>
      <c r="H5486" s="12" t="inlineStr">
        <is>
          <t>CHW pumps</t>
        </is>
      </c>
      <c r="I5486" s="12" t="inlineStr">
        <is>
          <t>Control</t>
        </is>
      </c>
      <c r="J5486" s="12" t="inlineStr">
        <is>
          <t>Control cable 600 V Type TC-ER, Cu #14 AWG, PVC jacket</t>
        </is>
      </c>
      <c r="K5486" s="12" t="inlineStr">
        <is>
          <t>CT|7/C|14</t>
        </is>
      </c>
      <c r="L5486" s="12" t="inlineStr">
        <is>
          <t>7/C</t>
        </is>
      </c>
      <c r="M5486" s="12" t="inlineStr">
        <is>
          <t>14</t>
        </is>
      </c>
      <c r="N5486" s="12" t="n">
        <v>1</v>
      </c>
      <c r="O5486" s="12" t="n">
        <v>1</v>
      </c>
      <c r="P5486" s="12" t="n"/>
      <c r="Q5486" s="12" t="n"/>
      <c r="R5486" s="12" t="n"/>
      <c r="S5486" s="12" t="inlineStr">
        <is>
          <t>Duct bank</t>
        </is>
      </c>
      <c r="T5486" s="16" t="n">
        <v>579</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J-C-0004</t>
        </is>
      </c>
      <c r="B5487" s="12" t="inlineStr">
        <is>
          <t>J</t>
        </is>
      </c>
      <c r="C5487" s="12" t="inlineStr">
        <is>
          <t>GT inlet chilling</t>
        </is>
      </c>
      <c r="D5487" s="12" t="inlineStr">
        <is>
          <t>Motor 4 of 4: control / local station</t>
        </is>
      </c>
      <c r="E5487" s="12" t="inlineStr"/>
      <c r="F5487" s="12" t="inlineStr">
        <is>
          <t>Inlet-chilling e-house / transformer</t>
        </is>
      </c>
      <c r="G5487" s="12" t="inlineStr"/>
      <c r="H5487" s="12" t="inlineStr">
        <is>
          <t>CHW pumps</t>
        </is>
      </c>
      <c r="I5487" s="12" t="inlineStr">
        <is>
          <t>Control</t>
        </is>
      </c>
      <c r="J5487" s="12" t="inlineStr">
        <is>
          <t>Control cable 600 V Type TC-ER, Cu #14 AWG, PVC jacket</t>
        </is>
      </c>
      <c r="K5487" s="12" t="inlineStr">
        <is>
          <t>CT|7/C|14</t>
        </is>
      </c>
      <c r="L5487" s="12" t="inlineStr">
        <is>
          <t>7/C</t>
        </is>
      </c>
      <c r="M5487" s="12" t="inlineStr">
        <is>
          <t>14</t>
        </is>
      </c>
      <c r="N5487" s="12" t="n">
        <v>1</v>
      </c>
      <c r="O5487" s="12" t="n">
        <v>1</v>
      </c>
      <c r="P5487" s="12" t="n"/>
      <c r="Q5487" s="12" t="n"/>
      <c r="R5487" s="12" t="n"/>
      <c r="S5487" s="12" t="inlineStr">
        <is>
          <t>Duct bank</t>
        </is>
      </c>
      <c r="T5487" s="16" t="n">
        <v>579</v>
      </c>
      <c r="U5487" s="16" t="n">
        <v>32</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J-C-0005</t>
        </is>
      </c>
      <c r="B5488" s="12" t="inlineStr">
        <is>
          <t>J</t>
        </is>
      </c>
      <c r="C5488" s="12" t="inlineStr">
        <is>
          <t>GT inlet chilling</t>
        </is>
      </c>
      <c r="D5488" s="12" t="inlineStr">
        <is>
          <t>Motor 1 of 6: control / local station</t>
        </is>
      </c>
      <c r="E5488" s="12" t="inlineStr"/>
      <c r="F5488" s="12" t="inlineStr">
        <is>
          <t>Inlet-chilling e-house / transformer</t>
        </is>
      </c>
      <c r="G5488" s="12" t="inlineStr"/>
      <c r="H5488" s="12" t="inlineStr">
        <is>
          <t>Chillers x6 (water-cooled)</t>
        </is>
      </c>
      <c r="I5488" s="12" t="inlineStr">
        <is>
          <t>Control</t>
        </is>
      </c>
      <c r="J5488" s="12" t="inlineStr">
        <is>
          <t>Control cable 600 V Type TC-ER, Cu #14 AWG, PVC jacket</t>
        </is>
      </c>
      <c r="K5488" s="12" t="inlineStr">
        <is>
          <t>CT|7/C|14</t>
        </is>
      </c>
      <c r="L5488" s="12" t="inlineStr">
        <is>
          <t>7/C</t>
        </is>
      </c>
      <c r="M5488" s="12" t="inlineStr">
        <is>
          <t>14</t>
        </is>
      </c>
      <c r="N5488" s="12" t="n">
        <v>1</v>
      </c>
      <c r="O5488" s="12" t="n">
        <v>1</v>
      </c>
      <c r="P5488" s="12" t="n"/>
      <c r="Q5488" s="12" t="n"/>
      <c r="R5488" s="12" t="n"/>
      <c r="S5488" s="12" t="inlineStr">
        <is>
          <t>Duct bank</t>
        </is>
      </c>
      <c r="T5488" s="16" t="n">
        <v>10</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J-C-0006</t>
        </is>
      </c>
      <c r="B5489" s="12" t="inlineStr">
        <is>
          <t>J</t>
        </is>
      </c>
      <c r="C5489" s="12" t="inlineStr">
        <is>
          <t>GT inlet chilling</t>
        </is>
      </c>
      <c r="D5489" s="12" t="inlineStr">
        <is>
          <t>Motor 2 of 6: control / local station</t>
        </is>
      </c>
      <c r="E5489" s="12" t="inlineStr"/>
      <c r="F5489" s="12" t="inlineStr">
        <is>
          <t>Inlet-chilling e-house / transformer</t>
        </is>
      </c>
      <c r="G5489" s="12" t="inlineStr"/>
      <c r="H5489" s="12" t="inlineStr">
        <is>
          <t>Chillers x6 (water-cooled)</t>
        </is>
      </c>
      <c r="I5489" s="12" t="inlineStr">
        <is>
          <t>Control</t>
        </is>
      </c>
      <c r="J5489" s="12" t="inlineStr">
        <is>
          <t>Control cable 600 V Type TC-ER, Cu #14 AWG, PVC jacket</t>
        </is>
      </c>
      <c r="K5489" s="12" t="inlineStr">
        <is>
          <t>CT|7/C|14</t>
        </is>
      </c>
      <c r="L5489" s="12" t="inlineStr">
        <is>
          <t>7/C</t>
        </is>
      </c>
      <c r="M5489" s="12" t="inlineStr">
        <is>
          <t>14</t>
        </is>
      </c>
      <c r="N5489" s="12" t="n">
        <v>1</v>
      </c>
      <c r="O5489" s="12" t="n">
        <v>1</v>
      </c>
      <c r="P5489" s="12" t="n"/>
      <c r="Q5489" s="12" t="n"/>
      <c r="R5489" s="12" t="n"/>
      <c r="S5489" s="12" t="inlineStr">
        <is>
          <t>Duct bank</t>
        </is>
      </c>
      <c r="T5489" s="16" t="n">
        <v>10</v>
      </c>
      <c r="U5489" s="16" t="n">
        <v>32</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J-C-0007</t>
        </is>
      </c>
      <c r="B5490" s="12" t="inlineStr">
        <is>
          <t>J</t>
        </is>
      </c>
      <c r="C5490" s="12" t="inlineStr">
        <is>
          <t>GT inlet chilling</t>
        </is>
      </c>
      <c r="D5490" s="12" t="inlineStr">
        <is>
          <t>Motor 3 of 6: control / local station</t>
        </is>
      </c>
      <c r="E5490" s="12" t="inlineStr"/>
      <c r="F5490" s="12" t="inlineStr">
        <is>
          <t>Inlet-chilling e-house / transformer</t>
        </is>
      </c>
      <c r="G5490" s="12" t="inlineStr"/>
      <c r="H5490" s="12" t="inlineStr">
        <is>
          <t>Chillers x6 (water-cooled)</t>
        </is>
      </c>
      <c r="I5490" s="12" t="inlineStr">
        <is>
          <t>Control</t>
        </is>
      </c>
      <c r="J5490" s="12" t="inlineStr">
        <is>
          <t>Control cable 600 V Type TC-ER, Cu #14 AWG, PVC jacket</t>
        </is>
      </c>
      <c r="K5490" s="12" t="inlineStr">
        <is>
          <t>CT|7/C|14</t>
        </is>
      </c>
      <c r="L5490" s="12" t="inlineStr">
        <is>
          <t>7/C</t>
        </is>
      </c>
      <c r="M5490" s="12" t="inlineStr">
        <is>
          <t>14</t>
        </is>
      </c>
      <c r="N5490" s="12" t="n">
        <v>1</v>
      </c>
      <c r="O5490" s="12" t="n">
        <v>1</v>
      </c>
      <c r="P5490" s="12" t="n"/>
      <c r="Q5490" s="12" t="n"/>
      <c r="R5490" s="12" t="n"/>
      <c r="S5490" s="12" t="inlineStr">
        <is>
          <t>Duct bank</t>
        </is>
      </c>
      <c r="T5490" s="16" t="n">
        <v>10</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J-C-0008</t>
        </is>
      </c>
      <c r="B5491" s="12" t="inlineStr">
        <is>
          <t>J</t>
        </is>
      </c>
      <c r="C5491" s="12" t="inlineStr">
        <is>
          <t>GT inlet chilling</t>
        </is>
      </c>
      <c r="D5491" s="12" t="inlineStr">
        <is>
          <t>Motor 4 of 6: control / local station</t>
        </is>
      </c>
      <c r="E5491" s="12" t="inlineStr"/>
      <c r="F5491" s="12" t="inlineStr">
        <is>
          <t>Inlet-chilling e-house / transformer</t>
        </is>
      </c>
      <c r="G5491" s="12" t="inlineStr"/>
      <c r="H5491" s="12" t="inlineStr">
        <is>
          <t>Chillers x6 (water-cooled)</t>
        </is>
      </c>
      <c r="I5491" s="12" t="inlineStr">
        <is>
          <t>Control</t>
        </is>
      </c>
      <c r="J5491" s="12" t="inlineStr">
        <is>
          <t>Control cable 600 V Type TC-ER, Cu #14 AWG, PVC jacket</t>
        </is>
      </c>
      <c r="K5491" s="12" t="inlineStr">
        <is>
          <t>CT|7/C|14</t>
        </is>
      </c>
      <c r="L5491" s="12" t="inlineStr">
        <is>
          <t>7/C</t>
        </is>
      </c>
      <c r="M5491" s="12" t="inlineStr">
        <is>
          <t>14</t>
        </is>
      </c>
      <c r="N5491" s="12" t="n">
        <v>1</v>
      </c>
      <c r="O5491" s="12" t="n">
        <v>1</v>
      </c>
      <c r="P5491" s="12" t="n"/>
      <c r="Q5491" s="12" t="n"/>
      <c r="R5491" s="12" t="n"/>
      <c r="S5491" s="12" t="inlineStr">
        <is>
          <t>Duct bank</t>
        </is>
      </c>
      <c r="T5491" s="16" t="n">
        <v>10</v>
      </c>
      <c r="U5491" s="16" t="n">
        <v>32</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J-C-0009</t>
        </is>
      </c>
      <c r="B5492" s="12" t="inlineStr">
        <is>
          <t>J</t>
        </is>
      </c>
      <c r="C5492" s="12" t="inlineStr">
        <is>
          <t>GT inlet chilling</t>
        </is>
      </c>
      <c r="D5492" s="12" t="inlineStr">
        <is>
          <t>Motor 5 of 6: control / local station</t>
        </is>
      </c>
      <c r="E5492" s="12" t="inlineStr"/>
      <c r="F5492" s="12" t="inlineStr">
        <is>
          <t>Inlet-chilling e-house / transformer</t>
        </is>
      </c>
      <c r="G5492" s="12" t="inlineStr"/>
      <c r="H5492" s="12" t="inlineStr">
        <is>
          <t>Chillers x6 (water-cooled)</t>
        </is>
      </c>
      <c r="I5492" s="12" t="inlineStr">
        <is>
          <t>Control</t>
        </is>
      </c>
      <c r="J5492" s="12" t="inlineStr">
        <is>
          <t>Control cable 600 V Type TC-ER, Cu #14 AWG, PVC jacket</t>
        </is>
      </c>
      <c r="K5492" s="12" t="inlineStr">
        <is>
          <t>CT|7/C|14</t>
        </is>
      </c>
      <c r="L5492" s="12" t="inlineStr">
        <is>
          <t>7/C</t>
        </is>
      </c>
      <c r="M5492" s="12" t="inlineStr">
        <is>
          <t>14</t>
        </is>
      </c>
      <c r="N5492" s="12" t="n">
        <v>1</v>
      </c>
      <c r="O5492" s="12" t="n">
        <v>1</v>
      </c>
      <c r="P5492" s="12" t="n"/>
      <c r="Q5492" s="12" t="n"/>
      <c r="R5492" s="12" t="n"/>
      <c r="S5492" s="12" t="inlineStr">
        <is>
          <t>Duct bank</t>
        </is>
      </c>
      <c r="T5492" s="16" t="n">
        <v>10</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J-C-0010</t>
        </is>
      </c>
      <c r="B5493" s="12" t="inlineStr">
        <is>
          <t>J</t>
        </is>
      </c>
      <c r="C5493" s="12" t="inlineStr">
        <is>
          <t>GT inlet chilling</t>
        </is>
      </c>
      <c r="D5493" s="12" t="inlineStr">
        <is>
          <t>Motor 6 of 6: control / local station</t>
        </is>
      </c>
      <c r="E5493" s="12" t="inlineStr"/>
      <c r="F5493" s="12" t="inlineStr">
        <is>
          <t>Inlet-chilling e-house / transformer</t>
        </is>
      </c>
      <c r="G5493" s="12" t="inlineStr"/>
      <c r="H5493" s="12" t="inlineStr">
        <is>
          <t>Chillers x6 (water-cooled)</t>
        </is>
      </c>
      <c r="I5493" s="12" t="inlineStr">
        <is>
          <t>Control</t>
        </is>
      </c>
      <c r="J5493" s="12" t="inlineStr">
        <is>
          <t>Control cable 600 V Type TC-ER, Cu #14 AWG, PVC jacket</t>
        </is>
      </c>
      <c r="K5493" s="12" t="inlineStr">
        <is>
          <t>CT|7/C|14</t>
        </is>
      </c>
      <c r="L5493" s="12" t="inlineStr">
        <is>
          <t>7/C</t>
        </is>
      </c>
      <c r="M5493" s="12" t="inlineStr">
        <is>
          <t>14</t>
        </is>
      </c>
      <c r="N5493" s="12" t="n">
        <v>1</v>
      </c>
      <c r="O5493" s="12" t="n">
        <v>1</v>
      </c>
      <c r="P5493" s="12" t="n"/>
      <c r="Q5493" s="12" t="n"/>
      <c r="R5493" s="12" t="n"/>
      <c r="S5493" s="12" t="inlineStr">
        <is>
          <t>Duct bank</t>
        </is>
      </c>
      <c r="T5493" s="16" t="n">
        <v>10</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J-C-0011</t>
        </is>
      </c>
      <c r="B5494" s="12" t="inlineStr">
        <is>
          <t>J</t>
        </is>
      </c>
      <c r="C5494" s="12" t="inlineStr">
        <is>
          <t>GT inlet chilling</t>
        </is>
      </c>
      <c r="D5494" s="12" t="inlineStr">
        <is>
          <t>Control</t>
        </is>
      </c>
      <c r="E5494" s="12" t="inlineStr"/>
      <c r="F5494" s="12" t="inlineStr">
        <is>
          <t>Inlet-chilling e-house / transformer</t>
        </is>
      </c>
      <c r="G5494" s="12" t="inlineStr"/>
      <c r="H5494" s="12" t="inlineStr">
        <is>
          <t>Inlet-chilling e-house / transformer</t>
        </is>
      </c>
      <c r="I5494" s="12" t="inlineStr">
        <is>
          <t>Control</t>
        </is>
      </c>
      <c r="J5494" s="12" t="inlineStr">
        <is>
          <t>Control cable 600 V Type TC-ER, Cu #14 AWG, PVC jacket</t>
        </is>
      </c>
      <c r="K5494" s="12" t="inlineStr">
        <is>
          <t>CT|7/C|14</t>
        </is>
      </c>
      <c r="L5494" s="12" t="inlineStr">
        <is>
          <t>7/C</t>
        </is>
      </c>
      <c r="M5494" s="12" t="inlineStr">
        <is>
          <t>14</t>
        </is>
      </c>
      <c r="N5494" s="12" t="n">
        <v>1</v>
      </c>
      <c r="O5494" s="12" t="n">
        <v>1</v>
      </c>
      <c r="P5494" s="12" t="n"/>
      <c r="Q5494" s="12" t="n"/>
      <c r="R5494" s="12" t="n"/>
      <c r="S5494" s="12" t="inlineStr">
        <is>
          <t>Tray</t>
        </is>
      </c>
      <c r="T5494" s="16" t="n">
        <v>0</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J-C-0012</t>
        </is>
      </c>
      <c r="B5495" s="12" t="inlineStr">
        <is>
          <t>J</t>
        </is>
      </c>
      <c r="C5495" s="12" t="inlineStr">
        <is>
          <t>GT inlet chilling</t>
        </is>
      </c>
      <c r="D5495" s="12" t="inlineStr">
        <is>
          <t>Control</t>
        </is>
      </c>
      <c r="E5495" s="12" t="inlineStr"/>
      <c r="F5495" s="12" t="inlineStr">
        <is>
          <t>Inlet-chilling e-house / transformer</t>
        </is>
      </c>
      <c r="G5495" s="12" t="inlineStr"/>
      <c r="H5495" s="12" t="inlineStr">
        <is>
          <t>Inlet-chilling e-house / transformer</t>
        </is>
      </c>
      <c r="I5495" s="12" t="inlineStr">
        <is>
          <t>Control</t>
        </is>
      </c>
      <c r="J5495" s="12" t="inlineStr">
        <is>
          <t>Control cable 600 V Type TC-ER, Cu #14 AWG, PVC jacket</t>
        </is>
      </c>
      <c r="K5495" s="12" t="inlineStr">
        <is>
          <t>CT|12/C|14</t>
        </is>
      </c>
      <c r="L5495" s="12" t="inlineStr">
        <is>
          <t>12/C</t>
        </is>
      </c>
      <c r="M5495" s="12" t="inlineStr">
        <is>
          <t>14</t>
        </is>
      </c>
      <c r="N5495" s="12" t="n">
        <v>1</v>
      </c>
      <c r="O5495" s="12" t="n">
        <v>1</v>
      </c>
      <c r="P5495" s="12" t="n"/>
      <c r="Q5495" s="12" t="n"/>
      <c r="R5495" s="12" t="n"/>
      <c r="S5495" s="12" t="inlineStr">
        <is>
          <t>Tray</t>
        </is>
      </c>
      <c r="T5495" s="16" t="n">
        <v>0</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J-C-0013</t>
        </is>
      </c>
      <c r="B5496" s="12" t="inlineStr">
        <is>
          <t>J</t>
        </is>
      </c>
      <c r="C5496" s="12" t="inlineStr">
        <is>
          <t>GT inlet chilling</t>
        </is>
      </c>
      <c r="D5496" s="12" t="inlineStr">
        <is>
          <t>CT / VT</t>
        </is>
      </c>
      <c r="E5496" s="12" t="inlineStr"/>
      <c r="F5496" s="12" t="inlineStr">
        <is>
          <t>Inlet-chilling e-house / transformer</t>
        </is>
      </c>
      <c r="G5496" s="12" t="inlineStr"/>
      <c r="H5496" s="12" t="inlineStr">
        <is>
          <t>Inlet-chilling e-house / transformer</t>
        </is>
      </c>
      <c r="I5496" s="12" t="inlineStr">
        <is>
          <t>Control</t>
        </is>
      </c>
      <c r="J5496" s="12" t="inlineStr">
        <is>
          <t>Control cable 600 V Type TC-ER, Cu #10 AWG (CT / VT circuits)</t>
        </is>
      </c>
      <c r="K5496" s="12" t="inlineStr">
        <is>
          <t>CTCT|4/C|10</t>
        </is>
      </c>
      <c r="L5496" s="12" t="inlineStr">
        <is>
          <t>4/C</t>
        </is>
      </c>
      <c r="M5496" s="12" t="inlineStr">
        <is>
          <t>10</t>
        </is>
      </c>
      <c r="N5496" s="12" t="n">
        <v>1</v>
      </c>
      <c r="O5496" s="12" t="n">
        <v>1</v>
      </c>
      <c r="P5496" s="12" t="n"/>
      <c r="Q5496" s="12" t="n"/>
      <c r="R5496" s="12" t="n"/>
      <c r="S5496" s="12" t="inlineStr">
        <is>
          <t>Tray</t>
        </is>
      </c>
      <c r="T5496" s="16" t="n">
        <v>0</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J-C-0014</t>
        </is>
      </c>
      <c r="B5497" s="12" t="inlineStr">
        <is>
          <t>J</t>
        </is>
      </c>
      <c r="C5497" s="12" t="inlineStr">
        <is>
          <t>GT inlet chilling</t>
        </is>
      </c>
      <c r="D5497" s="12" t="inlineStr">
        <is>
          <t>CT / VT</t>
        </is>
      </c>
      <c r="E5497" s="12" t="inlineStr"/>
      <c r="F5497" s="12" t="inlineStr">
        <is>
          <t>Inlet-chilling e-house / transformer</t>
        </is>
      </c>
      <c r="G5497" s="12" t="inlineStr"/>
      <c r="H5497" s="12" t="inlineStr">
        <is>
          <t>Inlet-chilling e-house / transformer</t>
        </is>
      </c>
      <c r="I5497" s="12" t="inlineStr">
        <is>
          <t>Control</t>
        </is>
      </c>
      <c r="J5497" s="12" t="inlineStr">
        <is>
          <t>Control cable 600 V Type TC-ER, Cu #10 AWG (CT / VT circuits)</t>
        </is>
      </c>
      <c r="K5497" s="12" t="inlineStr">
        <is>
          <t>CTCT|4/C|10</t>
        </is>
      </c>
      <c r="L5497" s="12" t="inlineStr">
        <is>
          <t>4/C</t>
        </is>
      </c>
      <c r="M5497" s="12" t="inlineStr">
        <is>
          <t>10</t>
        </is>
      </c>
      <c r="N5497" s="12" t="n">
        <v>1</v>
      </c>
      <c r="O5497" s="12" t="n">
        <v>1</v>
      </c>
      <c r="P5497" s="12" t="n"/>
      <c r="Q5497" s="12" t="n"/>
      <c r="R5497" s="12" t="n"/>
      <c r="S5497" s="12" t="inlineStr">
        <is>
          <t>Tray</t>
        </is>
      </c>
      <c r="T5497" s="16" t="n">
        <v>0</v>
      </c>
      <c r="U5497" s="16" t="n">
        <v>32</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J-C-0015</t>
        </is>
      </c>
      <c r="B5498" s="12" t="inlineStr">
        <is>
          <t>J</t>
        </is>
      </c>
      <c r="C5498" s="12" t="inlineStr">
        <is>
          <t>GT inlet chilling</t>
        </is>
      </c>
      <c r="D5498" s="12" t="inlineStr">
        <is>
          <t>Motor 1 of 12: control / local station</t>
        </is>
      </c>
      <c r="E5498" s="12" t="inlineStr"/>
      <c r="F5498" s="12" t="inlineStr">
        <is>
          <t>Inlet-chilling e-house / transformer</t>
        </is>
      </c>
      <c r="G5498" s="12" t="inlineStr"/>
      <c r="H5498" s="12" t="inlineStr">
        <is>
          <t>Inlet-chilling tower (12 cells): chiller heat rejection</t>
        </is>
      </c>
      <c r="I5498" s="12" t="inlineStr">
        <is>
          <t>Control</t>
        </is>
      </c>
      <c r="J5498" s="12" t="inlineStr">
        <is>
          <t>Control cable 600 V Type TC-ER, Cu #14 AWG, PVC jacket</t>
        </is>
      </c>
      <c r="K5498" s="12" t="inlineStr">
        <is>
          <t>CT|7/C|14</t>
        </is>
      </c>
      <c r="L5498" s="12" t="inlineStr">
        <is>
          <t>7/C</t>
        </is>
      </c>
      <c r="M5498" s="12" t="inlineStr">
        <is>
          <t>14</t>
        </is>
      </c>
      <c r="N5498" s="12" t="n">
        <v>1</v>
      </c>
      <c r="O5498" s="12" t="n">
        <v>1</v>
      </c>
      <c r="P5498" s="12" t="n"/>
      <c r="Q5498" s="12" t="n"/>
      <c r="R5498" s="12" t="n"/>
      <c r="S5498" s="12" t="inlineStr">
        <is>
          <t>Duct bank</t>
        </is>
      </c>
      <c r="T5498" s="16" t="n">
        <v>478</v>
      </c>
      <c r="U5498" s="16" t="n">
        <v>38</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J-C-0016</t>
        </is>
      </c>
      <c r="B5499" s="12" t="inlineStr">
        <is>
          <t>J</t>
        </is>
      </c>
      <c r="C5499" s="12" t="inlineStr">
        <is>
          <t>GT inlet chilling</t>
        </is>
      </c>
      <c r="D5499" s="12" t="inlineStr">
        <is>
          <t>Motor 2 of 12: control / local station</t>
        </is>
      </c>
      <c r="E5499" s="12" t="inlineStr"/>
      <c r="F5499" s="12" t="inlineStr">
        <is>
          <t>Inlet-chilling e-house / transformer</t>
        </is>
      </c>
      <c r="G5499" s="12" t="inlineStr"/>
      <c r="H5499" s="12" t="inlineStr">
        <is>
          <t>Inlet-chilling tower (12 cells): chiller heat rejection</t>
        </is>
      </c>
      <c r="I5499" s="12" t="inlineStr">
        <is>
          <t>Control</t>
        </is>
      </c>
      <c r="J5499" s="12" t="inlineStr">
        <is>
          <t>Control cable 600 V Type TC-ER, Cu #14 AWG, PVC jacket</t>
        </is>
      </c>
      <c r="K5499" s="12" t="inlineStr">
        <is>
          <t>CT|7/C|14</t>
        </is>
      </c>
      <c r="L5499" s="12" t="inlineStr">
        <is>
          <t>7/C</t>
        </is>
      </c>
      <c r="M5499" s="12" t="inlineStr">
        <is>
          <t>14</t>
        </is>
      </c>
      <c r="N5499" s="12" t="n">
        <v>1</v>
      </c>
      <c r="O5499" s="12" t="n">
        <v>1</v>
      </c>
      <c r="P5499" s="12" t="n"/>
      <c r="Q5499" s="12" t="n"/>
      <c r="R5499" s="12" t="n"/>
      <c r="S5499" s="12" t="inlineStr">
        <is>
          <t>Duct bank</t>
        </is>
      </c>
      <c r="T5499" s="16" t="n">
        <v>478</v>
      </c>
      <c r="U5499" s="16" t="n">
        <v>38</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J-C-0017</t>
        </is>
      </c>
      <c r="B5500" s="12" t="inlineStr">
        <is>
          <t>J</t>
        </is>
      </c>
      <c r="C5500" s="12" t="inlineStr">
        <is>
          <t>GT inlet chilling</t>
        </is>
      </c>
      <c r="D5500" s="12" t="inlineStr">
        <is>
          <t>Motor 3 of 12: control / local station</t>
        </is>
      </c>
      <c r="E5500" s="12" t="inlineStr"/>
      <c r="F5500" s="12" t="inlineStr">
        <is>
          <t>Inlet-chilling e-house / transformer</t>
        </is>
      </c>
      <c r="G5500" s="12" t="inlineStr"/>
      <c r="H5500" s="12" t="inlineStr">
        <is>
          <t>Inlet-chilling tower (12 cells): chiller heat rejection</t>
        </is>
      </c>
      <c r="I5500" s="12" t="inlineStr">
        <is>
          <t>Control</t>
        </is>
      </c>
      <c r="J5500" s="12" t="inlineStr">
        <is>
          <t>Control cable 600 V Type TC-ER, Cu #14 AWG, PVC jacket</t>
        </is>
      </c>
      <c r="K5500" s="12" t="inlineStr">
        <is>
          <t>CT|7/C|14</t>
        </is>
      </c>
      <c r="L5500" s="12" t="inlineStr">
        <is>
          <t>7/C</t>
        </is>
      </c>
      <c r="M5500" s="12" t="inlineStr">
        <is>
          <t>14</t>
        </is>
      </c>
      <c r="N5500" s="12" t="n">
        <v>1</v>
      </c>
      <c r="O5500" s="12" t="n">
        <v>1</v>
      </c>
      <c r="P5500" s="12" t="n"/>
      <c r="Q5500" s="12" t="n"/>
      <c r="R5500" s="12" t="n"/>
      <c r="S5500" s="12" t="inlineStr">
        <is>
          <t>Duct bank</t>
        </is>
      </c>
      <c r="T5500" s="16" t="n">
        <v>478</v>
      </c>
      <c r="U5500" s="16" t="n">
        <v>38</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J-C-0018</t>
        </is>
      </c>
      <c r="B5501" s="12" t="inlineStr">
        <is>
          <t>J</t>
        </is>
      </c>
      <c r="C5501" s="12" t="inlineStr">
        <is>
          <t>GT inlet chilling</t>
        </is>
      </c>
      <c r="D5501" s="12" t="inlineStr">
        <is>
          <t>Motor 4 of 12: control / local station</t>
        </is>
      </c>
      <c r="E5501" s="12" t="inlineStr"/>
      <c r="F5501" s="12" t="inlineStr">
        <is>
          <t>Inlet-chilling e-house / transformer</t>
        </is>
      </c>
      <c r="G5501" s="12" t="inlineStr"/>
      <c r="H5501" s="12" t="inlineStr">
        <is>
          <t>Inlet-chilling tower (12 cells): chiller heat rejection</t>
        </is>
      </c>
      <c r="I5501" s="12" t="inlineStr">
        <is>
          <t>Control</t>
        </is>
      </c>
      <c r="J5501" s="12" t="inlineStr">
        <is>
          <t>Control cable 600 V Type TC-ER, Cu #14 AWG, PVC jacket</t>
        </is>
      </c>
      <c r="K5501" s="12" t="inlineStr">
        <is>
          <t>CT|7/C|14</t>
        </is>
      </c>
      <c r="L5501" s="12" t="inlineStr">
        <is>
          <t>7/C</t>
        </is>
      </c>
      <c r="M5501" s="12" t="inlineStr">
        <is>
          <t>14</t>
        </is>
      </c>
      <c r="N5501" s="12" t="n">
        <v>1</v>
      </c>
      <c r="O5501" s="12" t="n">
        <v>1</v>
      </c>
      <c r="P5501" s="12" t="n"/>
      <c r="Q5501" s="12" t="n"/>
      <c r="R5501" s="12" t="n"/>
      <c r="S5501" s="12" t="inlineStr">
        <is>
          <t>Duct bank</t>
        </is>
      </c>
      <c r="T5501" s="16" t="n">
        <v>478</v>
      </c>
      <c r="U5501" s="16" t="n">
        <v>38</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J-C-0019</t>
        </is>
      </c>
      <c r="B5502" s="12" t="inlineStr">
        <is>
          <t>J</t>
        </is>
      </c>
      <c r="C5502" s="12" t="inlineStr">
        <is>
          <t>GT inlet chilling</t>
        </is>
      </c>
      <c r="D5502" s="12" t="inlineStr">
        <is>
          <t>Motor 5 of 12: control / local station</t>
        </is>
      </c>
      <c r="E5502" s="12" t="inlineStr"/>
      <c r="F5502" s="12" t="inlineStr">
        <is>
          <t>Inlet-chilling e-house / transformer</t>
        </is>
      </c>
      <c r="G5502" s="12" t="inlineStr"/>
      <c r="H5502" s="12" t="inlineStr">
        <is>
          <t>Inlet-chilling tower (12 cells): chiller heat rejection</t>
        </is>
      </c>
      <c r="I5502" s="12" t="inlineStr">
        <is>
          <t>Control</t>
        </is>
      </c>
      <c r="J5502" s="12" t="inlineStr">
        <is>
          <t>Control cable 600 V Type TC-ER, Cu #14 AWG, PVC jacket</t>
        </is>
      </c>
      <c r="K5502" s="12" t="inlineStr">
        <is>
          <t>CT|7/C|14</t>
        </is>
      </c>
      <c r="L5502" s="12" t="inlineStr">
        <is>
          <t>7/C</t>
        </is>
      </c>
      <c r="M5502" s="12" t="inlineStr">
        <is>
          <t>14</t>
        </is>
      </c>
      <c r="N5502" s="12" t="n">
        <v>1</v>
      </c>
      <c r="O5502" s="12" t="n">
        <v>1</v>
      </c>
      <c r="P5502" s="12" t="n"/>
      <c r="Q5502" s="12" t="n"/>
      <c r="R5502" s="12" t="n"/>
      <c r="S5502" s="12" t="inlineStr">
        <is>
          <t>Duct bank</t>
        </is>
      </c>
      <c r="T5502" s="16" t="n">
        <v>478</v>
      </c>
      <c r="U5502" s="16" t="n">
        <v>38</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J-C-0020</t>
        </is>
      </c>
      <c r="B5503" s="12" t="inlineStr">
        <is>
          <t>J</t>
        </is>
      </c>
      <c r="C5503" s="12" t="inlineStr">
        <is>
          <t>GT inlet chilling</t>
        </is>
      </c>
      <c r="D5503" s="12" t="inlineStr">
        <is>
          <t>Motor 6 of 12: control / local station</t>
        </is>
      </c>
      <c r="E5503" s="12" t="inlineStr"/>
      <c r="F5503" s="12" t="inlineStr">
        <is>
          <t>Inlet-chilling e-house / transformer</t>
        </is>
      </c>
      <c r="G5503" s="12" t="inlineStr"/>
      <c r="H5503" s="12" t="inlineStr">
        <is>
          <t>Inlet-chilling tower (12 cells): chiller heat rejection</t>
        </is>
      </c>
      <c r="I5503" s="12" t="inlineStr">
        <is>
          <t>Control</t>
        </is>
      </c>
      <c r="J5503" s="12" t="inlineStr">
        <is>
          <t>Control cable 600 V Type TC-ER, Cu #14 AWG, PVC jacket</t>
        </is>
      </c>
      <c r="K5503" s="12" t="inlineStr">
        <is>
          <t>CT|7/C|14</t>
        </is>
      </c>
      <c r="L5503" s="12" t="inlineStr">
        <is>
          <t>7/C</t>
        </is>
      </c>
      <c r="M5503" s="12" t="inlineStr">
        <is>
          <t>14</t>
        </is>
      </c>
      <c r="N5503" s="12" t="n">
        <v>1</v>
      </c>
      <c r="O5503" s="12" t="n">
        <v>1</v>
      </c>
      <c r="P5503" s="12" t="n"/>
      <c r="Q5503" s="12" t="n"/>
      <c r="R5503" s="12" t="n"/>
      <c r="S5503" s="12" t="inlineStr">
        <is>
          <t>Duct bank</t>
        </is>
      </c>
      <c r="T5503" s="16" t="n">
        <v>478</v>
      </c>
      <c r="U5503" s="16" t="n">
        <v>38</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J-C-0021</t>
        </is>
      </c>
      <c r="B5504" s="12" t="inlineStr">
        <is>
          <t>J</t>
        </is>
      </c>
      <c r="C5504" s="12" t="inlineStr">
        <is>
          <t>GT inlet chilling</t>
        </is>
      </c>
      <c r="D5504" s="12" t="inlineStr">
        <is>
          <t>Motor 7 of 12: control / local station</t>
        </is>
      </c>
      <c r="E5504" s="12" t="inlineStr"/>
      <c r="F5504" s="12" t="inlineStr">
        <is>
          <t>Inlet-chilling e-house / transformer</t>
        </is>
      </c>
      <c r="G5504" s="12" t="inlineStr"/>
      <c r="H5504" s="12" t="inlineStr">
        <is>
          <t>Inlet-chilling tower (12 cells): chiller heat rejection</t>
        </is>
      </c>
      <c r="I5504" s="12" t="inlineStr">
        <is>
          <t>Control</t>
        </is>
      </c>
      <c r="J5504" s="12" t="inlineStr">
        <is>
          <t>Control cable 600 V Type TC-ER, Cu #14 AWG, PVC jacket</t>
        </is>
      </c>
      <c r="K5504" s="12" t="inlineStr">
        <is>
          <t>CT|7/C|14</t>
        </is>
      </c>
      <c r="L5504" s="12" t="inlineStr">
        <is>
          <t>7/C</t>
        </is>
      </c>
      <c r="M5504" s="12" t="inlineStr">
        <is>
          <t>14</t>
        </is>
      </c>
      <c r="N5504" s="12" t="n">
        <v>1</v>
      </c>
      <c r="O5504" s="12" t="n">
        <v>1</v>
      </c>
      <c r="P5504" s="12" t="n"/>
      <c r="Q5504" s="12" t="n"/>
      <c r="R5504" s="12" t="n"/>
      <c r="S5504" s="12" t="inlineStr">
        <is>
          <t>Duct bank</t>
        </is>
      </c>
      <c r="T5504" s="16" t="n">
        <v>478</v>
      </c>
      <c r="U5504" s="16" t="n">
        <v>38</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J-C-0022</t>
        </is>
      </c>
      <c r="B5505" s="12" t="inlineStr">
        <is>
          <t>J</t>
        </is>
      </c>
      <c r="C5505" s="12" t="inlineStr">
        <is>
          <t>GT inlet chilling</t>
        </is>
      </c>
      <c r="D5505" s="12" t="inlineStr">
        <is>
          <t>Motor 8 of 12: control / local station</t>
        </is>
      </c>
      <c r="E5505" s="12" t="inlineStr"/>
      <c r="F5505" s="12" t="inlineStr">
        <is>
          <t>Inlet-chilling e-house / transformer</t>
        </is>
      </c>
      <c r="G5505" s="12" t="inlineStr"/>
      <c r="H5505" s="12" t="inlineStr">
        <is>
          <t>Inlet-chilling tower (12 cells): chiller heat rejection</t>
        </is>
      </c>
      <c r="I5505" s="12" t="inlineStr">
        <is>
          <t>Control</t>
        </is>
      </c>
      <c r="J5505" s="12" t="inlineStr">
        <is>
          <t>Control cable 600 V Type TC-ER, Cu #14 AWG, PVC jacket</t>
        </is>
      </c>
      <c r="K5505" s="12" t="inlineStr">
        <is>
          <t>CT|7/C|14</t>
        </is>
      </c>
      <c r="L5505" s="12" t="inlineStr">
        <is>
          <t>7/C</t>
        </is>
      </c>
      <c r="M5505" s="12" t="inlineStr">
        <is>
          <t>14</t>
        </is>
      </c>
      <c r="N5505" s="12" t="n">
        <v>1</v>
      </c>
      <c r="O5505" s="12" t="n">
        <v>1</v>
      </c>
      <c r="P5505" s="12" t="n"/>
      <c r="Q5505" s="12" t="n"/>
      <c r="R5505" s="12" t="n"/>
      <c r="S5505" s="12" t="inlineStr">
        <is>
          <t>Duct bank</t>
        </is>
      </c>
      <c r="T5505" s="16" t="n">
        <v>478</v>
      </c>
      <c r="U5505" s="16" t="n">
        <v>38</v>
      </c>
      <c r="V5505" s="16">
        <f>ROUNDUP((T5505+U5505+2*'Read Me'!$B$13)*(1+'Read Me'!$B$12),-1)</f>
        <v/>
      </c>
      <c r="W5505" s="16">
        <f>V5505*N5505*O5505</f>
        <v/>
      </c>
      <c r="X5505" s="12">
        <f>IF(LEFT(I5505,2)="MV",2*N5505*IF(L5505="1/C",O5505,1),0)</f>
        <v/>
      </c>
      <c r="Y5505" s="12">
        <f>IF(OR(LEFT(K5505,4)="LVAX",LEFT(K5505,6)="MV15AX",LEFT(K5505,4)="CTAX",LEFT(K5505,2)="W|"),2*N5505*O5505,0)</f>
        <v/>
      </c>
      <c r="Z5505" s="12" t="inlineStr"/>
      <c r="AA5505" s="12">
        <f>N5505*O5505</f>
        <v/>
      </c>
    </row>
    <row r="5506">
      <c r="A5506" s="12" t="inlineStr">
        <is>
          <t>J-C-0023</t>
        </is>
      </c>
      <c r="B5506" s="12" t="inlineStr">
        <is>
          <t>J</t>
        </is>
      </c>
      <c r="C5506" s="12" t="inlineStr">
        <is>
          <t>GT inlet chilling</t>
        </is>
      </c>
      <c r="D5506" s="12" t="inlineStr">
        <is>
          <t>Motor 9 of 12: control / local station</t>
        </is>
      </c>
      <c r="E5506" s="12" t="inlineStr"/>
      <c r="F5506" s="12" t="inlineStr">
        <is>
          <t>Inlet-chilling e-house / transformer</t>
        </is>
      </c>
      <c r="G5506" s="12" t="inlineStr"/>
      <c r="H5506" s="12" t="inlineStr">
        <is>
          <t>Inlet-chilling tower (12 cells): chiller heat rejection</t>
        </is>
      </c>
      <c r="I5506" s="12" t="inlineStr">
        <is>
          <t>Control</t>
        </is>
      </c>
      <c r="J5506" s="12" t="inlineStr">
        <is>
          <t>Control cable 600 V Type TC-ER, Cu #14 AWG, PVC jacket</t>
        </is>
      </c>
      <c r="K5506" s="12" t="inlineStr">
        <is>
          <t>CT|7/C|14</t>
        </is>
      </c>
      <c r="L5506" s="12" t="inlineStr">
        <is>
          <t>7/C</t>
        </is>
      </c>
      <c r="M5506" s="12" t="inlineStr">
        <is>
          <t>14</t>
        </is>
      </c>
      <c r="N5506" s="12" t="n">
        <v>1</v>
      </c>
      <c r="O5506" s="12" t="n">
        <v>1</v>
      </c>
      <c r="P5506" s="12" t="n"/>
      <c r="Q5506" s="12" t="n"/>
      <c r="R5506" s="12" t="n"/>
      <c r="S5506" s="12" t="inlineStr">
        <is>
          <t>Duct bank</t>
        </is>
      </c>
      <c r="T5506" s="16" t="n">
        <v>478</v>
      </c>
      <c r="U5506" s="16" t="n">
        <v>38</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J-C-0024</t>
        </is>
      </c>
      <c r="B5507" s="12" t="inlineStr">
        <is>
          <t>J</t>
        </is>
      </c>
      <c r="C5507" s="12" t="inlineStr">
        <is>
          <t>GT inlet chilling</t>
        </is>
      </c>
      <c r="D5507" s="12" t="inlineStr">
        <is>
          <t>Motor 10 of 12: control / local station</t>
        </is>
      </c>
      <c r="E5507" s="12" t="inlineStr"/>
      <c r="F5507" s="12" t="inlineStr">
        <is>
          <t>Inlet-chilling e-house / transformer</t>
        </is>
      </c>
      <c r="G5507" s="12" t="inlineStr"/>
      <c r="H5507" s="12" t="inlineStr">
        <is>
          <t>Inlet-chilling tower (12 cells): chiller heat rejection</t>
        </is>
      </c>
      <c r="I5507" s="12" t="inlineStr">
        <is>
          <t>Control</t>
        </is>
      </c>
      <c r="J5507" s="12" t="inlineStr">
        <is>
          <t>Control cable 600 V Type TC-ER, Cu #14 AWG, PVC jacket</t>
        </is>
      </c>
      <c r="K5507" s="12" t="inlineStr">
        <is>
          <t>CT|7/C|14</t>
        </is>
      </c>
      <c r="L5507" s="12" t="inlineStr">
        <is>
          <t>7/C</t>
        </is>
      </c>
      <c r="M5507" s="12" t="inlineStr">
        <is>
          <t>14</t>
        </is>
      </c>
      <c r="N5507" s="12" t="n">
        <v>1</v>
      </c>
      <c r="O5507" s="12" t="n">
        <v>1</v>
      </c>
      <c r="P5507" s="12" t="n"/>
      <c r="Q5507" s="12" t="n"/>
      <c r="R5507" s="12" t="n"/>
      <c r="S5507" s="12" t="inlineStr">
        <is>
          <t>Duct bank</t>
        </is>
      </c>
      <c r="T5507" s="16" t="n">
        <v>478</v>
      </c>
      <c r="U5507" s="16" t="n">
        <v>38</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J-C-0025</t>
        </is>
      </c>
      <c r="B5508" s="12" t="inlineStr">
        <is>
          <t>J</t>
        </is>
      </c>
      <c r="C5508" s="12" t="inlineStr">
        <is>
          <t>GT inlet chilling</t>
        </is>
      </c>
      <c r="D5508" s="12" t="inlineStr">
        <is>
          <t>Motor 11 of 12: control / local station</t>
        </is>
      </c>
      <c r="E5508" s="12" t="inlineStr"/>
      <c r="F5508" s="12" t="inlineStr">
        <is>
          <t>Inlet-chilling e-house / transformer</t>
        </is>
      </c>
      <c r="G5508" s="12" t="inlineStr"/>
      <c r="H5508" s="12" t="inlineStr">
        <is>
          <t>Inlet-chilling tower (12 cells): chiller heat rejection</t>
        </is>
      </c>
      <c r="I5508" s="12" t="inlineStr">
        <is>
          <t>Control</t>
        </is>
      </c>
      <c r="J5508" s="12" t="inlineStr">
        <is>
          <t>Control cable 600 V Type TC-ER, Cu #14 AWG, PVC jacket</t>
        </is>
      </c>
      <c r="K5508" s="12" t="inlineStr">
        <is>
          <t>CT|7/C|14</t>
        </is>
      </c>
      <c r="L5508" s="12" t="inlineStr">
        <is>
          <t>7/C</t>
        </is>
      </c>
      <c r="M5508" s="12" t="inlineStr">
        <is>
          <t>14</t>
        </is>
      </c>
      <c r="N5508" s="12" t="n">
        <v>1</v>
      </c>
      <c r="O5508" s="12" t="n">
        <v>1</v>
      </c>
      <c r="P5508" s="12" t="n"/>
      <c r="Q5508" s="12" t="n"/>
      <c r="R5508" s="12" t="n"/>
      <c r="S5508" s="12" t="inlineStr">
        <is>
          <t>Duct bank</t>
        </is>
      </c>
      <c r="T5508" s="16" t="n">
        <v>478</v>
      </c>
      <c r="U5508" s="16" t="n">
        <v>38</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J-C-0026</t>
        </is>
      </c>
      <c r="B5509" s="12" t="inlineStr">
        <is>
          <t>J</t>
        </is>
      </c>
      <c r="C5509" s="12" t="inlineStr">
        <is>
          <t>GT inlet chilling</t>
        </is>
      </c>
      <c r="D5509" s="12" t="inlineStr">
        <is>
          <t>Motor 12 of 12: control / local station</t>
        </is>
      </c>
      <c r="E5509" s="12" t="inlineStr"/>
      <c r="F5509" s="12" t="inlineStr">
        <is>
          <t>Inlet-chilling e-house / transformer</t>
        </is>
      </c>
      <c r="G5509" s="12" t="inlineStr"/>
      <c r="H5509" s="12" t="inlineStr">
        <is>
          <t>Inlet-chilling tower (12 cells): chiller heat rejection</t>
        </is>
      </c>
      <c r="I5509" s="12" t="inlineStr">
        <is>
          <t>Control</t>
        </is>
      </c>
      <c r="J5509" s="12" t="inlineStr">
        <is>
          <t>Control cable 600 V Type TC-ER, Cu #14 AWG, PVC jacket</t>
        </is>
      </c>
      <c r="K5509" s="12" t="inlineStr">
        <is>
          <t>CT|7/C|14</t>
        </is>
      </c>
      <c r="L5509" s="12" t="inlineStr">
        <is>
          <t>7/C</t>
        </is>
      </c>
      <c r="M5509" s="12" t="inlineStr">
        <is>
          <t>14</t>
        </is>
      </c>
      <c r="N5509" s="12" t="n">
        <v>1</v>
      </c>
      <c r="O5509" s="12" t="n">
        <v>1</v>
      </c>
      <c r="P5509" s="12" t="n"/>
      <c r="Q5509" s="12" t="n"/>
      <c r="R5509" s="12" t="n"/>
      <c r="S5509" s="12" t="inlineStr">
        <is>
          <t>Duct bank</t>
        </is>
      </c>
      <c r="T5509" s="16" t="n">
        <v>478</v>
      </c>
      <c r="U5509" s="16" t="n">
        <v>38</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J-I-0001</t>
        </is>
      </c>
      <c r="B5510" s="12" t="inlineStr">
        <is>
          <t>J</t>
        </is>
      </c>
      <c r="C5510" s="12" t="inlineStr">
        <is>
          <t>GT inlet chilling</t>
        </is>
      </c>
      <c r="D5510" s="12" t="inlineStr">
        <is>
          <t>Analog instrument to JB JB-CHW pumps-AI01: 12 x 1 pr (field cables)</t>
        </is>
      </c>
      <c r="E5510" s="12" t="inlineStr"/>
      <c r="F5510" s="12" t="inlineStr">
        <is>
          <t>CHW pumps</t>
        </is>
      </c>
      <c r="G5510" s="12" t="inlineStr">
        <is>
          <t>JB-CHW pumps-AI01</t>
        </is>
      </c>
      <c r="H5510" s="12" t="inlineStr">
        <is>
          <t>CHW pumps</t>
        </is>
      </c>
      <c r="I5510" s="12" t="inlineStr">
        <is>
          <t>Instrumentation</t>
        </is>
      </c>
      <c r="J5510" s="12" t="inlineStr">
        <is>
          <t>Instrumentation PLTC / TC-ER 300 V, #18 twisted shielded pairs, overall shield</t>
        </is>
      </c>
      <c r="K5510" s="12" t="inlineStr">
        <is>
          <t>PLTC|1 pr|16</t>
        </is>
      </c>
      <c r="L5510" s="12" t="inlineStr">
        <is>
          <t>1 pr</t>
        </is>
      </c>
      <c r="M5510" s="12" t="inlineStr">
        <is>
          <t>16</t>
        </is>
      </c>
      <c r="N5510" s="12" t="n">
        <v>12</v>
      </c>
      <c r="O5510" s="12" t="n">
        <v>1</v>
      </c>
      <c r="P5510" s="12" t="n"/>
      <c r="Q5510" s="12" t="n"/>
      <c r="R5510" s="12" t="n"/>
      <c r="S5510" s="12" t="inlineStr">
        <is>
          <t>Tray / conduit</t>
        </is>
      </c>
      <c r="T5510" s="16" t="n">
        <v>92</v>
      </c>
      <c r="U5510" s="16" t="n">
        <v>10</v>
      </c>
      <c r="V5510" s="16">
        <f>ROUNDUP((T5510+U5510+2*'Read Me'!$B$13)*(1+'Read Me'!$B$12),-1)</f>
        <v/>
      </c>
      <c r="W5510" s="16">
        <f>V5510*N5510*O5510</f>
        <v/>
      </c>
      <c r="X5510" s="12">
        <f>IF(LEFT(I5510,2)="MV",2*N5510*IF(L5510="1/C",O5510,1),0)</f>
        <v/>
      </c>
      <c r="Y5510" s="12">
        <f>IF(OR(LEFT(K5510,4)="LVAX",LEFT(K5510,6)="MV15AX",LEFT(K5510,4)="CTAX",LEFT(K5510,2)="W|"),2*N5510*O5510,0)</f>
        <v/>
      </c>
      <c r="Z5510" s="12" t="inlineStr">
        <is>
          <t>device-to-JB field wiring, one cable per device</t>
        </is>
      </c>
      <c r="AA5510" s="12">
        <f>N5510*O5510</f>
        <v/>
      </c>
    </row>
    <row r="5511">
      <c r="A5511" s="12" t="inlineStr">
        <is>
          <t>J-I-0002</t>
        </is>
      </c>
      <c r="B5511" s="12" t="inlineStr">
        <is>
          <t>J</t>
        </is>
      </c>
      <c r="C5511" s="12" t="inlineStr">
        <is>
          <t>GT inlet chilling</t>
        </is>
      </c>
      <c r="D5511" s="12" t="inlineStr">
        <is>
          <t>Home run JB-CHW pumps-AI01 to the control / marshalling room</t>
        </is>
      </c>
      <c r="E5511" s="12" t="inlineStr"/>
      <c r="F5511" s="12" t="inlineStr">
        <is>
          <t>Inlet-chilling e-house / transformer</t>
        </is>
      </c>
      <c r="G5511" s="12" t="inlineStr">
        <is>
          <t>JB-CHW pumps-AI01</t>
        </is>
      </c>
      <c r="H5511" s="12" t="inlineStr">
        <is>
          <t>CHW pumps</t>
        </is>
      </c>
      <c r="I5511" s="12" t="inlineStr">
        <is>
          <t>Instrumentation</t>
        </is>
      </c>
      <c r="J5511" s="12" t="inlineStr">
        <is>
          <t>Instrumentation PLTC / TC-ER 300 V, #18 twisted shielded pairs, overall shield</t>
        </is>
      </c>
      <c r="K5511" s="12" t="inlineStr">
        <is>
          <t>PLTC|24 pr|18</t>
        </is>
      </c>
      <c r="L5511" s="12" t="inlineStr">
        <is>
          <t>24 pr</t>
        </is>
      </c>
      <c r="M5511" s="12" t="inlineStr">
        <is>
          <t>18</t>
        </is>
      </c>
      <c r="N5511" s="12" t="n">
        <v>1</v>
      </c>
      <c r="O5511" s="12" t="n">
        <v>1</v>
      </c>
      <c r="P5511" s="12" t="n"/>
      <c r="Q5511" s="12" t="n"/>
      <c r="R5511" s="12" t="n"/>
      <c r="S5511" s="12" t="inlineStr">
        <is>
          <t>Duct bank</t>
        </is>
      </c>
      <c r="T5511" s="16" t="n">
        <v>579</v>
      </c>
      <c r="U5511" s="16" t="n">
        <v>32</v>
      </c>
      <c r="V5511" s="16">
        <f>ROUNDUP((T5511+U5511+2*'Read Me'!$B$13)*(1+'Read Me'!$B$12),-1)</f>
        <v/>
      </c>
      <c r="W5511" s="16">
        <f>V5511*N5511*O5511</f>
        <v/>
      </c>
      <c r="X5511" s="12">
        <f>IF(LEFT(I5511,2)="MV",2*N5511*IF(L5511="1/C",O5511,1),0)</f>
        <v/>
      </c>
      <c r="Y5511" s="12">
        <f>IF(OR(LEFT(K5511,4)="LVAX",LEFT(K5511,6)="MV15AX",LEFT(K5511,4)="CTAX",LEFT(K5511,2)="W|"),2*N5511*O5511,0)</f>
        <v/>
      </c>
      <c r="Z5511" s="12" t="inlineStr"/>
      <c r="AA5511" s="12">
        <f>N5511*O5511</f>
        <v/>
      </c>
    </row>
    <row r="5512">
      <c r="A5512" s="12" t="inlineStr">
        <is>
          <t>J-I-0003</t>
        </is>
      </c>
      <c r="B5512" s="12" t="inlineStr">
        <is>
          <t>J</t>
        </is>
      </c>
      <c r="C5512" s="12" t="inlineStr">
        <is>
          <t>GT inlet chilling</t>
        </is>
      </c>
      <c r="D5512" s="12" t="inlineStr">
        <is>
          <t>Discrete device to JB JB-CHW pumps-DI01: 12 x 1 pr (field cables)</t>
        </is>
      </c>
      <c r="E5512" s="12" t="inlineStr"/>
      <c r="F5512" s="12" t="inlineStr">
        <is>
          <t>CHW pumps</t>
        </is>
      </c>
      <c r="G5512" s="12" t="inlineStr">
        <is>
          <t>JB-CHW pumps-DI01</t>
        </is>
      </c>
      <c r="H5512" s="12" t="inlineStr">
        <is>
          <t>CHW pumps</t>
        </is>
      </c>
      <c r="I5512" s="12" t="inlineStr">
        <is>
          <t>Instrumentation</t>
        </is>
      </c>
      <c r="J5512" s="12" t="inlineStr">
        <is>
          <t>Instrumentation PLTC / TC-ER 300 V, #18 twisted shielded pairs, overall shield</t>
        </is>
      </c>
      <c r="K5512" s="12" t="inlineStr">
        <is>
          <t>PLTC|1 pr|16</t>
        </is>
      </c>
      <c r="L5512" s="12" t="inlineStr">
        <is>
          <t>1 pr</t>
        </is>
      </c>
      <c r="M5512" s="12" t="inlineStr">
        <is>
          <t>16</t>
        </is>
      </c>
      <c r="N5512" s="12" t="n">
        <v>12</v>
      </c>
      <c r="O5512" s="12" t="n">
        <v>1</v>
      </c>
      <c r="P5512" s="12" t="n"/>
      <c r="Q5512" s="12" t="n"/>
      <c r="R5512" s="12" t="n"/>
      <c r="S5512" s="12" t="inlineStr">
        <is>
          <t>Tray / conduit</t>
        </is>
      </c>
      <c r="T5512" s="16" t="n">
        <v>92</v>
      </c>
      <c r="U5512" s="16" t="n">
        <v>10</v>
      </c>
      <c r="V5512" s="16">
        <f>ROUNDUP((T5512+U5512+2*'Read Me'!$B$13)*(1+'Read Me'!$B$12),-1)</f>
        <v/>
      </c>
      <c r="W5512" s="16">
        <f>V5512*N5512*O5512</f>
        <v/>
      </c>
      <c r="X5512" s="12">
        <f>IF(LEFT(I5512,2)="MV",2*N5512*IF(L5512="1/C",O5512,1),0)</f>
        <v/>
      </c>
      <c r="Y5512" s="12">
        <f>IF(OR(LEFT(K5512,4)="LVAX",LEFT(K5512,6)="MV15AX",LEFT(K5512,4)="CTAX",LEFT(K5512,2)="W|"),2*N5512*O5512,0)</f>
        <v/>
      </c>
      <c r="Z5512" s="12" t="inlineStr">
        <is>
          <t>device-to-JB field wiring, one cable per device</t>
        </is>
      </c>
      <c r="AA5512" s="12">
        <f>N5512*O5512</f>
        <v/>
      </c>
    </row>
    <row r="5513">
      <c r="A5513" s="12" t="inlineStr">
        <is>
          <t>J-I-0004</t>
        </is>
      </c>
      <c r="B5513" s="12" t="inlineStr">
        <is>
          <t>J</t>
        </is>
      </c>
      <c r="C5513" s="12" t="inlineStr">
        <is>
          <t>GT inlet chilling</t>
        </is>
      </c>
      <c r="D5513" s="12" t="inlineStr">
        <is>
          <t>Home run JB-CHW pumps-DI01 to the control / marshalling room</t>
        </is>
      </c>
      <c r="E5513" s="12" t="inlineStr"/>
      <c r="F5513" s="12" t="inlineStr">
        <is>
          <t>Inlet-chilling e-house / transformer</t>
        </is>
      </c>
      <c r="G5513" s="12" t="inlineStr">
        <is>
          <t>JB-CHW pumps-DI01</t>
        </is>
      </c>
      <c r="H5513" s="12" t="inlineStr">
        <is>
          <t>CHW pumps</t>
        </is>
      </c>
      <c r="I5513" s="12" t="inlineStr">
        <is>
          <t>Instrumentation</t>
        </is>
      </c>
      <c r="J5513" s="12" t="inlineStr">
        <is>
          <t>Instrumentation PLTC / TC-ER 300 V, #18 twisted shielded pairs, overall shield</t>
        </is>
      </c>
      <c r="K5513" s="12" t="inlineStr">
        <is>
          <t>PLTC|24 pr|18</t>
        </is>
      </c>
      <c r="L5513" s="12" t="inlineStr">
        <is>
          <t>24 pr</t>
        </is>
      </c>
      <c r="M5513" s="12" t="inlineStr">
        <is>
          <t>18</t>
        </is>
      </c>
      <c r="N5513" s="12" t="n">
        <v>1</v>
      </c>
      <c r="O5513" s="12" t="n">
        <v>1</v>
      </c>
      <c r="P5513" s="12" t="n"/>
      <c r="Q5513" s="12" t="n"/>
      <c r="R5513" s="12" t="n"/>
      <c r="S5513" s="12" t="inlineStr">
        <is>
          <t>Duct bank</t>
        </is>
      </c>
      <c r="T5513" s="16" t="n">
        <v>579</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J-I-0005</t>
        </is>
      </c>
      <c r="B5514" s="12" t="inlineStr">
        <is>
          <t>J</t>
        </is>
      </c>
      <c r="C5514" s="12" t="inlineStr">
        <is>
          <t>GT inlet chilling</t>
        </is>
      </c>
      <c r="D5514" s="12" t="inlineStr">
        <is>
          <t>Analog instrument to JB JB-CONDITIONAL: TES c-AI01: 4 x 1 pr (field cables)</t>
        </is>
      </c>
      <c r="E5514" s="12" t="inlineStr"/>
      <c r="F5514" s="12" t="inlineStr">
        <is>
          <t>CONDITIONAL: TES chilled-water tank</t>
        </is>
      </c>
      <c r="G5514" s="12" t="inlineStr">
        <is>
          <t>JB-CONDITIONAL: TES c-AI01</t>
        </is>
      </c>
      <c r="H5514" s="12" t="inlineStr">
        <is>
          <t>CONDITIONAL: TES chilled-water tank</t>
        </is>
      </c>
      <c r="I5514" s="12" t="inlineStr">
        <is>
          <t>Instrumentation</t>
        </is>
      </c>
      <c r="J5514" s="12" t="inlineStr">
        <is>
          <t>Instrumentation PLTC / TC-ER 300 V, #18 twisted shielded pairs, overall shield</t>
        </is>
      </c>
      <c r="K5514" s="12" t="inlineStr">
        <is>
          <t>PLTC|1 pr|16</t>
        </is>
      </c>
      <c r="L5514" s="12" t="inlineStr">
        <is>
          <t>1 pr</t>
        </is>
      </c>
      <c r="M5514" s="12" t="inlineStr">
        <is>
          <t>16</t>
        </is>
      </c>
      <c r="N5514" s="12" t="n">
        <v>4</v>
      </c>
      <c r="O5514" s="12" t="n">
        <v>1</v>
      </c>
      <c r="P5514" s="12" t="n"/>
      <c r="Q5514" s="12" t="n"/>
      <c r="R5514" s="12" t="n"/>
      <c r="S5514" s="12" t="inlineStr">
        <is>
          <t>Tray / conduit</t>
        </is>
      </c>
      <c r="T5514" s="16" t="n">
        <v>91</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J-I-0006</t>
        </is>
      </c>
      <c r="B5515" s="12" t="inlineStr">
        <is>
          <t>J</t>
        </is>
      </c>
      <c r="C5515" s="12" t="inlineStr">
        <is>
          <t>GT inlet chilling</t>
        </is>
      </c>
      <c r="D5515" s="12" t="inlineStr">
        <is>
          <t>Home run JB-CONDITIONAL: TES c-AI01 to the control / marshalling room</t>
        </is>
      </c>
      <c r="E5515" s="12" t="inlineStr"/>
      <c r="F5515" s="12" t="inlineStr">
        <is>
          <t>Inlet-chilling e-house / transformer</t>
        </is>
      </c>
      <c r="G5515" s="12" t="inlineStr">
        <is>
          <t>JB-CONDITIONAL: TES c-AI01</t>
        </is>
      </c>
      <c r="H5515" s="12" t="inlineStr">
        <is>
          <t>CONDITIONAL: TES chilled-water tank</t>
        </is>
      </c>
      <c r="I5515" s="12" t="inlineStr">
        <is>
          <t>Instrumentation</t>
        </is>
      </c>
      <c r="J5515" s="12" t="inlineStr">
        <is>
          <t>Instrumentation PLTC / TC-ER 300 V, #18 twisted shielded pairs, overall shield</t>
        </is>
      </c>
      <c r="K5515" s="12" t="inlineStr">
        <is>
          <t>PLTC|24 pr|18</t>
        </is>
      </c>
      <c r="L5515" s="12" t="inlineStr">
        <is>
          <t>24 pr</t>
        </is>
      </c>
      <c r="M5515" s="12" t="inlineStr">
        <is>
          <t>18</t>
        </is>
      </c>
      <c r="N5515" s="12" t="n">
        <v>1</v>
      </c>
      <c r="O5515" s="12" t="n">
        <v>1</v>
      </c>
      <c r="P5515" s="12" t="n"/>
      <c r="Q5515" s="12" t="n"/>
      <c r="R5515" s="12" t="n"/>
      <c r="S5515" s="12" t="inlineStr">
        <is>
          <t>Duct bank</t>
        </is>
      </c>
      <c r="T5515" s="16" t="n">
        <v>271</v>
      </c>
      <c r="U5515" s="16" t="n">
        <v>217</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J-I-0007</t>
        </is>
      </c>
      <c r="B5516" s="12" t="inlineStr">
        <is>
          <t>J</t>
        </is>
      </c>
      <c r="C5516" s="12" t="inlineStr">
        <is>
          <t>GT inlet chilling</t>
        </is>
      </c>
      <c r="D5516" s="12" t="inlineStr">
        <is>
          <t>Discrete device to JB JB-CONDITIONAL: TES c-DI01: 4 x 1 pr (field cables)</t>
        </is>
      </c>
      <c r="E5516" s="12" t="inlineStr"/>
      <c r="F5516" s="12" t="inlineStr">
        <is>
          <t>CONDITIONAL: TES chilled-water tank</t>
        </is>
      </c>
      <c r="G5516" s="12" t="inlineStr">
        <is>
          <t>JB-CONDITIONAL: TES c-DI01</t>
        </is>
      </c>
      <c r="H5516" s="12" t="inlineStr">
        <is>
          <t>CONDITIONAL: TES chilled-water tank</t>
        </is>
      </c>
      <c r="I5516" s="12" t="inlineStr">
        <is>
          <t>Instrumentation</t>
        </is>
      </c>
      <c r="J5516" s="12" t="inlineStr">
        <is>
          <t>Instrumentation PLTC / TC-ER 300 V, #18 twisted shielded pairs, overall shield</t>
        </is>
      </c>
      <c r="K5516" s="12" t="inlineStr">
        <is>
          <t>PLTC|1 pr|16</t>
        </is>
      </c>
      <c r="L5516" s="12" t="inlineStr">
        <is>
          <t>1 pr</t>
        </is>
      </c>
      <c r="M5516" s="12" t="inlineStr">
        <is>
          <t>16</t>
        </is>
      </c>
      <c r="N5516" s="12" t="n">
        <v>4</v>
      </c>
      <c r="O5516" s="12" t="n">
        <v>1</v>
      </c>
      <c r="P5516" s="12" t="n"/>
      <c r="Q5516" s="12" t="n"/>
      <c r="R5516" s="12" t="n"/>
      <c r="S5516" s="12" t="inlineStr">
        <is>
          <t>Tray / conduit</t>
        </is>
      </c>
      <c r="T5516" s="16" t="n">
        <v>91</v>
      </c>
      <c r="U5516" s="16" t="n">
        <v>10</v>
      </c>
      <c r="V5516" s="16">
        <f>ROUNDUP((T5516+U5516+2*'Read Me'!$B$13)*(1+'Read Me'!$B$12),-1)</f>
        <v/>
      </c>
      <c r="W5516" s="16">
        <f>V5516*N5516*O5516</f>
        <v/>
      </c>
      <c r="X5516" s="12">
        <f>IF(LEFT(I5516,2)="MV",2*N5516*IF(L5516="1/C",O5516,1),0)</f>
        <v/>
      </c>
      <c r="Y5516" s="12">
        <f>IF(OR(LEFT(K5516,4)="LVAX",LEFT(K5516,6)="MV15AX",LEFT(K5516,4)="CTAX",LEFT(K5516,2)="W|"),2*N5516*O5516,0)</f>
        <v/>
      </c>
      <c r="Z5516" s="12" t="inlineStr">
        <is>
          <t>device-to-JB field wiring, one cable per device</t>
        </is>
      </c>
      <c r="AA5516" s="12">
        <f>N5516*O5516</f>
        <v/>
      </c>
    </row>
    <row r="5517">
      <c r="A5517" s="12" t="inlineStr">
        <is>
          <t>J-I-0008</t>
        </is>
      </c>
      <c r="B5517" s="12" t="inlineStr">
        <is>
          <t>J</t>
        </is>
      </c>
      <c r="C5517" s="12" t="inlineStr">
        <is>
          <t>GT inlet chilling</t>
        </is>
      </c>
      <c r="D5517" s="12" t="inlineStr">
        <is>
          <t>Home run JB-CONDITIONAL: TES c-DI01 to the control / marshalling room</t>
        </is>
      </c>
      <c r="E5517" s="12" t="inlineStr"/>
      <c r="F5517" s="12" t="inlineStr">
        <is>
          <t>Inlet-chilling e-house / transformer</t>
        </is>
      </c>
      <c r="G5517" s="12" t="inlineStr">
        <is>
          <t>JB-CONDITIONAL: TES c-DI01</t>
        </is>
      </c>
      <c r="H5517" s="12" t="inlineStr">
        <is>
          <t>CONDITIONAL: TES chilled-water tank</t>
        </is>
      </c>
      <c r="I5517" s="12" t="inlineStr">
        <is>
          <t>Instrumentation</t>
        </is>
      </c>
      <c r="J5517" s="12" t="inlineStr">
        <is>
          <t>Instrumentation PLTC / TC-ER 300 V, #18 twisted shielded pairs, overall shield</t>
        </is>
      </c>
      <c r="K5517" s="12" t="inlineStr">
        <is>
          <t>PLTC|24 pr|18</t>
        </is>
      </c>
      <c r="L5517" s="12" t="inlineStr">
        <is>
          <t>24 pr</t>
        </is>
      </c>
      <c r="M5517" s="12" t="inlineStr">
        <is>
          <t>18</t>
        </is>
      </c>
      <c r="N5517" s="12" t="n">
        <v>1</v>
      </c>
      <c r="O5517" s="12" t="n">
        <v>1</v>
      </c>
      <c r="P5517" s="12" t="n"/>
      <c r="Q5517" s="12" t="n"/>
      <c r="R5517" s="12" t="n"/>
      <c r="S5517" s="12" t="inlineStr">
        <is>
          <t>Duct bank</t>
        </is>
      </c>
      <c r="T5517" s="16" t="n">
        <v>271</v>
      </c>
      <c r="U5517" s="16" t="n">
        <v>217</v>
      </c>
      <c r="V5517" s="16">
        <f>ROUNDUP((T5517+U5517+2*'Read Me'!$B$13)*(1+'Read Me'!$B$12),-1)</f>
        <v/>
      </c>
      <c r="W5517" s="16">
        <f>V5517*N5517*O5517</f>
        <v/>
      </c>
      <c r="X5517" s="12">
        <f>IF(LEFT(I5517,2)="MV",2*N5517*IF(L5517="1/C",O5517,1),0)</f>
        <v/>
      </c>
      <c r="Y5517" s="12">
        <f>IF(OR(LEFT(K5517,4)="LVAX",LEFT(K5517,6)="MV15AX",LEFT(K5517,4)="CTAX",LEFT(K5517,2)="W|"),2*N5517*O5517,0)</f>
        <v/>
      </c>
      <c r="Z5517" s="12" t="inlineStr"/>
      <c r="AA5517" s="12">
        <f>N5517*O5517</f>
        <v/>
      </c>
    </row>
    <row r="5518">
      <c r="A5518" s="12" t="inlineStr">
        <is>
          <t>J-I-0009</t>
        </is>
      </c>
      <c r="B5518" s="12" t="inlineStr">
        <is>
          <t>J</t>
        </is>
      </c>
      <c r="C5518" s="12" t="inlineStr">
        <is>
          <t>GT inlet chilling</t>
        </is>
      </c>
      <c r="D5518" s="12" t="inlineStr">
        <is>
          <t>Analog instrument to JB JB-CW pumps (inlet ch-AI01: 20 x 1 pr (field cables)</t>
        </is>
      </c>
      <c r="E5518" s="12" t="inlineStr"/>
      <c r="F5518" s="12" t="inlineStr">
        <is>
          <t>CW pumps (inlet chilling)</t>
        </is>
      </c>
      <c r="G5518" s="12" t="inlineStr">
        <is>
          <t>JB-CW pumps (inlet ch-AI01</t>
        </is>
      </c>
      <c r="H5518" s="12" t="inlineStr">
        <is>
          <t>CW pumps (inlet chilling)</t>
        </is>
      </c>
      <c r="I5518" s="12" t="inlineStr">
        <is>
          <t>Instrumentation</t>
        </is>
      </c>
      <c r="J5518" s="12" t="inlineStr">
        <is>
          <t>Instrumentation PLTC / TC-ER 300 V, #18 twisted shielded pairs, overall shield</t>
        </is>
      </c>
      <c r="K5518" s="12" t="inlineStr">
        <is>
          <t>PLTC|1 pr|16</t>
        </is>
      </c>
      <c r="L5518" s="12" t="inlineStr">
        <is>
          <t>1 pr</t>
        </is>
      </c>
      <c r="M5518" s="12" t="inlineStr">
        <is>
          <t>16</t>
        </is>
      </c>
      <c r="N5518" s="12" t="n">
        <v>20</v>
      </c>
      <c r="O5518" s="12" t="n">
        <v>1</v>
      </c>
      <c r="P5518" s="12" t="n"/>
      <c r="Q5518" s="12" t="n"/>
      <c r="R5518" s="12" t="n"/>
      <c r="S5518" s="12" t="inlineStr">
        <is>
          <t>Tray / conduit</t>
        </is>
      </c>
      <c r="T5518" s="16" t="n">
        <v>92</v>
      </c>
      <c r="U5518" s="16" t="n">
        <v>10</v>
      </c>
      <c r="V5518" s="16">
        <f>ROUNDUP((T5518+U5518+2*'Read Me'!$B$13)*(1+'Read Me'!$B$12),-1)</f>
        <v/>
      </c>
      <c r="W5518" s="16">
        <f>V5518*N5518*O5518</f>
        <v/>
      </c>
      <c r="X5518" s="12">
        <f>IF(LEFT(I5518,2)="MV",2*N5518*IF(L5518="1/C",O5518,1),0)</f>
        <v/>
      </c>
      <c r="Y5518" s="12">
        <f>IF(OR(LEFT(K5518,4)="LVAX",LEFT(K5518,6)="MV15AX",LEFT(K5518,4)="CTAX",LEFT(K5518,2)="W|"),2*N5518*O5518,0)</f>
        <v/>
      </c>
      <c r="Z5518" s="12" t="inlineStr">
        <is>
          <t>device-to-JB field wiring, one cable per device</t>
        </is>
      </c>
      <c r="AA5518" s="12">
        <f>N5518*O5518</f>
        <v/>
      </c>
    </row>
    <row r="5519">
      <c r="A5519" s="12" t="inlineStr">
        <is>
          <t>J-I-0010</t>
        </is>
      </c>
      <c r="B5519" s="12" t="inlineStr">
        <is>
          <t>J</t>
        </is>
      </c>
      <c r="C5519" s="12" t="inlineStr">
        <is>
          <t>GT inlet chilling</t>
        </is>
      </c>
      <c r="D5519" s="12" t="inlineStr">
        <is>
          <t>Home run JB-CW pumps (inlet ch-AI01 to the control / marshalling room</t>
        </is>
      </c>
      <c r="E5519" s="12" t="inlineStr"/>
      <c r="F5519" s="12" t="inlineStr">
        <is>
          <t>Inlet-chilling e-house / transformer</t>
        </is>
      </c>
      <c r="G5519" s="12" t="inlineStr">
        <is>
          <t>JB-CW pumps (inlet ch-AI01</t>
        </is>
      </c>
      <c r="H5519" s="12" t="inlineStr">
        <is>
          <t>CW pumps (inlet chilling)</t>
        </is>
      </c>
      <c r="I5519" s="12" t="inlineStr">
        <is>
          <t>Instrumentation</t>
        </is>
      </c>
      <c r="J5519" s="12" t="inlineStr">
        <is>
          <t>Instrumentation PLTC / TC-ER 300 V, #18 twisted shielded pairs, overall shield</t>
        </is>
      </c>
      <c r="K5519" s="12" t="inlineStr">
        <is>
          <t>PLTC|24 pr|18</t>
        </is>
      </c>
      <c r="L5519" s="12" t="inlineStr">
        <is>
          <t>24 pr</t>
        </is>
      </c>
      <c r="M5519" s="12" t="inlineStr">
        <is>
          <t>18</t>
        </is>
      </c>
      <c r="N5519" s="12" t="n">
        <v>1</v>
      </c>
      <c r="O5519" s="12" t="n">
        <v>1</v>
      </c>
      <c r="P5519" s="12" t="n"/>
      <c r="Q5519" s="12" t="n"/>
      <c r="R5519" s="12" t="n"/>
      <c r="S5519" s="12" t="inlineStr">
        <is>
          <t>Tray</t>
        </is>
      </c>
      <c r="T5519" s="16" t="n">
        <v>0</v>
      </c>
      <c r="U5519" s="16" t="n">
        <v>70</v>
      </c>
      <c r="V5519" s="16">
        <f>ROUNDUP((T5519+U5519+2*'Read Me'!$B$13)*(1+'Read Me'!$B$12),-1)</f>
        <v/>
      </c>
      <c r="W5519" s="16">
        <f>V5519*N5519*O5519</f>
        <v/>
      </c>
      <c r="X5519" s="12">
        <f>IF(LEFT(I5519,2)="MV",2*N5519*IF(L5519="1/C",O5519,1),0)</f>
        <v/>
      </c>
      <c r="Y5519" s="12">
        <f>IF(OR(LEFT(K5519,4)="LVAX",LEFT(K5519,6)="MV15AX",LEFT(K5519,4)="CTAX",LEFT(K5519,2)="W|"),2*N5519*O5519,0)</f>
        <v/>
      </c>
      <c r="Z5519" s="12" t="inlineStr"/>
      <c r="AA5519" s="12">
        <f>N5519*O5519</f>
        <v/>
      </c>
    </row>
    <row r="5520">
      <c r="A5520" s="12" t="inlineStr">
        <is>
          <t>J-I-0011</t>
        </is>
      </c>
      <c r="B5520" s="12" t="inlineStr">
        <is>
          <t>J</t>
        </is>
      </c>
      <c r="C5520" s="12" t="inlineStr">
        <is>
          <t>GT inlet chilling</t>
        </is>
      </c>
      <c r="D5520" s="12" t="inlineStr">
        <is>
          <t>Analog instrument to JB JB-CW pumps (inlet ch-AI02: 4 x 1 pr (field cables)</t>
        </is>
      </c>
      <c r="E5520" s="12" t="inlineStr"/>
      <c r="F5520" s="12" t="inlineStr">
        <is>
          <t>CW pumps (inlet chilling)</t>
        </is>
      </c>
      <c r="G5520" s="12" t="inlineStr">
        <is>
          <t>JB-CW pumps (inlet ch-AI02</t>
        </is>
      </c>
      <c r="H5520" s="12" t="inlineStr">
        <is>
          <t>CW pumps (inlet chilling)</t>
        </is>
      </c>
      <c r="I5520" s="12" t="inlineStr">
        <is>
          <t>Instrumentation</t>
        </is>
      </c>
      <c r="J5520" s="12" t="inlineStr">
        <is>
          <t>Instrumentation PLTC / TC-ER 300 V, #18 twisted shielded pairs, overall shield</t>
        </is>
      </c>
      <c r="K5520" s="12" t="inlineStr">
        <is>
          <t>PLTC|1 pr|16</t>
        </is>
      </c>
      <c r="L5520" s="12" t="inlineStr">
        <is>
          <t>1 pr</t>
        </is>
      </c>
      <c r="M5520" s="12" t="inlineStr">
        <is>
          <t>16</t>
        </is>
      </c>
      <c r="N5520" s="12" t="n">
        <v>4</v>
      </c>
      <c r="O5520" s="12" t="n">
        <v>1</v>
      </c>
      <c r="P5520" s="12" t="n"/>
      <c r="Q5520" s="12" t="n"/>
      <c r="R5520" s="12" t="n"/>
      <c r="S5520" s="12" t="inlineStr">
        <is>
          <t>Tray / conduit</t>
        </is>
      </c>
      <c r="T5520" s="16" t="n">
        <v>92</v>
      </c>
      <c r="U5520" s="16" t="n">
        <v>10</v>
      </c>
      <c r="V5520" s="16">
        <f>ROUNDUP((T5520+U5520+2*'Read Me'!$B$13)*(1+'Read Me'!$B$12),-1)</f>
        <v/>
      </c>
      <c r="W5520" s="16">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J-I-0012</t>
        </is>
      </c>
      <c r="B5521" s="12" t="inlineStr">
        <is>
          <t>J</t>
        </is>
      </c>
      <c r="C5521" s="12" t="inlineStr">
        <is>
          <t>GT inlet chilling</t>
        </is>
      </c>
      <c r="D5521" s="12" t="inlineStr">
        <is>
          <t>Home run JB-CW pumps (inlet ch-AI02 to the control / marshalling room</t>
        </is>
      </c>
      <c r="E5521" s="12" t="inlineStr"/>
      <c r="F5521" s="12" t="inlineStr">
        <is>
          <t>Inlet-chilling e-house / transformer</t>
        </is>
      </c>
      <c r="G5521" s="12" t="inlineStr">
        <is>
          <t>JB-CW pumps (inlet ch-AI02</t>
        </is>
      </c>
      <c r="H5521" s="12" t="inlineStr">
        <is>
          <t>CW pumps (inlet chilling)</t>
        </is>
      </c>
      <c r="I5521" s="12" t="inlineStr">
        <is>
          <t>Instrumentation</t>
        </is>
      </c>
      <c r="J5521" s="12" t="inlineStr">
        <is>
          <t>Instrumentation PLTC / TC-ER 300 V, #18 twisted shielded pairs, overall shield</t>
        </is>
      </c>
      <c r="K5521" s="12" t="inlineStr">
        <is>
          <t>PLTC|24 pr|18</t>
        </is>
      </c>
      <c r="L5521" s="12" t="inlineStr">
        <is>
          <t>24 pr</t>
        </is>
      </c>
      <c r="M5521" s="12" t="inlineStr">
        <is>
          <t>18</t>
        </is>
      </c>
      <c r="N5521" s="12" t="n">
        <v>1</v>
      </c>
      <c r="O5521" s="12" t="n">
        <v>1</v>
      </c>
      <c r="P5521" s="12" t="n"/>
      <c r="Q5521" s="12" t="n"/>
      <c r="R5521" s="12" t="n"/>
      <c r="S5521" s="12" t="inlineStr">
        <is>
          <t>Tray</t>
        </is>
      </c>
      <c r="T5521" s="16" t="n">
        <v>0</v>
      </c>
      <c r="U5521" s="16" t="n">
        <v>70</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J-I-0013</t>
        </is>
      </c>
      <c r="B5522" s="12" t="inlineStr">
        <is>
          <t>J</t>
        </is>
      </c>
      <c r="C5522" s="12" t="inlineStr">
        <is>
          <t>GT inlet chilling</t>
        </is>
      </c>
      <c r="D5522" s="12" t="inlineStr">
        <is>
          <t>Discrete device to JB JB-CW pumps (inlet ch-DI01: 20 x 1 pr (field cables)</t>
        </is>
      </c>
      <c r="E5522" s="12" t="inlineStr"/>
      <c r="F5522" s="12" t="inlineStr">
        <is>
          <t>CW pumps (inlet chilling)</t>
        </is>
      </c>
      <c r="G5522" s="12" t="inlineStr">
        <is>
          <t>JB-CW pumps (inlet ch-DI01</t>
        </is>
      </c>
      <c r="H5522" s="12" t="inlineStr">
        <is>
          <t>CW pumps (inlet chilling)</t>
        </is>
      </c>
      <c r="I5522" s="12" t="inlineStr">
        <is>
          <t>Instrumentation</t>
        </is>
      </c>
      <c r="J5522" s="12" t="inlineStr">
        <is>
          <t>Instrumentation PLTC / TC-ER 300 V, #18 twisted shielded pairs, overall shield</t>
        </is>
      </c>
      <c r="K5522" s="12" t="inlineStr">
        <is>
          <t>PLTC|1 pr|16</t>
        </is>
      </c>
      <c r="L5522" s="12" t="inlineStr">
        <is>
          <t>1 pr</t>
        </is>
      </c>
      <c r="M5522" s="12" t="inlineStr">
        <is>
          <t>16</t>
        </is>
      </c>
      <c r="N5522" s="12" t="n">
        <v>20</v>
      </c>
      <c r="O5522" s="12" t="n">
        <v>1</v>
      </c>
      <c r="P5522" s="12" t="n"/>
      <c r="Q5522" s="12" t="n"/>
      <c r="R5522" s="12" t="n"/>
      <c r="S5522" s="12" t="inlineStr">
        <is>
          <t>Tray / conduit</t>
        </is>
      </c>
      <c r="T5522" s="16" t="n">
        <v>92</v>
      </c>
      <c r="U5522" s="16" t="n">
        <v>10</v>
      </c>
      <c r="V5522" s="16">
        <f>ROUNDUP((T5522+U5522+2*'Read Me'!$B$13)*(1+'Read Me'!$B$12),-1)</f>
        <v/>
      </c>
      <c r="W5522" s="16">
        <f>V5522*N5522*O5522</f>
        <v/>
      </c>
      <c r="X5522" s="12">
        <f>IF(LEFT(I5522,2)="MV",2*N5522*IF(L5522="1/C",O5522,1),0)</f>
        <v/>
      </c>
      <c r="Y5522" s="12">
        <f>IF(OR(LEFT(K5522,4)="LVAX",LEFT(K5522,6)="MV15AX",LEFT(K5522,4)="CTAX",LEFT(K5522,2)="W|"),2*N5522*O5522,0)</f>
        <v/>
      </c>
      <c r="Z5522" s="12" t="inlineStr">
        <is>
          <t>device-to-JB field wiring, one cable per device</t>
        </is>
      </c>
      <c r="AA5522" s="12">
        <f>N5522*O5522</f>
        <v/>
      </c>
    </row>
    <row r="5523">
      <c r="A5523" s="12" t="inlineStr">
        <is>
          <t>J-I-0014</t>
        </is>
      </c>
      <c r="B5523" s="12" t="inlineStr">
        <is>
          <t>J</t>
        </is>
      </c>
      <c r="C5523" s="12" t="inlineStr">
        <is>
          <t>GT inlet chilling</t>
        </is>
      </c>
      <c r="D5523" s="12" t="inlineStr">
        <is>
          <t>Home run JB-CW pumps (inlet ch-DI01 to the control / marshalling room</t>
        </is>
      </c>
      <c r="E5523" s="12" t="inlineStr"/>
      <c r="F5523" s="12" t="inlineStr">
        <is>
          <t>Inlet-chilling e-house / transformer</t>
        </is>
      </c>
      <c r="G5523" s="12" t="inlineStr">
        <is>
          <t>JB-CW pumps (inlet ch-DI01</t>
        </is>
      </c>
      <c r="H5523" s="12" t="inlineStr">
        <is>
          <t>CW pumps (inlet chilling)</t>
        </is>
      </c>
      <c r="I5523" s="12" t="inlineStr">
        <is>
          <t>Instrumentation</t>
        </is>
      </c>
      <c r="J5523" s="12" t="inlineStr">
        <is>
          <t>Instrumentation PLTC / TC-ER 300 V, #18 twisted shielded pairs, overall shield</t>
        </is>
      </c>
      <c r="K5523" s="12" t="inlineStr">
        <is>
          <t>PLTC|24 pr|18</t>
        </is>
      </c>
      <c r="L5523" s="12" t="inlineStr">
        <is>
          <t>24 pr</t>
        </is>
      </c>
      <c r="M5523" s="12" t="inlineStr">
        <is>
          <t>18</t>
        </is>
      </c>
      <c r="N5523" s="12" t="n">
        <v>1</v>
      </c>
      <c r="O5523" s="12" t="n">
        <v>1</v>
      </c>
      <c r="P5523" s="12" t="n"/>
      <c r="Q5523" s="12" t="n"/>
      <c r="R5523" s="12" t="n"/>
      <c r="S5523" s="12" t="inlineStr">
        <is>
          <t>Tray</t>
        </is>
      </c>
      <c r="T5523" s="16" t="n">
        <v>0</v>
      </c>
      <c r="U5523" s="16" t="n">
        <v>70</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J-I-0015</t>
        </is>
      </c>
      <c r="B5524" s="12" t="inlineStr">
        <is>
          <t>J</t>
        </is>
      </c>
      <c r="C5524" s="12" t="inlineStr">
        <is>
          <t>GT inlet chilling</t>
        </is>
      </c>
      <c r="D5524" s="12" t="inlineStr">
        <is>
          <t>Discrete device to JB JB-CW pumps (inlet ch-DI02: 4 x 1 pr (field cables)</t>
        </is>
      </c>
      <c r="E5524" s="12" t="inlineStr"/>
      <c r="F5524" s="12" t="inlineStr">
        <is>
          <t>CW pumps (inlet chilling)</t>
        </is>
      </c>
      <c r="G5524" s="12" t="inlineStr">
        <is>
          <t>JB-CW pumps (inlet ch-DI02</t>
        </is>
      </c>
      <c r="H5524" s="12" t="inlineStr">
        <is>
          <t>CW pumps (inlet chilling)</t>
        </is>
      </c>
      <c r="I5524" s="12" t="inlineStr">
        <is>
          <t>Instrumentation</t>
        </is>
      </c>
      <c r="J5524" s="12" t="inlineStr">
        <is>
          <t>Instrumentation PLTC / TC-ER 300 V, #18 twisted shielded pairs, overall shield</t>
        </is>
      </c>
      <c r="K5524" s="12" t="inlineStr">
        <is>
          <t>PLTC|1 pr|16</t>
        </is>
      </c>
      <c r="L5524" s="12" t="inlineStr">
        <is>
          <t>1 pr</t>
        </is>
      </c>
      <c r="M5524" s="12" t="inlineStr">
        <is>
          <t>16</t>
        </is>
      </c>
      <c r="N5524" s="12" t="n">
        <v>4</v>
      </c>
      <c r="O5524" s="12" t="n">
        <v>1</v>
      </c>
      <c r="P5524" s="12" t="n"/>
      <c r="Q5524" s="12" t="n"/>
      <c r="R5524" s="12" t="n"/>
      <c r="S5524" s="12" t="inlineStr">
        <is>
          <t>Tray / conduit</t>
        </is>
      </c>
      <c r="T5524" s="16" t="n">
        <v>92</v>
      </c>
      <c r="U5524" s="16" t="n">
        <v>10</v>
      </c>
      <c r="V5524" s="16">
        <f>ROUNDUP((T5524+U5524+2*'Read Me'!$B$13)*(1+'Read Me'!$B$12),-1)</f>
        <v/>
      </c>
      <c r="W5524" s="16">
        <f>V5524*N5524*O5524</f>
        <v/>
      </c>
      <c r="X5524" s="12">
        <f>IF(LEFT(I5524,2)="MV",2*N5524*IF(L5524="1/C",O5524,1),0)</f>
        <v/>
      </c>
      <c r="Y5524" s="12">
        <f>IF(OR(LEFT(K5524,4)="LVAX",LEFT(K5524,6)="MV15AX",LEFT(K5524,4)="CTAX",LEFT(K5524,2)="W|"),2*N5524*O5524,0)</f>
        <v/>
      </c>
      <c r="Z5524" s="12" t="inlineStr">
        <is>
          <t>device-to-JB field wiring, one cable per device</t>
        </is>
      </c>
      <c r="AA5524" s="12">
        <f>N5524*O5524</f>
        <v/>
      </c>
    </row>
    <row r="5525">
      <c r="A5525" s="12" t="inlineStr">
        <is>
          <t>J-I-0016</t>
        </is>
      </c>
      <c r="B5525" s="12" t="inlineStr">
        <is>
          <t>J</t>
        </is>
      </c>
      <c r="C5525" s="12" t="inlineStr">
        <is>
          <t>GT inlet chilling</t>
        </is>
      </c>
      <c r="D5525" s="12" t="inlineStr">
        <is>
          <t>Home run JB-CW pumps (inlet ch-DI02 to the control / marshalling room</t>
        </is>
      </c>
      <c r="E5525" s="12" t="inlineStr"/>
      <c r="F5525" s="12" t="inlineStr">
        <is>
          <t>Inlet-chilling e-house / transformer</t>
        </is>
      </c>
      <c r="G5525" s="12" t="inlineStr">
        <is>
          <t>JB-CW pumps (inlet ch-DI02</t>
        </is>
      </c>
      <c r="H5525" s="12" t="inlineStr">
        <is>
          <t>CW pumps (inlet chilling)</t>
        </is>
      </c>
      <c r="I5525" s="12" t="inlineStr">
        <is>
          <t>Instrumentation</t>
        </is>
      </c>
      <c r="J5525" s="12" t="inlineStr">
        <is>
          <t>Instrumentation PLTC / TC-ER 300 V, #18 twisted shielded pairs, overall shield</t>
        </is>
      </c>
      <c r="K5525" s="12" t="inlineStr">
        <is>
          <t>PLTC|24 pr|18</t>
        </is>
      </c>
      <c r="L5525" s="12" t="inlineStr">
        <is>
          <t>24 pr</t>
        </is>
      </c>
      <c r="M5525" s="12" t="inlineStr">
        <is>
          <t>18</t>
        </is>
      </c>
      <c r="N5525" s="12" t="n">
        <v>1</v>
      </c>
      <c r="O5525" s="12" t="n">
        <v>1</v>
      </c>
      <c r="P5525" s="12" t="n"/>
      <c r="Q5525" s="12" t="n"/>
      <c r="R5525" s="12" t="n"/>
      <c r="S5525" s="12" t="inlineStr">
        <is>
          <t>Tray</t>
        </is>
      </c>
      <c r="T5525" s="16" t="n">
        <v>0</v>
      </c>
      <c r="U5525" s="16" t="n">
        <v>70</v>
      </c>
      <c r="V5525" s="16">
        <f>ROUNDUP((T5525+U5525+2*'Read Me'!$B$13)*(1+'Read Me'!$B$12),-1)</f>
        <v/>
      </c>
      <c r="W5525" s="16">
        <f>V5525*N5525*O5525</f>
        <v/>
      </c>
      <c r="X5525" s="12">
        <f>IF(LEFT(I5525,2)="MV",2*N5525*IF(L5525="1/C",O5525,1),0)</f>
        <v/>
      </c>
      <c r="Y5525" s="12">
        <f>IF(OR(LEFT(K5525,4)="LVAX",LEFT(K5525,6)="MV15AX",LEFT(K5525,4)="CTAX",LEFT(K5525,2)="W|"),2*N5525*O5525,0)</f>
        <v/>
      </c>
      <c r="Z5525" s="12" t="inlineStr"/>
      <c r="AA5525" s="12">
        <f>N5525*O5525</f>
        <v/>
      </c>
    </row>
    <row r="5526">
      <c r="A5526" s="12" t="inlineStr">
        <is>
          <t>J-I-0017</t>
        </is>
      </c>
      <c r="B5526" s="12" t="inlineStr">
        <is>
          <t>J</t>
        </is>
      </c>
      <c r="C5526" s="12" t="inlineStr">
        <is>
          <t>GT inlet chilling</t>
        </is>
      </c>
      <c r="D5526" s="12" t="inlineStr">
        <is>
          <t>Analog instrument to JB JB-Chillers x6 (water-AI01: 20 x 1 pr (field cables)</t>
        </is>
      </c>
      <c r="E5526" s="12" t="inlineStr"/>
      <c r="F5526" s="12" t="inlineStr">
        <is>
          <t>Chillers x6 (water-cooled)</t>
        </is>
      </c>
      <c r="G5526" s="12" t="inlineStr">
        <is>
          <t>JB-Chillers x6 (water-AI01</t>
        </is>
      </c>
      <c r="H5526" s="12" t="inlineStr">
        <is>
          <t>Chillers x6 (water-cooled)</t>
        </is>
      </c>
      <c r="I5526" s="12" t="inlineStr">
        <is>
          <t>Instrumentation</t>
        </is>
      </c>
      <c r="J5526" s="12" t="inlineStr">
        <is>
          <t>Instrumentation PLTC / TC-ER 300 V, #18 twisted shielded pairs, overall shield</t>
        </is>
      </c>
      <c r="K5526" s="12" t="inlineStr">
        <is>
          <t>PLTC|1 pr|16</t>
        </is>
      </c>
      <c r="L5526" s="12" t="inlineStr">
        <is>
          <t>1 pr</t>
        </is>
      </c>
      <c r="M5526" s="12" t="inlineStr">
        <is>
          <t>16</t>
        </is>
      </c>
      <c r="N5526" s="12" t="n">
        <v>20</v>
      </c>
      <c r="O5526" s="12" t="n">
        <v>1</v>
      </c>
      <c r="P5526" s="12" t="n"/>
      <c r="Q5526" s="12" t="n"/>
      <c r="R5526" s="12" t="n"/>
      <c r="S5526" s="12" t="inlineStr">
        <is>
          <t>Tray / conduit</t>
        </is>
      </c>
      <c r="T5526" s="16" t="n">
        <v>190</v>
      </c>
      <c r="U5526" s="16" t="n">
        <v>10</v>
      </c>
      <c r="V5526" s="16">
        <f>ROUNDUP((T5526+U5526+2*'Read Me'!$B$13)*(1+'Read Me'!$B$12),-1)</f>
        <v/>
      </c>
      <c r="W5526" s="16">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J-I-0018</t>
        </is>
      </c>
      <c r="B5527" s="12" t="inlineStr">
        <is>
          <t>J</t>
        </is>
      </c>
      <c r="C5527" s="12" t="inlineStr">
        <is>
          <t>GT inlet chilling</t>
        </is>
      </c>
      <c r="D5527" s="12" t="inlineStr">
        <is>
          <t>Home run JB-Chillers x6 (water-AI01 to the control / marshalling room</t>
        </is>
      </c>
      <c r="E5527" s="12" t="inlineStr"/>
      <c r="F5527" s="12" t="inlineStr">
        <is>
          <t>Inlet-chilling e-house / transformer</t>
        </is>
      </c>
      <c r="G5527" s="12" t="inlineStr">
        <is>
          <t>JB-Chillers x6 (water-AI01</t>
        </is>
      </c>
      <c r="H5527" s="12" t="inlineStr">
        <is>
          <t>Chillers x6 (water-cooled)</t>
        </is>
      </c>
      <c r="I5527" s="12" t="inlineStr">
        <is>
          <t>Instrumentation</t>
        </is>
      </c>
      <c r="J5527" s="12" t="inlineStr">
        <is>
          <t>Instrumentation PLTC / TC-ER 300 V, #18 twisted shielded pairs, overall shield</t>
        </is>
      </c>
      <c r="K5527" s="12" t="inlineStr">
        <is>
          <t>PLTC|24 pr|18</t>
        </is>
      </c>
      <c r="L5527" s="12" t="inlineStr">
        <is>
          <t>24 pr</t>
        </is>
      </c>
      <c r="M5527" s="12" t="inlineStr">
        <is>
          <t>18</t>
        </is>
      </c>
      <c r="N5527" s="12" t="n">
        <v>1</v>
      </c>
      <c r="O5527" s="12" t="n">
        <v>1</v>
      </c>
      <c r="P5527" s="12" t="n"/>
      <c r="Q5527" s="12" t="n"/>
      <c r="R5527" s="12" t="n"/>
      <c r="S5527" s="12" t="inlineStr">
        <is>
          <t>Duct bank</t>
        </is>
      </c>
      <c r="T5527" s="16" t="n">
        <v>10</v>
      </c>
      <c r="U5527" s="16" t="n">
        <v>32</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J-I-0019</t>
        </is>
      </c>
      <c r="B5528" s="12" t="inlineStr">
        <is>
          <t>J</t>
        </is>
      </c>
      <c r="C5528" s="12" t="inlineStr">
        <is>
          <t>GT inlet chilling</t>
        </is>
      </c>
      <c r="D5528" s="12" t="inlineStr">
        <is>
          <t>Analog instrument to JB JB-Chillers x6 (water-AI02: 20 x 1 pr (field cables)</t>
        </is>
      </c>
      <c r="E5528" s="12" t="inlineStr"/>
      <c r="F5528" s="12" t="inlineStr">
        <is>
          <t>Chillers x6 (water-cooled)</t>
        </is>
      </c>
      <c r="G5528" s="12" t="inlineStr">
        <is>
          <t>JB-Chillers x6 (water-AI02</t>
        </is>
      </c>
      <c r="H5528" s="12" t="inlineStr">
        <is>
          <t>Chillers x6 (water-cooled)</t>
        </is>
      </c>
      <c r="I5528" s="12" t="inlineStr">
        <is>
          <t>Instrumentation</t>
        </is>
      </c>
      <c r="J5528" s="12" t="inlineStr">
        <is>
          <t>Instrumentation PLTC / TC-ER 300 V, #18 twisted shielded pairs, overall shield</t>
        </is>
      </c>
      <c r="K5528" s="12" t="inlineStr">
        <is>
          <t>PLTC|1 pr|16</t>
        </is>
      </c>
      <c r="L5528" s="12" t="inlineStr">
        <is>
          <t>1 pr</t>
        </is>
      </c>
      <c r="M5528" s="12" t="inlineStr">
        <is>
          <t>16</t>
        </is>
      </c>
      <c r="N5528" s="12" t="n">
        <v>20</v>
      </c>
      <c r="O5528" s="12" t="n">
        <v>1</v>
      </c>
      <c r="P5528" s="12" t="n"/>
      <c r="Q5528" s="12" t="n"/>
      <c r="R5528" s="12" t="n"/>
      <c r="S5528" s="12" t="inlineStr">
        <is>
          <t>Tray / conduit</t>
        </is>
      </c>
      <c r="T5528" s="16" t="n">
        <v>190</v>
      </c>
      <c r="U5528" s="16" t="n">
        <v>10</v>
      </c>
      <c r="V5528" s="16">
        <f>ROUNDUP((T5528+U5528+2*'Read Me'!$B$13)*(1+'Read Me'!$B$12),-1)</f>
        <v/>
      </c>
      <c r="W5528" s="16">
        <f>V5528*N5528*O5528</f>
        <v/>
      </c>
      <c r="X5528" s="12">
        <f>IF(LEFT(I5528,2)="MV",2*N5528*IF(L5528="1/C",O5528,1),0)</f>
        <v/>
      </c>
      <c r="Y5528" s="12">
        <f>IF(OR(LEFT(K5528,4)="LVAX",LEFT(K5528,6)="MV15AX",LEFT(K5528,4)="CTAX",LEFT(K5528,2)="W|"),2*N5528*O5528,0)</f>
        <v/>
      </c>
      <c r="Z5528" s="12" t="inlineStr">
        <is>
          <t>device-to-JB field wiring, one cable per device</t>
        </is>
      </c>
      <c r="AA5528" s="12">
        <f>N5528*O5528</f>
        <v/>
      </c>
    </row>
    <row r="5529">
      <c r="A5529" s="12" t="inlineStr">
        <is>
          <t>J-I-0020</t>
        </is>
      </c>
      <c r="B5529" s="12" t="inlineStr">
        <is>
          <t>J</t>
        </is>
      </c>
      <c r="C5529" s="12" t="inlineStr">
        <is>
          <t>GT inlet chilling</t>
        </is>
      </c>
      <c r="D5529" s="12" t="inlineStr">
        <is>
          <t>Home run JB-Chillers x6 (water-AI02 to the control / marshalling room</t>
        </is>
      </c>
      <c r="E5529" s="12" t="inlineStr"/>
      <c r="F5529" s="12" t="inlineStr">
        <is>
          <t>Inlet-chilling e-house / transformer</t>
        </is>
      </c>
      <c r="G5529" s="12" t="inlineStr">
        <is>
          <t>JB-Chillers x6 (water-AI02</t>
        </is>
      </c>
      <c r="H5529" s="12" t="inlineStr">
        <is>
          <t>Chillers x6 (water-cooled)</t>
        </is>
      </c>
      <c r="I5529" s="12" t="inlineStr">
        <is>
          <t>Instrumentation</t>
        </is>
      </c>
      <c r="J5529" s="12" t="inlineStr">
        <is>
          <t>Instrumentation PLTC / TC-ER 300 V, #18 twisted shielded pairs, overall shield</t>
        </is>
      </c>
      <c r="K5529" s="12" t="inlineStr">
        <is>
          <t>PLTC|24 pr|18</t>
        </is>
      </c>
      <c r="L5529" s="12" t="inlineStr">
        <is>
          <t>24 pr</t>
        </is>
      </c>
      <c r="M5529" s="12" t="inlineStr">
        <is>
          <t>18</t>
        </is>
      </c>
      <c r="N5529" s="12" t="n">
        <v>1</v>
      </c>
      <c r="O5529" s="12" t="n">
        <v>1</v>
      </c>
      <c r="P5529" s="12" t="n"/>
      <c r="Q5529" s="12" t="n"/>
      <c r="R5529" s="12" t="n"/>
      <c r="S5529" s="12" t="inlineStr">
        <is>
          <t>Duct bank</t>
        </is>
      </c>
      <c r="T5529" s="16" t="n">
        <v>10</v>
      </c>
      <c r="U5529" s="16" t="n">
        <v>32</v>
      </c>
      <c r="V5529" s="16">
        <f>ROUNDUP((T5529+U5529+2*'Read Me'!$B$13)*(1+'Read Me'!$B$12),-1)</f>
        <v/>
      </c>
      <c r="W5529" s="16">
        <f>V5529*N5529*O5529</f>
        <v/>
      </c>
      <c r="X5529" s="12">
        <f>IF(LEFT(I5529,2)="MV",2*N5529*IF(L5529="1/C",O5529,1),0)</f>
        <v/>
      </c>
      <c r="Y5529" s="12">
        <f>IF(OR(LEFT(K5529,4)="LVAX",LEFT(K5529,6)="MV15AX",LEFT(K5529,4)="CTAX",LEFT(K5529,2)="W|"),2*N5529*O5529,0)</f>
        <v/>
      </c>
      <c r="Z5529" s="12" t="inlineStr"/>
      <c r="AA5529" s="12">
        <f>N5529*O5529</f>
        <v/>
      </c>
    </row>
    <row r="5530">
      <c r="A5530" s="12" t="inlineStr">
        <is>
          <t>J-I-0021</t>
        </is>
      </c>
      <c r="B5530" s="12" t="inlineStr">
        <is>
          <t>J</t>
        </is>
      </c>
      <c r="C5530" s="12" t="inlineStr">
        <is>
          <t>GT inlet chilling</t>
        </is>
      </c>
      <c r="D5530" s="12" t="inlineStr">
        <is>
          <t>Analog instrument to JB JB-Chillers x6 (water-AI03: 20 x 1 pr (field cables)</t>
        </is>
      </c>
      <c r="E5530" s="12" t="inlineStr"/>
      <c r="F5530" s="12" t="inlineStr">
        <is>
          <t>Chillers x6 (water-cooled)</t>
        </is>
      </c>
      <c r="G5530" s="12" t="inlineStr">
        <is>
          <t>JB-Chillers x6 (water-AI03</t>
        </is>
      </c>
      <c r="H5530" s="12" t="inlineStr">
        <is>
          <t>Chillers x6 (water-cooled)</t>
        </is>
      </c>
      <c r="I5530" s="12" t="inlineStr">
        <is>
          <t>Instrumentation</t>
        </is>
      </c>
      <c r="J5530" s="12" t="inlineStr">
        <is>
          <t>Instrumentation PLTC / TC-ER 300 V, #18 twisted shielded pairs, overall shield</t>
        </is>
      </c>
      <c r="K5530" s="12" t="inlineStr">
        <is>
          <t>PLTC|1 pr|16</t>
        </is>
      </c>
      <c r="L5530" s="12" t="inlineStr">
        <is>
          <t>1 pr</t>
        </is>
      </c>
      <c r="M5530" s="12" t="inlineStr">
        <is>
          <t>16</t>
        </is>
      </c>
      <c r="N5530" s="12" t="n">
        <v>20</v>
      </c>
      <c r="O5530" s="12" t="n">
        <v>1</v>
      </c>
      <c r="P5530" s="12" t="n"/>
      <c r="Q5530" s="12" t="n"/>
      <c r="R5530" s="12" t="n"/>
      <c r="S5530" s="12" t="inlineStr">
        <is>
          <t>Tray / conduit</t>
        </is>
      </c>
      <c r="T5530" s="16" t="n">
        <v>190</v>
      </c>
      <c r="U5530" s="16" t="n">
        <v>10</v>
      </c>
      <c r="V5530" s="16">
        <f>ROUNDUP((T5530+U5530+2*'Read Me'!$B$13)*(1+'Read Me'!$B$12),-1)</f>
        <v/>
      </c>
      <c r="W5530" s="16">
        <f>V5530*N5530*O5530</f>
        <v/>
      </c>
      <c r="X5530" s="12">
        <f>IF(LEFT(I5530,2)="MV",2*N5530*IF(L5530="1/C",O5530,1),0)</f>
        <v/>
      </c>
      <c r="Y5530" s="12">
        <f>IF(OR(LEFT(K5530,4)="LVAX",LEFT(K5530,6)="MV15AX",LEFT(K5530,4)="CTAX",LEFT(K5530,2)="W|"),2*N5530*O5530,0)</f>
        <v/>
      </c>
      <c r="Z5530" s="12" t="inlineStr">
        <is>
          <t>device-to-JB field wiring, one cable per device</t>
        </is>
      </c>
      <c r="AA5530" s="12">
        <f>N5530*O5530</f>
        <v/>
      </c>
    </row>
    <row r="5531">
      <c r="A5531" s="12" t="inlineStr">
        <is>
          <t>J-I-0022</t>
        </is>
      </c>
      <c r="B5531" s="12" t="inlineStr">
        <is>
          <t>J</t>
        </is>
      </c>
      <c r="C5531" s="12" t="inlineStr">
        <is>
          <t>GT inlet chilling</t>
        </is>
      </c>
      <c r="D5531" s="12" t="inlineStr">
        <is>
          <t>Home run JB-Chillers x6 (water-AI03 to the control / marshalling room</t>
        </is>
      </c>
      <c r="E5531" s="12" t="inlineStr"/>
      <c r="F5531" s="12" t="inlineStr">
        <is>
          <t>Inlet-chilling e-house / transformer</t>
        </is>
      </c>
      <c r="G5531" s="12" t="inlineStr">
        <is>
          <t>JB-Chillers x6 (water-AI03</t>
        </is>
      </c>
      <c r="H5531" s="12" t="inlineStr">
        <is>
          <t>Chillers x6 (water-cooled)</t>
        </is>
      </c>
      <c r="I5531" s="12" t="inlineStr">
        <is>
          <t>Instrumentation</t>
        </is>
      </c>
      <c r="J5531" s="12" t="inlineStr">
        <is>
          <t>Instrumentation PLTC / TC-ER 300 V, #18 twisted shielded pairs, overall shield</t>
        </is>
      </c>
      <c r="K5531" s="12" t="inlineStr">
        <is>
          <t>PLTC|24 pr|18</t>
        </is>
      </c>
      <c r="L5531" s="12" t="inlineStr">
        <is>
          <t>24 pr</t>
        </is>
      </c>
      <c r="M5531" s="12" t="inlineStr">
        <is>
          <t>18</t>
        </is>
      </c>
      <c r="N5531" s="12" t="n">
        <v>1</v>
      </c>
      <c r="O5531" s="12" t="n">
        <v>1</v>
      </c>
      <c r="P5531" s="12" t="n"/>
      <c r="Q5531" s="12" t="n"/>
      <c r="R5531" s="12" t="n"/>
      <c r="S5531" s="12" t="inlineStr">
        <is>
          <t>Duct bank</t>
        </is>
      </c>
      <c r="T5531" s="16" t="n">
        <v>10</v>
      </c>
      <c r="U5531" s="16" t="n">
        <v>32</v>
      </c>
      <c r="V5531" s="16">
        <f>ROUNDUP((T5531+U5531+2*'Read Me'!$B$13)*(1+'Read Me'!$B$12),-1)</f>
        <v/>
      </c>
      <c r="W5531" s="16">
        <f>V5531*N5531*O5531</f>
        <v/>
      </c>
      <c r="X5531" s="12">
        <f>IF(LEFT(I5531,2)="MV",2*N5531*IF(L5531="1/C",O5531,1),0)</f>
        <v/>
      </c>
      <c r="Y5531" s="12">
        <f>IF(OR(LEFT(K5531,4)="LVAX",LEFT(K5531,6)="MV15AX",LEFT(K5531,4)="CTAX",LEFT(K5531,2)="W|"),2*N5531*O5531,0)</f>
        <v/>
      </c>
      <c r="Z5531" s="12" t="inlineStr"/>
      <c r="AA5531" s="12">
        <f>N5531*O5531</f>
        <v/>
      </c>
    </row>
    <row r="5532">
      <c r="A5532" s="12" t="inlineStr">
        <is>
          <t>J-I-0023</t>
        </is>
      </c>
      <c r="B5532" s="12" t="inlineStr">
        <is>
          <t>J</t>
        </is>
      </c>
      <c r="C5532" s="12" t="inlineStr">
        <is>
          <t>GT inlet chilling</t>
        </is>
      </c>
      <c r="D5532" s="12" t="inlineStr">
        <is>
          <t>Analog instrument to JB JB-Chillers x6 (water-AI04: 20 x 1 pr (field cables)</t>
        </is>
      </c>
      <c r="E5532" s="12" t="inlineStr"/>
      <c r="F5532" s="12" t="inlineStr">
        <is>
          <t>Chillers x6 (water-cooled)</t>
        </is>
      </c>
      <c r="G5532" s="12" t="inlineStr">
        <is>
          <t>JB-Chillers x6 (water-AI04</t>
        </is>
      </c>
      <c r="H5532" s="12" t="inlineStr">
        <is>
          <t>Chillers x6 (water-cooled)</t>
        </is>
      </c>
      <c r="I5532" s="12" t="inlineStr">
        <is>
          <t>Instrumentation</t>
        </is>
      </c>
      <c r="J5532" s="12" t="inlineStr">
        <is>
          <t>Instrumentation PLTC / TC-ER 300 V, #18 twisted shielded pairs, overall shield</t>
        </is>
      </c>
      <c r="K5532" s="12" t="inlineStr">
        <is>
          <t>PLTC|1 pr|16</t>
        </is>
      </c>
      <c r="L5532" s="12" t="inlineStr">
        <is>
          <t>1 pr</t>
        </is>
      </c>
      <c r="M5532" s="12" t="inlineStr">
        <is>
          <t>16</t>
        </is>
      </c>
      <c r="N5532" s="12" t="n">
        <v>20</v>
      </c>
      <c r="O5532" s="12" t="n">
        <v>1</v>
      </c>
      <c r="P5532" s="12" t="n"/>
      <c r="Q5532" s="12" t="n"/>
      <c r="R5532" s="12" t="n"/>
      <c r="S5532" s="12" t="inlineStr">
        <is>
          <t>Tray / conduit</t>
        </is>
      </c>
      <c r="T5532" s="16" t="n">
        <v>190</v>
      </c>
      <c r="U5532" s="16" t="n">
        <v>10</v>
      </c>
      <c r="V5532" s="16">
        <f>ROUNDUP((T5532+U5532+2*'Read Me'!$B$13)*(1+'Read Me'!$B$12),-1)</f>
        <v/>
      </c>
      <c r="W5532" s="16">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J-I-0024</t>
        </is>
      </c>
      <c r="B5533" s="12" t="inlineStr">
        <is>
          <t>J</t>
        </is>
      </c>
      <c r="C5533" s="12" t="inlineStr">
        <is>
          <t>GT inlet chilling</t>
        </is>
      </c>
      <c r="D5533" s="12" t="inlineStr">
        <is>
          <t>Home run JB-Chillers x6 (water-AI04 to the control / marshalling room</t>
        </is>
      </c>
      <c r="E5533" s="12" t="inlineStr"/>
      <c r="F5533" s="12" t="inlineStr">
        <is>
          <t>Inlet-chilling e-house / transformer</t>
        </is>
      </c>
      <c r="G5533" s="12" t="inlineStr">
        <is>
          <t>JB-Chillers x6 (water-AI04</t>
        </is>
      </c>
      <c r="H5533" s="12" t="inlineStr">
        <is>
          <t>Chillers x6 (water-cooled)</t>
        </is>
      </c>
      <c r="I5533" s="12" t="inlineStr">
        <is>
          <t>Instrumentation</t>
        </is>
      </c>
      <c r="J5533" s="12" t="inlineStr">
        <is>
          <t>Instrumentation PLTC / TC-ER 300 V, #18 twisted shielded pairs, overall shield</t>
        </is>
      </c>
      <c r="K5533" s="12" t="inlineStr">
        <is>
          <t>PLTC|24 pr|18</t>
        </is>
      </c>
      <c r="L5533" s="12" t="inlineStr">
        <is>
          <t>24 pr</t>
        </is>
      </c>
      <c r="M5533" s="12" t="inlineStr">
        <is>
          <t>18</t>
        </is>
      </c>
      <c r="N5533" s="12" t="n">
        <v>1</v>
      </c>
      <c r="O5533" s="12" t="n">
        <v>1</v>
      </c>
      <c r="P5533" s="12" t="n"/>
      <c r="Q5533" s="12" t="n"/>
      <c r="R5533" s="12" t="n"/>
      <c r="S5533" s="12" t="inlineStr">
        <is>
          <t>Duct bank</t>
        </is>
      </c>
      <c r="T5533" s="16" t="n">
        <v>10</v>
      </c>
      <c r="U5533" s="16" t="n">
        <v>32</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J-I-0025</t>
        </is>
      </c>
      <c r="B5534" s="12" t="inlineStr">
        <is>
          <t>J</t>
        </is>
      </c>
      <c r="C5534" s="12" t="inlineStr">
        <is>
          <t>GT inlet chilling</t>
        </is>
      </c>
      <c r="D5534" s="12" t="inlineStr">
        <is>
          <t>Analog instrument to JB JB-Chillers x6 (water-AI05: 20 x 1 pr (field cables)</t>
        </is>
      </c>
      <c r="E5534" s="12" t="inlineStr"/>
      <c r="F5534" s="12" t="inlineStr">
        <is>
          <t>Chillers x6 (water-cooled)</t>
        </is>
      </c>
      <c r="G5534" s="12" t="inlineStr">
        <is>
          <t>JB-Chillers x6 (water-AI05</t>
        </is>
      </c>
      <c r="H5534" s="12" t="inlineStr">
        <is>
          <t>Chillers x6 (water-cooled)</t>
        </is>
      </c>
      <c r="I5534" s="12" t="inlineStr">
        <is>
          <t>Instrumentation</t>
        </is>
      </c>
      <c r="J5534" s="12" t="inlineStr">
        <is>
          <t>Instrumentation PLTC / TC-ER 300 V, #18 twisted shielded pairs, overall shield</t>
        </is>
      </c>
      <c r="K5534" s="12" t="inlineStr">
        <is>
          <t>PLTC|1 pr|16</t>
        </is>
      </c>
      <c r="L5534" s="12" t="inlineStr">
        <is>
          <t>1 pr</t>
        </is>
      </c>
      <c r="M5534" s="12" t="inlineStr">
        <is>
          <t>16</t>
        </is>
      </c>
      <c r="N5534" s="12" t="n">
        <v>20</v>
      </c>
      <c r="O5534" s="12" t="n">
        <v>1</v>
      </c>
      <c r="P5534" s="12" t="n"/>
      <c r="Q5534" s="12" t="n"/>
      <c r="R5534" s="12" t="n"/>
      <c r="S5534" s="12" t="inlineStr">
        <is>
          <t>Tray / conduit</t>
        </is>
      </c>
      <c r="T5534" s="16" t="n">
        <v>190</v>
      </c>
      <c r="U5534" s="16" t="n">
        <v>10</v>
      </c>
      <c r="V5534" s="16">
        <f>ROUNDUP((T5534+U5534+2*'Read Me'!$B$13)*(1+'Read Me'!$B$12),-1)</f>
        <v/>
      </c>
      <c r="W5534" s="16">
        <f>V5534*N5534*O5534</f>
        <v/>
      </c>
      <c r="X5534" s="12">
        <f>IF(LEFT(I5534,2)="MV",2*N5534*IF(L5534="1/C",O5534,1),0)</f>
        <v/>
      </c>
      <c r="Y5534" s="12">
        <f>IF(OR(LEFT(K5534,4)="LVAX",LEFT(K5534,6)="MV15AX",LEFT(K5534,4)="CTAX",LEFT(K5534,2)="W|"),2*N5534*O5534,0)</f>
        <v/>
      </c>
      <c r="Z5534" s="12" t="inlineStr">
        <is>
          <t>device-to-JB field wiring, one cable per device</t>
        </is>
      </c>
      <c r="AA5534" s="12">
        <f>N5534*O5534</f>
        <v/>
      </c>
    </row>
    <row r="5535">
      <c r="A5535" s="12" t="inlineStr">
        <is>
          <t>J-I-0026</t>
        </is>
      </c>
      <c r="B5535" s="12" t="inlineStr">
        <is>
          <t>J</t>
        </is>
      </c>
      <c r="C5535" s="12" t="inlineStr">
        <is>
          <t>GT inlet chilling</t>
        </is>
      </c>
      <c r="D5535" s="12" t="inlineStr">
        <is>
          <t>Home run JB-Chillers x6 (water-AI05 to the control / marshalling room</t>
        </is>
      </c>
      <c r="E5535" s="12" t="inlineStr"/>
      <c r="F5535" s="12" t="inlineStr">
        <is>
          <t>Inlet-chilling e-house / transformer</t>
        </is>
      </c>
      <c r="G5535" s="12" t="inlineStr">
        <is>
          <t>JB-Chillers x6 (water-AI05</t>
        </is>
      </c>
      <c r="H5535" s="12" t="inlineStr">
        <is>
          <t>Chillers x6 (water-cooled)</t>
        </is>
      </c>
      <c r="I5535" s="12" t="inlineStr">
        <is>
          <t>Instrumentation</t>
        </is>
      </c>
      <c r="J5535" s="12" t="inlineStr">
        <is>
          <t>Instrumentation PLTC / TC-ER 300 V, #18 twisted shielded pairs, overall shield</t>
        </is>
      </c>
      <c r="K5535" s="12" t="inlineStr">
        <is>
          <t>PLTC|24 pr|18</t>
        </is>
      </c>
      <c r="L5535" s="12" t="inlineStr">
        <is>
          <t>24 pr</t>
        </is>
      </c>
      <c r="M5535" s="12" t="inlineStr">
        <is>
          <t>18</t>
        </is>
      </c>
      <c r="N5535" s="12" t="n">
        <v>1</v>
      </c>
      <c r="O5535" s="12" t="n">
        <v>1</v>
      </c>
      <c r="P5535" s="12" t="n"/>
      <c r="Q5535" s="12" t="n"/>
      <c r="R5535" s="12" t="n"/>
      <c r="S5535" s="12" t="inlineStr">
        <is>
          <t>Duct bank</t>
        </is>
      </c>
      <c r="T5535" s="16" t="n">
        <v>10</v>
      </c>
      <c r="U5535" s="16" t="n">
        <v>32</v>
      </c>
      <c r="V5535" s="16">
        <f>ROUNDUP((T5535+U5535+2*'Read Me'!$B$13)*(1+'Read Me'!$B$12),-1)</f>
        <v/>
      </c>
      <c r="W5535" s="16">
        <f>V5535*N5535*O5535</f>
        <v/>
      </c>
      <c r="X5535" s="12">
        <f>IF(LEFT(I5535,2)="MV",2*N5535*IF(L5535="1/C",O5535,1),0)</f>
        <v/>
      </c>
      <c r="Y5535" s="12">
        <f>IF(OR(LEFT(K5535,4)="LVAX",LEFT(K5535,6)="MV15AX",LEFT(K5535,4)="CTAX",LEFT(K5535,2)="W|"),2*N5535*O5535,0)</f>
        <v/>
      </c>
      <c r="Z5535" s="12" t="inlineStr"/>
      <c r="AA5535" s="12">
        <f>N5535*O5535</f>
        <v/>
      </c>
    </row>
    <row r="5536">
      <c r="A5536" s="12" t="inlineStr">
        <is>
          <t>J-I-0027</t>
        </is>
      </c>
      <c r="B5536" s="12" t="inlineStr">
        <is>
          <t>J</t>
        </is>
      </c>
      <c r="C5536" s="12" t="inlineStr">
        <is>
          <t>GT inlet chilling</t>
        </is>
      </c>
      <c r="D5536" s="12" t="inlineStr">
        <is>
          <t>Analog instrument to JB JB-Chillers x6 (water-AI06: 20 x 1 pr (field cables)</t>
        </is>
      </c>
      <c r="E5536" s="12" t="inlineStr"/>
      <c r="F5536" s="12" t="inlineStr">
        <is>
          <t>Chillers x6 (water-cooled)</t>
        </is>
      </c>
      <c r="G5536" s="12" t="inlineStr">
        <is>
          <t>JB-Chillers x6 (water-AI06</t>
        </is>
      </c>
      <c r="H5536" s="12" t="inlineStr">
        <is>
          <t>Chillers x6 (water-cooled)</t>
        </is>
      </c>
      <c r="I5536" s="12" t="inlineStr">
        <is>
          <t>Instrumentation</t>
        </is>
      </c>
      <c r="J5536" s="12" t="inlineStr">
        <is>
          <t>Instrumentation PLTC / TC-ER 300 V, #18 twisted shielded pairs, overall shield</t>
        </is>
      </c>
      <c r="K5536" s="12" t="inlineStr">
        <is>
          <t>PLTC|1 pr|16</t>
        </is>
      </c>
      <c r="L5536" s="12" t="inlineStr">
        <is>
          <t>1 pr</t>
        </is>
      </c>
      <c r="M5536" s="12" t="inlineStr">
        <is>
          <t>16</t>
        </is>
      </c>
      <c r="N5536" s="12" t="n">
        <v>20</v>
      </c>
      <c r="O5536" s="12" t="n">
        <v>1</v>
      </c>
      <c r="P5536" s="12" t="n"/>
      <c r="Q5536" s="12" t="n"/>
      <c r="R5536" s="12" t="n"/>
      <c r="S5536" s="12" t="inlineStr">
        <is>
          <t>Tray / conduit</t>
        </is>
      </c>
      <c r="T5536" s="16" t="n">
        <v>190</v>
      </c>
      <c r="U5536" s="16" t="n">
        <v>10</v>
      </c>
      <c r="V5536" s="16">
        <f>ROUNDUP((T5536+U5536+2*'Read Me'!$B$13)*(1+'Read Me'!$B$12),-1)</f>
        <v/>
      </c>
      <c r="W5536" s="16">
        <f>V5536*N5536*O5536</f>
        <v/>
      </c>
      <c r="X5536" s="12">
        <f>IF(LEFT(I5536,2)="MV",2*N5536*IF(L5536="1/C",O5536,1),0)</f>
        <v/>
      </c>
      <c r="Y5536" s="12">
        <f>IF(OR(LEFT(K5536,4)="LVAX",LEFT(K5536,6)="MV15AX",LEFT(K5536,4)="CTAX",LEFT(K5536,2)="W|"),2*N5536*O5536,0)</f>
        <v/>
      </c>
      <c r="Z5536" s="12" t="inlineStr">
        <is>
          <t>device-to-JB field wiring, one cable per device</t>
        </is>
      </c>
      <c r="AA5536" s="12">
        <f>N5536*O5536</f>
        <v/>
      </c>
    </row>
    <row r="5537">
      <c r="A5537" s="12" t="inlineStr">
        <is>
          <t>J-I-0028</t>
        </is>
      </c>
      <c r="B5537" s="12" t="inlineStr">
        <is>
          <t>J</t>
        </is>
      </c>
      <c r="C5537" s="12" t="inlineStr">
        <is>
          <t>GT inlet chilling</t>
        </is>
      </c>
      <c r="D5537" s="12" t="inlineStr">
        <is>
          <t>Home run JB-Chillers x6 (water-AI06 to the control / marshalling room</t>
        </is>
      </c>
      <c r="E5537" s="12" t="inlineStr"/>
      <c r="F5537" s="12" t="inlineStr">
        <is>
          <t>Inlet-chilling e-house / transformer</t>
        </is>
      </c>
      <c r="G5537" s="12" t="inlineStr">
        <is>
          <t>JB-Chillers x6 (water-AI06</t>
        </is>
      </c>
      <c r="H5537" s="12" t="inlineStr">
        <is>
          <t>Chillers x6 (water-cooled)</t>
        </is>
      </c>
      <c r="I5537" s="12" t="inlineStr">
        <is>
          <t>Instrumentation</t>
        </is>
      </c>
      <c r="J5537" s="12" t="inlineStr">
        <is>
          <t>Instrumentation PLTC / TC-ER 300 V, #18 twisted shielded pairs, overall shield</t>
        </is>
      </c>
      <c r="K5537" s="12" t="inlineStr">
        <is>
          <t>PLTC|24 pr|18</t>
        </is>
      </c>
      <c r="L5537" s="12" t="inlineStr">
        <is>
          <t>24 pr</t>
        </is>
      </c>
      <c r="M5537" s="12" t="inlineStr">
        <is>
          <t>18</t>
        </is>
      </c>
      <c r="N5537" s="12" t="n">
        <v>1</v>
      </c>
      <c r="O5537" s="12" t="n">
        <v>1</v>
      </c>
      <c r="P5537" s="12" t="n"/>
      <c r="Q5537" s="12" t="n"/>
      <c r="R5537" s="12" t="n"/>
      <c r="S5537" s="12" t="inlineStr">
        <is>
          <t>Duct bank</t>
        </is>
      </c>
      <c r="T5537" s="16" t="n">
        <v>10</v>
      </c>
      <c r="U5537" s="16" t="n">
        <v>32</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J-I-0029</t>
        </is>
      </c>
      <c r="B5538" s="12" t="inlineStr">
        <is>
          <t>J</t>
        </is>
      </c>
      <c r="C5538" s="12" t="inlineStr">
        <is>
          <t>GT inlet chilling</t>
        </is>
      </c>
      <c r="D5538" s="12" t="inlineStr">
        <is>
          <t>Discrete device to JB JB-Chillers x6 (water-DI01: 20 x 1 pr (field cables)</t>
        </is>
      </c>
      <c r="E5538" s="12" t="inlineStr"/>
      <c r="F5538" s="12" t="inlineStr">
        <is>
          <t>Chillers x6 (water-cooled)</t>
        </is>
      </c>
      <c r="G5538" s="12" t="inlineStr">
        <is>
          <t>JB-Chillers x6 (water-DI01</t>
        </is>
      </c>
      <c r="H5538" s="12" t="inlineStr">
        <is>
          <t>Chillers x6 (water-cooled)</t>
        </is>
      </c>
      <c r="I5538" s="12" t="inlineStr">
        <is>
          <t>Instrumentation</t>
        </is>
      </c>
      <c r="J5538" s="12" t="inlineStr">
        <is>
          <t>Instrumentation PLTC / TC-ER 300 V, #18 twisted shielded pairs, overall shield</t>
        </is>
      </c>
      <c r="K5538" s="12" t="inlineStr">
        <is>
          <t>PLTC|1 pr|16</t>
        </is>
      </c>
      <c r="L5538" s="12" t="inlineStr">
        <is>
          <t>1 pr</t>
        </is>
      </c>
      <c r="M5538" s="12" t="inlineStr">
        <is>
          <t>16</t>
        </is>
      </c>
      <c r="N5538" s="12" t="n">
        <v>20</v>
      </c>
      <c r="O5538" s="12" t="n">
        <v>1</v>
      </c>
      <c r="P5538" s="12" t="n"/>
      <c r="Q5538" s="12" t="n"/>
      <c r="R5538" s="12" t="n"/>
      <c r="S5538" s="12" t="inlineStr">
        <is>
          <t>Tray / conduit</t>
        </is>
      </c>
      <c r="T5538" s="16" t="n">
        <v>190</v>
      </c>
      <c r="U5538" s="16" t="n">
        <v>10</v>
      </c>
      <c r="V5538" s="16">
        <f>ROUNDUP((T5538+U5538+2*'Read Me'!$B$13)*(1+'Read Me'!$B$12),-1)</f>
        <v/>
      </c>
      <c r="W5538" s="16">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J-I-0030</t>
        </is>
      </c>
      <c r="B5539" s="12" t="inlineStr">
        <is>
          <t>J</t>
        </is>
      </c>
      <c r="C5539" s="12" t="inlineStr">
        <is>
          <t>GT inlet chilling</t>
        </is>
      </c>
      <c r="D5539" s="12" t="inlineStr">
        <is>
          <t>Home run JB-Chillers x6 (water-DI01 to the control / marshalling room</t>
        </is>
      </c>
      <c r="E5539" s="12" t="inlineStr"/>
      <c r="F5539" s="12" t="inlineStr">
        <is>
          <t>Inlet-chilling e-house / transformer</t>
        </is>
      </c>
      <c r="G5539" s="12" t="inlineStr">
        <is>
          <t>JB-Chillers x6 (water-DI01</t>
        </is>
      </c>
      <c r="H5539" s="12" t="inlineStr">
        <is>
          <t>Chillers x6 (water-cooled)</t>
        </is>
      </c>
      <c r="I5539" s="12" t="inlineStr">
        <is>
          <t>Instrumentation</t>
        </is>
      </c>
      <c r="J5539" s="12" t="inlineStr">
        <is>
          <t>Instrumentation PLTC / TC-ER 300 V, #18 twisted shielded pairs, overall shield</t>
        </is>
      </c>
      <c r="K5539" s="12" t="inlineStr">
        <is>
          <t>PLTC|24 pr|18</t>
        </is>
      </c>
      <c r="L5539" s="12" t="inlineStr">
        <is>
          <t>24 pr</t>
        </is>
      </c>
      <c r="M5539" s="12" t="inlineStr">
        <is>
          <t>18</t>
        </is>
      </c>
      <c r="N5539" s="12" t="n">
        <v>1</v>
      </c>
      <c r="O5539" s="12" t="n">
        <v>1</v>
      </c>
      <c r="P5539" s="12" t="n"/>
      <c r="Q5539" s="12" t="n"/>
      <c r="R5539" s="12" t="n"/>
      <c r="S5539" s="12" t="inlineStr">
        <is>
          <t>Duct bank</t>
        </is>
      </c>
      <c r="T5539" s="16" t="n">
        <v>10</v>
      </c>
      <c r="U5539" s="16" t="n">
        <v>32</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J-I-0031</t>
        </is>
      </c>
      <c r="B5540" s="12" t="inlineStr">
        <is>
          <t>J</t>
        </is>
      </c>
      <c r="C5540" s="12" t="inlineStr">
        <is>
          <t>GT inlet chilling</t>
        </is>
      </c>
      <c r="D5540" s="12" t="inlineStr">
        <is>
          <t>Discrete device to JB JB-Chillers x6 (water-DI02: 20 x 1 pr (field cables)</t>
        </is>
      </c>
      <c r="E5540" s="12" t="inlineStr"/>
      <c r="F5540" s="12" t="inlineStr">
        <is>
          <t>Chillers x6 (water-cooled)</t>
        </is>
      </c>
      <c r="G5540" s="12" t="inlineStr">
        <is>
          <t>JB-Chillers x6 (water-DI02</t>
        </is>
      </c>
      <c r="H5540" s="12" t="inlineStr">
        <is>
          <t>Chillers x6 (water-cooled)</t>
        </is>
      </c>
      <c r="I5540" s="12" t="inlineStr">
        <is>
          <t>Instrumentation</t>
        </is>
      </c>
      <c r="J5540" s="12" t="inlineStr">
        <is>
          <t>Instrumentation PLTC / TC-ER 300 V, #18 twisted shielded pairs, overall shield</t>
        </is>
      </c>
      <c r="K5540" s="12" t="inlineStr">
        <is>
          <t>PLTC|1 pr|16</t>
        </is>
      </c>
      <c r="L5540" s="12" t="inlineStr">
        <is>
          <t>1 pr</t>
        </is>
      </c>
      <c r="M5540" s="12" t="inlineStr">
        <is>
          <t>16</t>
        </is>
      </c>
      <c r="N5540" s="12" t="n">
        <v>20</v>
      </c>
      <c r="O5540" s="12" t="n">
        <v>1</v>
      </c>
      <c r="P5540" s="12" t="n"/>
      <c r="Q5540" s="12" t="n"/>
      <c r="R5540" s="12" t="n"/>
      <c r="S5540" s="12" t="inlineStr">
        <is>
          <t>Tray / conduit</t>
        </is>
      </c>
      <c r="T5540" s="16" t="n">
        <v>190</v>
      </c>
      <c r="U5540" s="16" t="n">
        <v>10</v>
      </c>
      <c r="V5540" s="16">
        <f>ROUNDUP((T5540+U5540+2*'Read Me'!$B$13)*(1+'Read Me'!$B$12),-1)</f>
        <v/>
      </c>
      <c r="W5540" s="16">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J-I-0032</t>
        </is>
      </c>
      <c r="B5541" s="12" t="inlineStr">
        <is>
          <t>J</t>
        </is>
      </c>
      <c r="C5541" s="12" t="inlineStr">
        <is>
          <t>GT inlet chilling</t>
        </is>
      </c>
      <c r="D5541" s="12" t="inlineStr">
        <is>
          <t>Home run JB-Chillers x6 (water-DI02 to the control / marshalling room</t>
        </is>
      </c>
      <c r="E5541" s="12" t="inlineStr"/>
      <c r="F5541" s="12" t="inlineStr">
        <is>
          <t>Inlet-chilling e-house / transformer</t>
        </is>
      </c>
      <c r="G5541" s="12" t="inlineStr">
        <is>
          <t>JB-Chillers x6 (water-DI02</t>
        </is>
      </c>
      <c r="H5541" s="12" t="inlineStr">
        <is>
          <t>Chillers x6 (water-cooled)</t>
        </is>
      </c>
      <c r="I5541" s="12" t="inlineStr">
        <is>
          <t>Instrumentation</t>
        </is>
      </c>
      <c r="J5541" s="12" t="inlineStr">
        <is>
          <t>Instrumentation PLTC / TC-ER 300 V, #18 twisted shielded pairs, overall shield</t>
        </is>
      </c>
      <c r="K5541" s="12" t="inlineStr">
        <is>
          <t>PLTC|24 pr|18</t>
        </is>
      </c>
      <c r="L5541" s="12" t="inlineStr">
        <is>
          <t>24 pr</t>
        </is>
      </c>
      <c r="M5541" s="12" t="inlineStr">
        <is>
          <t>18</t>
        </is>
      </c>
      <c r="N5541" s="12" t="n">
        <v>1</v>
      </c>
      <c r="O5541" s="12" t="n">
        <v>1</v>
      </c>
      <c r="P5541" s="12" t="n"/>
      <c r="Q5541" s="12" t="n"/>
      <c r="R5541" s="12" t="n"/>
      <c r="S5541" s="12" t="inlineStr">
        <is>
          <t>Duct bank</t>
        </is>
      </c>
      <c r="T5541" s="16" t="n">
        <v>10</v>
      </c>
      <c r="U5541" s="16" t="n">
        <v>32</v>
      </c>
      <c r="V5541" s="16">
        <f>ROUNDUP((T5541+U5541+2*'Read Me'!$B$13)*(1+'Read Me'!$B$12),-1)</f>
        <v/>
      </c>
      <c r="W5541" s="16">
        <f>V5541*N5541*O5541</f>
        <v/>
      </c>
      <c r="X5541" s="12">
        <f>IF(LEFT(I5541,2)="MV",2*N5541*IF(L5541="1/C",O5541,1),0)</f>
        <v/>
      </c>
      <c r="Y5541" s="12">
        <f>IF(OR(LEFT(K5541,4)="LVAX",LEFT(K5541,6)="MV15AX",LEFT(K5541,4)="CTAX",LEFT(K5541,2)="W|"),2*N5541*O5541,0)</f>
        <v/>
      </c>
      <c r="Z5541" s="12" t="inlineStr"/>
      <c r="AA5541" s="12">
        <f>N5541*O5541</f>
        <v/>
      </c>
    </row>
    <row r="5542">
      <c r="A5542" s="12" t="inlineStr">
        <is>
          <t>J-I-0033</t>
        </is>
      </c>
      <c r="B5542" s="12" t="inlineStr">
        <is>
          <t>J</t>
        </is>
      </c>
      <c r="C5542" s="12" t="inlineStr">
        <is>
          <t>GT inlet chilling</t>
        </is>
      </c>
      <c r="D5542" s="12" t="inlineStr">
        <is>
          <t>Discrete device to JB JB-Chillers x6 (water-DI03: 20 x 1 pr (field cables)</t>
        </is>
      </c>
      <c r="E5542" s="12" t="inlineStr"/>
      <c r="F5542" s="12" t="inlineStr">
        <is>
          <t>Chillers x6 (water-cooled)</t>
        </is>
      </c>
      <c r="G5542" s="12" t="inlineStr">
        <is>
          <t>JB-Chillers x6 (water-DI03</t>
        </is>
      </c>
      <c r="H5542" s="12" t="inlineStr">
        <is>
          <t>Chillers x6 (water-cooled)</t>
        </is>
      </c>
      <c r="I5542" s="12" t="inlineStr">
        <is>
          <t>Instrumentation</t>
        </is>
      </c>
      <c r="J5542" s="12" t="inlineStr">
        <is>
          <t>Instrumentation PLTC / TC-ER 300 V, #18 twisted shielded pairs, overall shield</t>
        </is>
      </c>
      <c r="K5542" s="12" t="inlineStr">
        <is>
          <t>PLTC|1 pr|16</t>
        </is>
      </c>
      <c r="L5542" s="12" t="inlineStr">
        <is>
          <t>1 pr</t>
        </is>
      </c>
      <c r="M5542" s="12" t="inlineStr">
        <is>
          <t>16</t>
        </is>
      </c>
      <c r="N5542" s="12" t="n">
        <v>20</v>
      </c>
      <c r="O5542" s="12" t="n">
        <v>1</v>
      </c>
      <c r="P5542" s="12" t="n"/>
      <c r="Q5542" s="12" t="n"/>
      <c r="R5542" s="12" t="n"/>
      <c r="S5542" s="12" t="inlineStr">
        <is>
          <t>Tray / conduit</t>
        </is>
      </c>
      <c r="T5542" s="16" t="n">
        <v>190</v>
      </c>
      <c r="U5542" s="16" t="n">
        <v>10</v>
      </c>
      <c r="V5542" s="16">
        <f>ROUNDUP((T5542+U5542+2*'Read Me'!$B$13)*(1+'Read Me'!$B$12),-1)</f>
        <v/>
      </c>
      <c r="W5542" s="16">
        <f>V5542*N5542*O5542</f>
        <v/>
      </c>
      <c r="X5542" s="12">
        <f>IF(LEFT(I5542,2)="MV",2*N5542*IF(L5542="1/C",O5542,1),0)</f>
        <v/>
      </c>
      <c r="Y5542" s="12">
        <f>IF(OR(LEFT(K5542,4)="LVAX",LEFT(K5542,6)="MV15AX",LEFT(K5542,4)="CTAX",LEFT(K5542,2)="W|"),2*N5542*O5542,0)</f>
        <v/>
      </c>
      <c r="Z5542" s="12" t="inlineStr">
        <is>
          <t>device-to-JB field wiring, one cable per device</t>
        </is>
      </c>
      <c r="AA5542" s="12">
        <f>N5542*O5542</f>
        <v/>
      </c>
    </row>
    <row r="5543">
      <c r="A5543" s="12" t="inlineStr">
        <is>
          <t>J-I-0034</t>
        </is>
      </c>
      <c r="B5543" s="12" t="inlineStr">
        <is>
          <t>J</t>
        </is>
      </c>
      <c r="C5543" s="12" t="inlineStr">
        <is>
          <t>GT inlet chilling</t>
        </is>
      </c>
      <c r="D5543" s="12" t="inlineStr">
        <is>
          <t>Home run JB-Chillers x6 (water-DI03 to the control / marshalling room</t>
        </is>
      </c>
      <c r="E5543" s="12" t="inlineStr"/>
      <c r="F5543" s="12" t="inlineStr">
        <is>
          <t>Inlet-chilling e-house / transformer</t>
        </is>
      </c>
      <c r="G5543" s="12" t="inlineStr">
        <is>
          <t>JB-Chillers x6 (water-DI03</t>
        </is>
      </c>
      <c r="H5543" s="12" t="inlineStr">
        <is>
          <t>Chillers x6 (water-cooled)</t>
        </is>
      </c>
      <c r="I5543" s="12" t="inlineStr">
        <is>
          <t>Instrumentation</t>
        </is>
      </c>
      <c r="J5543" s="12" t="inlineStr">
        <is>
          <t>Instrumentation PLTC / TC-ER 300 V, #18 twisted shielded pairs, overall shield</t>
        </is>
      </c>
      <c r="K5543" s="12" t="inlineStr">
        <is>
          <t>PLTC|24 pr|18</t>
        </is>
      </c>
      <c r="L5543" s="12" t="inlineStr">
        <is>
          <t>24 pr</t>
        </is>
      </c>
      <c r="M5543" s="12" t="inlineStr">
        <is>
          <t>18</t>
        </is>
      </c>
      <c r="N5543" s="12" t="n">
        <v>1</v>
      </c>
      <c r="O5543" s="12" t="n">
        <v>1</v>
      </c>
      <c r="P5543" s="12" t="n"/>
      <c r="Q5543" s="12" t="n"/>
      <c r="R5543" s="12" t="n"/>
      <c r="S5543" s="12" t="inlineStr">
        <is>
          <t>Duct bank</t>
        </is>
      </c>
      <c r="T5543" s="16" t="n">
        <v>10</v>
      </c>
      <c r="U5543" s="16" t="n">
        <v>32</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J-I-0035</t>
        </is>
      </c>
      <c r="B5544" s="12" t="inlineStr">
        <is>
          <t>J</t>
        </is>
      </c>
      <c r="C5544" s="12" t="inlineStr">
        <is>
          <t>GT inlet chilling</t>
        </is>
      </c>
      <c r="D5544" s="12" t="inlineStr">
        <is>
          <t>Discrete device to JB JB-Chillers x6 (water-DI04: 20 x 1 pr (field cables)</t>
        </is>
      </c>
      <c r="E5544" s="12" t="inlineStr"/>
      <c r="F5544" s="12" t="inlineStr">
        <is>
          <t>Chillers x6 (water-cooled)</t>
        </is>
      </c>
      <c r="G5544" s="12" t="inlineStr">
        <is>
          <t>JB-Chillers x6 (water-DI04</t>
        </is>
      </c>
      <c r="H5544" s="12" t="inlineStr">
        <is>
          <t>Chillers x6 (water-cooled)</t>
        </is>
      </c>
      <c r="I5544" s="12" t="inlineStr">
        <is>
          <t>Instrumentation</t>
        </is>
      </c>
      <c r="J5544" s="12" t="inlineStr">
        <is>
          <t>Instrumentation PLTC / TC-ER 300 V, #18 twisted shielded pairs, overall shield</t>
        </is>
      </c>
      <c r="K5544" s="12" t="inlineStr">
        <is>
          <t>PLTC|1 pr|16</t>
        </is>
      </c>
      <c r="L5544" s="12" t="inlineStr">
        <is>
          <t>1 pr</t>
        </is>
      </c>
      <c r="M5544" s="12" t="inlineStr">
        <is>
          <t>16</t>
        </is>
      </c>
      <c r="N5544" s="12" t="n">
        <v>20</v>
      </c>
      <c r="O5544" s="12" t="n">
        <v>1</v>
      </c>
      <c r="P5544" s="12" t="n"/>
      <c r="Q5544" s="12" t="n"/>
      <c r="R5544" s="12" t="n"/>
      <c r="S5544" s="12" t="inlineStr">
        <is>
          <t>Tray / conduit</t>
        </is>
      </c>
      <c r="T5544" s="16" t="n">
        <v>190</v>
      </c>
      <c r="U5544" s="16" t="n">
        <v>10</v>
      </c>
      <c r="V5544" s="16">
        <f>ROUNDUP((T5544+U5544+2*'Read Me'!$B$13)*(1+'Read Me'!$B$12),-1)</f>
        <v/>
      </c>
      <c r="W5544" s="16">
        <f>V5544*N5544*O5544</f>
        <v/>
      </c>
      <c r="X5544" s="12">
        <f>IF(LEFT(I5544,2)="MV",2*N5544*IF(L5544="1/C",O5544,1),0)</f>
        <v/>
      </c>
      <c r="Y5544" s="12">
        <f>IF(OR(LEFT(K5544,4)="LVAX",LEFT(K5544,6)="MV15AX",LEFT(K5544,4)="CTAX",LEFT(K5544,2)="W|"),2*N5544*O5544,0)</f>
        <v/>
      </c>
      <c r="Z5544" s="12" t="inlineStr">
        <is>
          <t>device-to-JB field wiring, one cable per device</t>
        </is>
      </c>
      <c r="AA5544" s="12">
        <f>N5544*O5544</f>
        <v/>
      </c>
    </row>
    <row r="5545">
      <c r="A5545" s="12" t="inlineStr">
        <is>
          <t>J-I-0036</t>
        </is>
      </c>
      <c r="B5545" s="12" t="inlineStr">
        <is>
          <t>J</t>
        </is>
      </c>
      <c r="C5545" s="12" t="inlineStr">
        <is>
          <t>GT inlet chilling</t>
        </is>
      </c>
      <c r="D5545" s="12" t="inlineStr">
        <is>
          <t>Home run JB-Chillers x6 (water-DI04 to the control / marshalling room</t>
        </is>
      </c>
      <c r="E5545" s="12" t="inlineStr"/>
      <c r="F5545" s="12" t="inlineStr">
        <is>
          <t>Inlet-chilling e-house / transformer</t>
        </is>
      </c>
      <c r="G5545" s="12" t="inlineStr">
        <is>
          <t>JB-Chillers x6 (water-DI04</t>
        </is>
      </c>
      <c r="H5545" s="12" t="inlineStr">
        <is>
          <t>Chillers x6 (water-cooled)</t>
        </is>
      </c>
      <c r="I5545" s="12" t="inlineStr">
        <is>
          <t>Instrumentation</t>
        </is>
      </c>
      <c r="J5545" s="12" t="inlineStr">
        <is>
          <t>Instrumentation PLTC / TC-ER 300 V, #18 twisted shielded pairs, overall shield</t>
        </is>
      </c>
      <c r="K5545" s="12" t="inlineStr">
        <is>
          <t>PLTC|24 pr|18</t>
        </is>
      </c>
      <c r="L5545" s="12" t="inlineStr">
        <is>
          <t>24 pr</t>
        </is>
      </c>
      <c r="M5545" s="12" t="inlineStr">
        <is>
          <t>18</t>
        </is>
      </c>
      <c r="N5545" s="12" t="n">
        <v>1</v>
      </c>
      <c r="O5545" s="12" t="n">
        <v>1</v>
      </c>
      <c r="P5545" s="12" t="n"/>
      <c r="Q5545" s="12" t="n"/>
      <c r="R5545" s="12" t="n"/>
      <c r="S5545" s="12" t="inlineStr">
        <is>
          <t>Duct bank</t>
        </is>
      </c>
      <c r="T5545" s="16" t="n">
        <v>10</v>
      </c>
      <c r="U5545" s="16" t="n">
        <v>32</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J-I-0037</t>
        </is>
      </c>
      <c r="B5546" s="12" t="inlineStr">
        <is>
          <t>J</t>
        </is>
      </c>
      <c r="C5546" s="12" t="inlineStr">
        <is>
          <t>GT inlet chilling</t>
        </is>
      </c>
      <c r="D5546" s="12" t="inlineStr">
        <is>
          <t>Discrete device to JB JB-Chillers x6 (water-DI05: 20 x 1 pr (field cables)</t>
        </is>
      </c>
      <c r="E5546" s="12" t="inlineStr"/>
      <c r="F5546" s="12" t="inlineStr">
        <is>
          <t>Chillers x6 (water-cooled)</t>
        </is>
      </c>
      <c r="G5546" s="12" t="inlineStr">
        <is>
          <t>JB-Chillers x6 (water-DI05</t>
        </is>
      </c>
      <c r="H5546" s="12" t="inlineStr">
        <is>
          <t>Chillers x6 (water-cooled)</t>
        </is>
      </c>
      <c r="I5546" s="12" t="inlineStr">
        <is>
          <t>Instrumentation</t>
        </is>
      </c>
      <c r="J5546" s="12" t="inlineStr">
        <is>
          <t>Instrumentation PLTC / TC-ER 300 V, #18 twisted shielded pairs, overall shield</t>
        </is>
      </c>
      <c r="K5546" s="12" t="inlineStr">
        <is>
          <t>PLTC|1 pr|16</t>
        </is>
      </c>
      <c r="L5546" s="12" t="inlineStr">
        <is>
          <t>1 pr</t>
        </is>
      </c>
      <c r="M5546" s="12" t="inlineStr">
        <is>
          <t>16</t>
        </is>
      </c>
      <c r="N5546" s="12" t="n">
        <v>20</v>
      </c>
      <c r="O5546" s="12" t="n">
        <v>1</v>
      </c>
      <c r="P5546" s="12" t="n"/>
      <c r="Q5546" s="12" t="n"/>
      <c r="R5546" s="12" t="n"/>
      <c r="S5546" s="12" t="inlineStr">
        <is>
          <t>Tray / conduit</t>
        </is>
      </c>
      <c r="T5546" s="16" t="n">
        <v>190</v>
      </c>
      <c r="U5546" s="16" t="n">
        <v>10</v>
      </c>
      <c r="V5546" s="16">
        <f>ROUNDUP((T5546+U5546+2*'Read Me'!$B$13)*(1+'Read Me'!$B$12),-1)</f>
        <v/>
      </c>
      <c r="W5546" s="16">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J-I-0038</t>
        </is>
      </c>
      <c r="B5547" s="12" t="inlineStr">
        <is>
          <t>J</t>
        </is>
      </c>
      <c r="C5547" s="12" t="inlineStr">
        <is>
          <t>GT inlet chilling</t>
        </is>
      </c>
      <c r="D5547" s="12" t="inlineStr">
        <is>
          <t>Home run JB-Chillers x6 (water-DI05 to the control / marshalling room</t>
        </is>
      </c>
      <c r="E5547" s="12" t="inlineStr"/>
      <c r="F5547" s="12" t="inlineStr">
        <is>
          <t>Inlet-chilling e-house / transformer</t>
        </is>
      </c>
      <c r="G5547" s="12" t="inlineStr">
        <is>
          <t>JB-Chillers x6 (water-DI05</t>
        </is>
      </c>
      <c r="H5547" s="12" t="inlineStr">
        <is>
          <t>Chillers x6 (water-cooled)</t>
        </is>
      </c>
      <c r="I5547" s="12" t="inlineStr">
        <is>
          <t>Instrumentation</t>
        </is>
      </c>
      <c r="J5547" s="12" t="inlineStr">
        <is>
          <t>Instrumentation PLTC / TC-ER 300 V, #18 twisted shielded pairs, overall shield</t>
        </is>
      </c>
      <c r="K5547" s="12" t="inlineStr">
        <is>
          <t>PLTC|24 pr|18</t>
        </is>
      </c>
      <c r="L5547" s="12" t="inlineStr">
        <is>
          <t>24 pr</t>
        </is>
      </c>
      <c r="M5547" s="12" t="inlineStr">
        <is>
          <t>18</t>
        </is>
      </c>
      <c r="N5547" s="12" t="n">
        <v>1</v>
      </c>
      <c r="O5547" s="12" t="n">
        <v>1</v>
      </c>
      <c r="P5547" s="12" t="n"/>
      <c r="Q5547" s="12" t="n"/>
      <c r="R5547" s="12" t="n"/>
      <c r="S5547" s="12" t="inlineStr">
        <is>
          <t>Duct bank</t>
        </is>
      </c>
      <c r="T5547" s="16" t="n">
        <v>10</v>
      </c>
      <c r="U5547" s="16" t="n">
        <v>32</v>
      </c>
      <c r="V5547" s="16">
        <f>ROUNDUP((T5547+U5547+2*'Read Me'!$B$13)*(1+'Read Me'!$B$12),-1)</f>
        <v/>
      </c>
      <c r="W5547" s="16">
        <f>V5547*N5547*O5547</f>
        <v/>
      </c>
      <c r="X5547" s="12">
        <f>IF(LEFT(I5547,2)="MV",2*N5547*IF(L5547="1/C",O5547,1),0)</f>
        <v/>
      </c>
      <c r="Y5547" s="12">
        <f>IF(OR(LEFT(K5547,4)="LVAX",LEFT(K5547,6)="MV15AX",LEFT(K5547,4)="CTAX",LEFT(K5547,2)="W|"),2*N5547*O5547,0)</f>
        <v/>
      </c>
      <c r="Z5547" s="12" t="inlineStr"/>
      <c r="AA5547" s="12">
        <f>N5547*O5547</f>
        <v/>
      </c>
    </row>
    <row r="5548">
      <c r="A5548" s="12" t="inlineStr">
        <is>
          <t>J-I-0039</t>
        </is>
      </c>
      <c r="B5548" s="12" t="inlineStr">
        <is>
          <t>J</t>
        </is>
      </c>
      <c r="C5548" s="12" t="inlineStr">
        <is>
          <t>GT inlet chilling</t>
        </is>
      </c>
      <c r="D5548" s="12" t="inlineStr">
        <is>
          <t>Discrete device to JB JB-Chillers x6 (water-DI06: 20 x 1 pr (field cables)</t>
        </is>
      </c>
      <c r="E5548" s="12" t="inlineStr"/>
      <c r="F5548" s="12" t="inlineStr">
        <is>
          <t>Chillers x6 (water-cooled)</t>
        </is>
      </c>
      <c r="G5548" s="12" t="inlineStr">
        <is>
          <t>JB-Chillers x6 (water-DI06</t>
        </is>
      </c>
      <c r="H5548" s="12" t="inlineStr">
        <is>
          <t>Chillers x6 (water-cooled)</t>
        </is>
      </c>
      <c r="I5548" s="12" t="inlineStr">
        <is>
          <t>Instrumentation</t>
        </is>
      </c>
      <c r="J5548" s="12" t="inlineStr">
        <is>
          <t>Instrumentation PLTC / TC-ER 300 V, #18 twisted shielded pairs, overall shield</t>
        </is>
      </c>
      <c r="K5548" s="12" t="inlineStr">
        <is>
          <t>PLTC|1 pr|16</t>
        </is>
      </c>
      <c r="L5548" s="12" t="inlineStr">
        <is>
          <t>1 pr</t>
        </is>
      </c>
      <c r="M5548" s="12" t="inlineStr">
        <is>
          <t>16</t>
        </is>
      </c>
      <c r="N5548" s="12" t="n">
        <v>20</v>
      </c>
      <c r="O5548" s="12" t="n">
        <v>1</v>
      </c>
      <c r="P5548" s="12" t="n"/>
      <c r="Q5548" s="12" t="n"/>
      <c r="R5548" s="12" t="n"/>
      <c r="S5548" s="12" t="inlineStr">
        <is>
          <t>Tray / conduit</t>
        </is>
      </c>
      <c r="T5548" s="16" t="n">
        <v>190</v>
      </c>
      <c r="U5548" s="16" t="n">
        <v>10</v>
      </c>
      <c r="V5548" s="16">
        <f>ROUNDUP((T5548+U5548+2*'Read Me'!$B$13)*(1+'Read Me'!$B$12),-1)</f>
        <v/>
      </c>
      <c r="W5548" s="16">
        <f>V5548*N5548*O5548</f>
        <v/>
      </c>
      <c r="X5548" s="12">
        <f>IF(LEFT(I5548,2)="MV",2*N5548*IF(L5548="1/C",O5548,1),0)</f>
        <v/>
      </c>
      <c r="Y5548" s="12">
        <f>IF(OR(LEFT(K5548,4)="LVAX",LEFT(K5548,6)="MV15AX",LEFT(K5548,4)="CTAX",LEFT(K5548,2)="W|"),2*N5548*O5548,0)</f>
        <v/>
      </c>
      <c r="Z5548" s="12" t="inlineStr">
        <is>
          <t>device-to-JB field wiring, one cable per device</t>
        </is>
      </c>
      <c r="AA5548" s="12">
        <f>N5548*O5548</f>
        <v/>
      </c>
    </row>
    <row r="5549">
      <c r="A5549" s="12" t="inlineStr">
        <is>
          <t>J-I-0040</t>
        </is>
      </c>
      <c r="B5549" s="12" t="inlineStr">
        <is>
          <t>J</t>
        </is>
      </c>
      <c r="C5549" s="12" t="inlineStr">
        <is>
          <t>GT inlet chilling</t>
        </is>
      </c>
      <c r="D5549" s="12" t="inlineStr">
        <is>
          <t>Home run JB-Chillers x6 (water-DI06 to the control / marshalling room</t>
        </is>
      </c>
      <c r="E5549" s="12" t="inlineStr"/>
      <c r="F5549" s="12" t="inlineStr">
        <is>
          <t>Inlet-chilling e-house / transformer</t>
        </is>
      </c>
      <c r="G5549" s="12" t="inlineStr">
        <is>
          <t>JB-Chillers x6 (water-DI06</t>
        </is>
      </c>
      <c r="H5549" s="12" t="inlineStr">
        <is>
          <t>Chillers x6 (water-cooled)</t>
        </is>
      </c>
      <c r="I5549" s="12" t="inlineStr">
        <is>
          <t>Instrumentation</t>
        </is>
      </c>
      <c r="J5549" s="12" t="inlineStr">
        <is>
          <t>Instrumentation PLTC / TC-ER 300 V, #18 twisted shielded pairs, overall shield</t>
        </is>
      </c>
      <c r="K5549" s="12" t="inlineStr">
        <is>
          <t>PLTC|24 pr|18</t>
        </is>
      </c>
      <c r="L5549" s="12" t="inlineStr">
        <is>
          <t>24 pr</t>
        </is>
      </c>
      <c r="M5549" s="12" t="inlineStr">
        <is>
          <t>18</t>
        </is>
      </c>
      <c r="N5549" s="12" t="n">
        <v>1</v>
      </c>
      <c r="O5549" s="12" t="n">
        <v>1</v>
      </c>
      <c r="P5549" s="12" t="n"/>
      <c r="Q5549" s="12" t="n"/>
      <c r="R5549" s="12" t="n"/>
      <c r="S5549" s="12" t="inlineStr">
        <is>
          <t>Duct bank</t>
        </is>
      </c>
      <c r="T5549" s="16" t="n">
        <v>10</v>
      </c>
      <c r="U5549" s="16" t="n">
        <v>32</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J-I-0041</t>
        </is>
      </c>
      <c r="B5550" s="12" t="inlineStr">
        <is>
          <t>J</t>
        </is>
      </c>
      <c r="C5550" s="12" t="inlineStr">
        <is>
          <t>GT inlet chilling</t>
        </is>
      </c>
      <c r="D5550" s="12" t="inlineStr">
        <is>
          <t>Instrumentation</t>
        </is>
      </c>
      <c r="E5550" s="12" t="inlineStr"/>
      <c r="F5550" s="12" t="inlineStr">
        <is>
          <t>Inlet-chilling e-house / transformer</t>
        </is>
      </c>
      <c r="G5550" s="12" t="inlineStr"/>
      <c r="H5550" s="12" t="inlineStr">
        <is>
          <t>Inlet-chilling e-house / transformer</t>
        </is>
      </c>
      <c r="I5550" s="12" t="inlineStr">
        <is>
          <t>Instrumentation</t>
        </is>
      </c>
      <c r="J5550" s="12" t="inlineStr">
        <is>
          <t>Instrumentation PLTC / TC-ER 300 V, #18 twisted shielded pairs, overall shield</t>
        </is>
      </c>
      <c r="K5550" s="12" t="inlineStr">
        <is>
          <t>PLTC|4 pr|18</t>
        </is>
      </c>
      <c r="L5550" s="12" t="inlineStr">
        <is>
          <t>4 pr</t>
        </is>
      </c>
      <c r="M5550" s="12" t="inlineStr">
        <is>
          <t>18</t>
        </is>
      </c>
      <c r="N5550" s="12" t="n">
        <v>1</v>
      </c>
      <c r="O5550" s="12" t="n">
        <v>1</v>
      </c>
      <c r="P5550" s="12" t="n"/>
      <c r="Q5550" s="12" t="n"/>
      <c r="R5550" s="12" t="n"/>
      <c r="S5550" s="12" t="inlineStr">
        <is>
          <t>Tray</t>
        </is>
      </c>
      <c r="T5550" s="16" t="n">
        <v>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J-I-0042</t>
        </is>
      </c>
      <c r="B5551" s="12" t="inlineStr">
        <is>
          <t>J</t>
        </is>
      </c>
      <c r="C5551" s="12" t="inlineStr">
        <is>
          <t>GT inlet chilling</t>
        </is>
      </c>
      <c r="D5551" s="12" t="inlineStr">
        <is>
          <t>Analog instrument to JB JB-Inlet-chilling tow-AI01: 12 x 1 pr (field cables)</t>
        </is>
      </c>
      <c r="E5551" s="12" t="inlineStr"/>
      <c r="F5551" s="12" t="inlineStr">
        <is>
          <t>Inlet-chilling tower (12 cells): chiller heat rejection</t>
        </is>
      </c>
      <c r="G5551" s="12" t="inlineStr">
        <is>
          <t>JB-Inlet-chilling tow-AI01</t>
        </is>
      </c>
      <c r="H5551" s="12" t="inlineStr">
        <is>
          <t>Inlet-chilling tower (12 cells): chiller heat rejection</t>
        </is>
      </c>
      <c r="I5551" s="12" t="inlineStr">
        <is>
          <t>Instrumentation</t>
        </is>
      </c>
      <c r="J5551" s="12" t="inlineStr">
        <is>
          <t>Instrumentation PLTC / TC-ER 300 V, #18 twisted shielded pairs, overall shield</t>
        </is>
      </c>
      <c r="K5551" s="12" t="inlineStr">
        <is>
          <t>PLTC|1 pr|16</t>
        </is>
      </c>
      <c r="L5551" s="12" t="inlineStr">
        <is>
          <t>1 pr</t>
        </is>
      </c>
      <c r="M5551" s="12" t="inlineStr">
        <is>
          <t>16</t>
        </is>
      </c>
      <c r="N5551" s="12" t="n">
        <v>12</v>
      </c>
      <c r="O5551" s="12" t="n">
        <v>1</v>
      </c>
      <c r="P5551" s="12" t="n"/>
      <c r="Q5551" s="12" t="n"/>
      <c r="R5551" s="12" t="n"/>
      <c r="S5551" s="12" t="inlineStr">
        <is>
          <t>Tray / conduit</t>
        </is>
      </c>
      <c r="T5551" s="16" t="n">
        <v>205</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J-I-0043</t>
        </is>
      </c>
      <c r="B5552" s="12" t="inlineStr">
        <is>
          <t>J</t>
        </is>
      </c>
      <c r="C5552" s="12" t="inlineStr">
        <is>
          <t>GT inlet chilling</t>
        </is>
      </c>
      <c r="D5552" s="12" t="inlineStr">
        <is>
          <t>Home run JB-Inlet-chilling tow-AI01 to the control / marshalling room</t>
        </is>
      </c>
      <c r="E5552" s="12" t="inlineStr"/>
      <c r="F5552" s="12" t="inlineStr">
        <is>
          <t>Inlet-chilling e-house / transformer</t>
        </is>
      </c>
      <c r="G5552" s="12" t="inlineStr">
        <is>
          <t>JB-Inlet-chilling tow-AI01</t>
        </is>
      </c>
      <c r="H5552" s="12" t="inlineStr">
        <is>
          <t>Inlet-chilling tower (12 cells): chiller heat rejection</t>
        </is>
      </c>
      <c r="I5552" s="12" t="inlineStr">
        <is>
          <t>Instrumentation</t>
        </is>
      </c>
      <c r="J5552" s="12" t="inlineStr">
        <is>
          <t>Instrumentation PLTC / TC-ER 300 V, #18 twisted shielded pairs, overall shield</t>
        </is>
      </c>
      <c r="K5552" s="12" t="inlineStr">
        <is>
          <t>PLTC|24 pr|18</t>
        </is>
      </c>
      <c r="L5552" s="12" t="inlineStr">
        <is>
          <t>24 pr</t>
        </is>
      </c>
      <c r="M5552" s="12" t="inlineStr">
        <is>
          <t>18</t>
        </is>
      </c>
      <c r="N5552" s="12" t="n">
        <v>1</v>
      </c>
      <c r="O5552" s="12" t="n">
        <v>1</v>
      </c>
      <c r="P5552" s="12" t="n"/>
      <c r="Q5552" s="12" t="n"/>
      <c r="R5552" s="12" t="n"/>
      <c r="S5552" s="12" t="inlineStr">
        <is>
          <t>Duct bank</t>
        </is>
      </c>
      <c r="T5552" s="16" t="n">
        <v>478</v>
      </c>
      <c r="U5552" s="16" t="n">
        <v>38</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J-I-0044</t>
        </is>
      </c>
      <c r="B5553" s="12" t="inlineStr">
        <is>
          <t>J</t>
        </is>
      </c>
      <c r="C5553" s="12" t="inlineStr">
        <is>
          <t>GT inlet chilling</t>
        </is>
      </c>
      <c r="D5553" s="12" t="inlineStr">
        <is>
          <t>Discrete device to JB JB-Inlet-chilling tow-DI01: 20 x 1 pr (field cables)</t>
        </is>
      </c>
      <c r="E5553" s="12" t="inlineStr"/>
      <c r="F5553" s="12" t="inlineStr">
        <is>
          <t>Inlet-chilling tower (12 cells): chiller heat rejection</t>
        </is>
      </c>
      <c r="G5553" s="12" t="inlineStr">
        <is>
          <t>JB-Inlet-chilling tow-DI01</t>
        </is>
      </c>
      <c r="H5553" s="12" t="inlineStr">
        <is>
          <t>Inlet-chilling tower (12 cells): chiller heat rejection</t>
        </is>
      </c>
      <c r="I5553" s="12" t="inlineStr">
        <is>
          <t>Instrumentation</t>
        </is>
      </c>
      <c r="J5553" s="12" t="inlineStr">
        <is>
          <t>Instrumentation PLTC / TC-ER 300 V, #18 twisted shielded pairs, overall shield</t>
        </is>
      </c>
      <c r="K5553" s="12" t="inlineStr">
        <is>
          <t>PLTC|1 pr|16</t>
        </is>
      </c>
      <c r="L5553" s="12" t="inlineStr">
        <is>
          <t>1 pr</t>
        </is>
      </c>
      <c r="M5553" s="12" t="inlineStr">
        <is>
          <t>16</t>
        </is>
      </c>
      <c r="N5553" s="12" t="n">
        <v>20</v>
      </c>
      <c r="O5553" s="12" t="n">
        <v>1</v>
      </c>
      <c r="P5553" s="12" t="n"/>
      <c r="Q5553" s="12" t="n"/>
      <c r="R5553" s="12" t="n"/>
      <c r="S5553" s="12" t="inlineStr">
        <is>
          <t>Tray / conduit</t>
        </is>
      </c>
      <c r="T5553" s="16" t="n">
        <v>205</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J-I-0045</t>
        </is>
      </c>
      <c r="B5554" s="12" t="inlineStr">
        <is>
          <t>J</t>
        </is>
      </c>
      <c r="C5554" s="12" t="inlineStr">
        <is>
          <t>GT inlet chilling</t>
        </is>
      </c>
      <c r="D5554" s="12" t="inlineStr">
        <is>
          <t>Home run JB-Inlet-chilling tow-DI01 to the control / marshalling room</t>
        </is>
      </c>
      <c r="E5554" s="12" t="inlineStr"/>
      <c r="F5554" s="12" t="inlineStr">
        <is>
          <t>Inlet-chilling e-house / transformer</t>
        </is>
      </c>
      <c r="G5554" s="12" t="inlineStr">
        <is>
          <t>JB-Inlet-chilling tow-DI01</t>
        </is>
      </c>
      <c r="H5554" s="12" t="inlineStr">
        <is>
          <t>Inlet-chilling tower (12 cells): chiller heat rejection</t>
        </is>
      </c>
      <c r="I5554" s="12" t="inlineStr">
        <is>
          <t>Instrumentation</t>
        </is>
      </c>
      <c r="J5554" s="12" t="inlineStr">
        <is>
          <t>Instrumentation PLTC / TC-ER 300 V, #18 twisted shielded pairs, overall shield</t>
        </is>
      </c>
      <c r="K5554" s="12" t="inlineStr">
        <is>
          <t>PLTC|24 pr|18</t>
        </is>
      </c>
      <c r="L5554" s="12" t="inlineStr">
        <is>
          <t>24 pr</t>
        </is>
      </c>
      <c r="M5554" s="12" t="inlineStr">
        <is>
          <t>18</t>
        </is>
      </c>
      <c r="N5554" s="12" t="n">
        <v>1</v>
      </c>
      <c r="O5554" s="12" t="n">
        <v>1</v>
      </c>
      <c r="P5554" s="12" t="n"/>
      <c r="Q5554" s="12" t="n"/>
      <c r="R5554" s="12" t="n"/>
      <c r="S5554" s="12" t="inlineStr">
        <is>
          <t>Duct bank</t>
        </is>
      </c>
      <c r="T5554" s="16" t="n">
        <v>478</v>
      </c>
      <c r="U5554" s="16" t="n">
        <v>38</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J-I-0046</t>
        </is>
      </c>
      <c r="B5555" s="12" t="inlineStr">
        <is>
          <t>J</t>
        </is>
      </c>
      <c r="C5555" s="12" t="inlineStr">
        <is>
          <t>GT inlet chilling</t>
        </is>
      </c>
      <c r="D5555" s="12" t="inlineStr">
        <is>
          <t>Discrete device to JB JB-Inlet-chilling tow-DI02: 4 x 1 pr (field cables)</t>
        </is>
      </c>
      <c r="E5555" s="12" t="inlineStr"/>
      <c r="F5555" s="12" t="inlineStr">
        <is>
          <t>Inlet-chilling tower (12 cells): chiller heat rejection</t>
        </is>
      </c>
      <c r="G5555" s="12" t="inlineStr">
        <is>
          <t>JB-Inlet-chilling tow-DI02</t>
        </is>
      </c>
      <c r="H5555" s="12" t="inlineStr">
        <is>
          <t>Inlet-chilling tower (12 cells): chiller heat rejection</t>
        </is>
      </c>
      <c r="I5555" s="12" t="inlineStr">
        <is>
          <t>Instrumentation</t>
        </is>
      </c>
      <c r="J5555" s="12" t="inlineStr">
        <is>
          <t>Instrumentation PLTC / TC-ER 300 V, #18 twisted shielded pairs, overall shield</t>
        </is>
      </c>
      <c r="K5555" s="12" t="inlineStr">
        <is>
          <t>PLTC|1 pr|16</t>
        </is>
      </c>
      <c r="L5555" s="12" t="inlineStr">
        <is>
          <t>1 pr</t>
        </is>
      </c>
      <c r="M5555" s="12" t="inlineStr">
        <is>
          <t>16</t>
        </is>
      </c>
      <c r="N5555" s="12" t="n">
        <v>4</v>
      </c>
      <c r="O5555" s="12" t="n">
        <v>1</v>
      </c>
      <c r="P5555" s="12" t="n"/>
      <c r="Q5555" s="12" t="n"/>
      <c r="R5555" s="12" t="n"/>
      <c r="S5555" s="12" t="inlineStr">
        <is>
          <t>Tray / conduit</t>
        </is>
      </c>
      <c r="T5555" s="16" t="n">
        <v>205</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J-I-0047</t>
        </is>
      </c>
      <c r="B5556" s="12" t="inlineStr">
        <is>
          <t>J</t>
        </is>
      </c>
      <c r="C5556" s="12" t="inlineStr">
        <is>
          <t>GT inlet chilling</t>
        </is>
      </c>
      <c r="D5556" s="12" t="inlineStr">
        <is>
          <t>Home run JB-Inlet-chilling tow-DI02 to the control / marshalling room</t>
        </is>
      </c>
      <c r="E5556" s="12" t="inlineStr"/>
      <c r="F5556" s="12" t="inlineStr">
        <is>
          <t>Inlet-chilling e-house / transformer</t>
        </is>
      </c>
      <c r="G5556" s="12" t="inlineStr">
        <is>
          <t>JB-Inlet-chilling tow-DI02</t>
        </is>
      </c>
      <c r="H5556" s="12" t="inlineStr">
        <is>
          <t>Inlet-chilling tower (12 cells): chiller heat rejection</t>
        </is>
      </c>
      <c r="I5556" s="12" t="inlineStr">
        <is>
          <t>Instrumentation</t>
        </is>
      </c>
      <c r="J5556" s="12" t="inlineStr">
        <is>
          <t>Instrumentation PLTC / TC-ER 300 V, #18 twisted shielded pairs, overall shield</t>
        </is>
      </c>
      <c r="K5556" s="12" t="inlineStr">
        <is>
          <t>PLTC|24 pr|18</t>
        </is>
      </c>
      <c r="L5556" s="12" t="inlineStr">
        <is>
          <t>24 pr</t>
        </is>
      </c>
      <c r="M5556" s="12" t="inlineStr">
        <is>
          <t>18</t>
        </is>
      </c>
      <c r="N5556" s="12" t="n">
        <v>1</v>
      </c>
      <c r="O5556" s="12" t="n">
        <v>1</v>
      </c>
      <c r="P5556" s="12" t="n"/>
      <c r="Q5556" s="12" t="n"/>
      <c r="R5556" s="12" t="n"/>
      <c r="S5556" s="12" t="inlineStr">
        <is>
          <t>Duct bank</t>
        </is>
      </c>
      <c r="T5556" s="16" t="n">
        <v>478</v>
      </c>
      <c r="U5556" s="16" t="n">
        <v>38</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J-P-0001</t>
        </is>
      </c>
      <c r="B5557" s="12" t="inlineStr">
        <is>
          <t>J</t>
        </is>
      </c>
      <c r="C5557" s="12" t="inlineStr">
        <is>
          <t>GT inlet chilling</t>
        </is>
      </c>
      <c r="D5557" s="12" t="inlineStr">
        <is>
          <t>Motor 1 of 4, 150 kW</t>
        </is>
      </c>
      <c r="E5557" s="12" t="inlineStr"/>
      <c r="F5557" s="12" t="inlineStr">
        <is>
          <t>Inlet-chilling e-house / transformer</t>
        </is>
      </c>
      <c r="G5557" s="12" t="inlineStr"/>
      <c r="H5557" s="12" t="inlineStr">
        <is>
          <t>CHW pumps</t>
        </is>
      </c>
      <c r="I5557" s="12" t="inlineStr">
        <is>
          <t>LV 600 V</t>
        </is>
      </c>
      <c r="J5557" s="12" t="inlineStr">
        <is>
          <t>Type TC-ER 600 V 3/C Cu XHHW-2 + ground, PVC jacket</t>
        </is>
      </c>
      <c r="K5557" s="12" t="inlineStr">
        <is>
          <t>LV|3/C+G|350</t>
        </is>
      </c>
      <c r="L5557" s="12" t="inlineStr">
        <is>
          <t>3/C+G</t>
        </is>
      </c>
      <c r="M5557" s="12" t="inlineStr">
        <is>
          <t>350 kcmil</t>
        </is>
      </c>
      <c r="N5557" s="12" t="n">
        <v>1</v>
      </c>
      <c r="O5557" s="12" t="n">
        <v>1</v>
      </c>
      <c r="P5557" s="12" t="n">
        <v>480</v>
      </c>
      <c r="Q5557" s="12" t="n">
        <v>150</v>
      </c>
      <c r="R5557" s="12" t="n">
        <v>212.3</v>
      </c>
      <c r="S5557" s="12" t="inlineStr">
        <is>
          <t>Duct bank</t>
        </is>
      </c>
      <c r="T5557" s="16" t="n">
        <v>579</v>
      </c>
      <c r="U5557" s="16" t="n">
        <v>32</v>
      </c>
      <c r="V5557" s="16">
        <f>ROUNDUP((T5557+U5557+2*'Read Me'!$B$13)*(1+'Read Me'!$B$12),-1)</f>
        <v/>
      </c>
      <c r="W5557" s="16">
        <f>V5557*N5557*O5557</f>
        <v/>
      </c>
      <c r="X5557" s="12">
        <f>IF(LEFT(I5557,2)="MV",2*N5557*IF(L5557="1/C",O5557,1),0)</f>
        <v/>
      </c>
      <c r="Y5557" s="12">
        <f>IF(OR(LEFT(K5557,4)="LVAX",LEFT(K5557,6)="MV15AX",LEFT(K5557,4)="CTAX",LEFT(K5557,2)="W|"),2*N5557*O5557,0)</f>
        <v/>
      </c>
      <c r="Z5557" s="12" t="inlineStr">
        <is>
          <t>VD 1.9 %</t>
        </is>
      </c>
      <c r="AA5557" s="12">
        <f>N5557*O5557</f>
        <v/>
      </c>
    </row>
    <row r="5558">
      <c r="A5558" s="12" t="inlineStr">
        <is>
          <t>J-P-0002</t>
        </is>
      </c>
      <c r="B5558" s="12" t="inlineStr">
        <is>
          <t>J</t>
        </is>
      </c>
      <c r="C5558" s="12" t="inlineStr">
        <is>
          <t>GT inlet chilling</t>
        </is>
      </c>
      <c r="D5558" s="12" t="inlineStr">
        <is>
          <t>Motor 2 of 4, 150 kW</t>
        </is>
      </c>
      <c r="E5558" s="12" t="inlineStr"/>
      <c r="F5558" s="12" t="inlineStr">
        <is>
          <t>Inlet-chilling e-house / transformer</t>
        </is>
      </c>
      <c r="G5558" s="12" t="inlineStr"/>
      <c r="H5558" s="12" t="inlineStr">
        <is>
          <t>CHW pumps</t>
        </is>
      </c>
      <c r="I5558" s="12" t="inlineStr">
        <is>
          <t>LV 600 V</t>
        </is>
      </c>
      <c r="J5558" s="12" t="inlineStr">
        <is>
          <t>Type TC-ER 600 V 3/C Cu XHHW-2 + ground, PVC jacket</t>
        </is>
      </c>
      <c r="K5558" s="12" t="inlineStr">
        <is>
          <t>LV|3/C+G|350</t>
        </is>
      </c>
      <c r="L5558" s="12" t="inlineStr">
        <is>
          <t>3/C+G</t>
        </is>
      </c>
      <c r="M5558" s="12" t="inlineStr">
        <is>
          <t>350 kcmil</t>
        </is>
      </c>
      <c r="N5558" s="12" t="n">
        <v>1</v>
      </c>
      <c r="O5558" s="12" t="n">
        <v>1</v>
      </c>
      <c r="P5558" s="12" t="n">
        <v>480</v>
      </c>
      <c r="Q5558" s="12" t="n">
        <v>150</v>
      </c>
      <c r="R5558" s="12" t="n">
        <v>212.3</v>
      </c>
      <c r="S5558" s="12" t="inlineStr">
        <is>
          <t>Duct bank</t>
        </is>
      </c>
      <c r="T5558" s="16" t="n">
        <v>579</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is>
          <t>VD 1.9 %</t>
        </is>
      </c>
      <c r="AA5558" s="12">
        <f>N5558*O5558</f>
        <v/>
      </c>
    </row>
    <row r="5559">
      <c r="A5559" s="12" t="inlineStr">
        <is>
          <t>J-P-0003</t>
        </is>
      </c>
      <c r="B5559" s="12" t="inlineStr">
        <is>
          <t>J</t>
        </is>
      </c>
      <c r="C5559" s="12" t="inlineStr">
        <is>
          <t>GT inlet chilling</t>
        </is>
      </c>
      <c r="D5559" s="12" t="inlineStr">
        <is>
          <t>Motor 3 of 4, 150 kW</t>
        </is>
      </c>
      <c r="E5559" s="12" t="inlineStr"/>
      <c r="F5559" s="12" t="inlineStr">
        <is>
          <t>Inlet-chilling e-house / transformer</t>
        </is>
      </c>
      <c r="G5559" s="12" t="inlineStr"/>
      <c r="H5559" s="12" t="inlineStr">
        <is>
          <t>CHW pumps</t>
        </is>
      </c>
      <c r="I5559" s="12" t="inlineStr">
        <is>
          <t>LV 600 V</t>
        </is>
      </c>
      <c r="J5559" s="12" t="inlineStr">
        <is>
          <t>Type TC-ER 600 V 3/C Cu XHHW-2 + ground, PVC jacket</t>
        </is>
      </c>
      <c r="K5559" s="12" t="inlineStr">
        <is>
          <t>LV|3/C+G|350</t>
        </is>
      </c>
      <c r="L5559" s="12" t="inlineStr">
        <is>
          <t>3/C+G</t>
        </is>
      </c>
      <c r="M5559" s="12" t="inlineStr">
        <is>
          <t>350 kcmil</t>
        </is>
      </c>
      <c r="N5559" s="12" t="n">
        <v>1</v>
      </c>
      <c r="O5559" s="12" t="n">
        <v>1</v>
      </c>
      <c r="P5559" s="12" t="n">
        <v>480</v>
      </c>
      <c r="Q5559" s="12" t="n">
        <v>150</v>
      </c>
      <c r="R5559" s="12" t="n">
        <v>212.3</v>
      </c>
      <c r="S5559" s="12" t="inlineStr">
        <is>
          <t>Duct bank</t>
        </is>
      </c>
      <c r="T5559" s="16" t="n">
        <v>579</v>
      </c>
      <c r="U5559" s="16" t="n">
        <v>32</v>
      </c>
      <c r="V5559" s="16">
        <f>ROUNDUP((T5559+U5559+2*'Read Me'!$B$13)*(1+'Read Me'!$B$12),-1)</f>
        <v/>
      </c>
      <c r="W5559" s="16">
        <f>V5559*N5559*O5559</f>
        <v/>
      </c>
      <c r="X5559" s="12">
        <f>IF(LEFT(I5559,2)="MV",2*N5559*IF(L5559="1/C",O5559,1),0)</f>
        <v/>
      </c>
      <c r="Y5559" s="12">
        <f>IF(OR(LEFT(K5559,4)="LVAX",LEFT(K5559,6)="MV15AX",LEFT(K5559,4)="CTAX",LEFT(K5559,2)="W|"),2*N5559*O5559,0)</f>
        <v/>
      </c>
      <c r="Z5559" s="12" t="inlineStr">
        <is>
          <t>VD 1.9 %</t>
        </is>
      </c>
      <c r="AA5559" s="12">
        <f>N5559*O5559</f>
        <v/>
      </c>
    </row>
    <row r="5560">
      <c r="A5560" s="12" t="inlineStr">
        <is>
          <t>J-P-0004</t>
        </is>
      </c>
      <c r="B5560" s="12" t="inlineStr">
        <is>
          <t>J</t>
        </is>
      </c>
      <c r="C5560" s="12" t="inlineStr">
        <is>
          <t>GT inlet chilling</t>
        </is>
      </c>
      <c r="D5560" s="12" t="inlineStr">
        <is>
          <t>Motor 4 of 4, 150 kW</t>
        </is>
      </c>
      <c r="E5560" s="12" t="inlineStr"/>
      <c r="F5560" s="12" t="inlineStr">
        <is>
          <t>Inlet-chilling e-house / transformer</t>
        </is>
      </c>
      <c r="G5560" s="12" t="inlineStr"/>
      <c r="H5560" s="12" t="inlineStr">
        <is>
          <t>CHW pumps</t>
        </is>
      </c>
      <c r="I5560" s="12" t="inlineStr">
        <is>
          <t>LV 600 V</t>
        </is>
      </c>
      <c r="J5560" s="12" t="inlineStr">
        <is>
          <t>Type TC-ER 600 V 3/C Cu XHHW-2 + ground, PVC jacket</t>
        </is>
      </c>
      <c r="K5560" s="12" t="inlineStr">
        <is>
          <t>LV|3/C+G|350</t>
        </is>
      </c>
      <c r="L5560" s="12" t="inlineStr">
        <is>
          <t>3/C+G</t>
        </is>
      </c>
      <c r="M5560" s="12" t="inlineStr">
        <is>
          <t>350 kcmil</t>
        </is>
      </c>
      <c r="N5560" s="12" t="n">
        <v>1</v>
      </c>
      <c r="O5560" s="12" t="n">
        <v>1</v>
      </c>
      <c r="P5560" s="12" t="n">
        <v>480</v>
      </c>
      <c r="Q5560" s="12" t="n">
        <v>150</v>
      </c>
      <c r="R5560" s="12" t="n">
        <v>212.3</v>
      </c>
      <c r="S5560" s="12" t="inlineStr">
        <is>
          <t>Duct bank</t>
        </is>
      </c>
      <c r="T5560" s="16" t="n">
        <v>579</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is>
          <t>VD 1.9 %</t>
        </is>
      </c>
      <c r="AA5560" s="12">
        <f>N5560*O5560</f>
        <v/>
      </c>
    </row>
    <row r="5561">
      <c r="A5561" s="12" t="inlineStr">
        <is>
          <t>J-P-0005</t>
        </is>
      </c>
      <c r="B5561" s="12" t="inlineStr">
        <is>
          <t>J</t>
        </is>
      </c>
      <c r="C5561" s="12" t="inlineStr">
        <is>
          <t>GT inlet chilling</t>
        </is>
      </c>
      <c r="D5561" s="12" t="inlineStr">
        <is>
          <t>LV power feeder</t>
        </is>
      </c>
      <c r="E5561" s="12" t="inlineStr"/>
      <c r="F5561" s="12" t="inlineStr">
        <is>
          <t>Inlet-chilling e-house / transformer</t>
        </is>
      </c>
      <c r="G5561" s="12" t="inlineStr"/>
      <c r="H5561" s="12" t="inlineStr">
        <is>
          <t>CONDITIONAL: TES chilled-water tank</t>
        </is>
      </c>
      <c r="I5561" s="12" t="inlineStr">
        <is>
          <t>LV 600 V</t>
        </is>
      </c>
      <c r="J5561" s="12" t="inlineStr">
        <is>
          <t>Type TC-ER 600 V 3/C Cu XHHW-2 + ground, PVC jacket</t>
        </is>
      </c>
      <c r="K5561" s="12" t="inlineStr">
        <is>
          <t>LV|3/C+G|8</t>
        </is>
      </c>
      <c r="L5561" s="12" t="inlineStr">
        <is>
          <t>3/C+G</t>
        </is>
      </c>
      <c r="M5561" s="12" t="inlineStr">
        <is>
          <t>8</t>
        </is>
      </c>
      <c r="N5561" s="12" t="n">
        <v>1</v>
      </c>
      <c r="O5561" s="12" t="n">
        <v>1</v>
      </c>
      <c r="P5561" s="12" t="n">
        <v>480</v>
      </c>
      <c r="Q5561" s="12" t="n">
        <v>10</v>
      </c>
      <c r="R5561" s="12" t="n">
        <v>14.2</v>
      </c>
      <c r="S5561" s="12" t="inlineStr">
        <is>
          <t>Duct bank</t>
        </is>
      </c>
      <c r="T5561" s="16" t="n">
        <v>271</v>
      </c>
      <c r="U5561" s="16" t="n">
        <v>217</v>
      </c>
      <c r="V5561" s="16">
        <f>ROUNDUP((T5561+U5561+2*'Read Me'!$B$13)*(1+'Read Me'!$B$12),-1)</f>
        <v/>
      </c>
      <c r="W5561" s="16">
        <f>V5561*N5561*O5561</f>
        <v/>
      </c>
      <c r="X5561" s="12">
        <f>IF(LEFT(I5561,2)="MV",2*N5561*IF(L5561="1/C",O5561,1),0)</f>
        <v/>
      </c>
      <c r="Y5561" s="12">
        <f>IF(OR(LEFT(K5561,4)="LVAX",LEFT(K5561,6)="MV15AX",LEFT(K5561,4)="CTAX",LEFT(K5561,2)="W|"),2*N5561*O5561,0)</f>
        <v/>
      </c>
      <c r="Z5561" s="12" t="inlineStr">
        <is>
          <t>VD 2.1 %</t>
        </is>
      </c>
      <c r="AA5561" s="12">
        <f>N5561*O5561</f>
        <v/>
      </c>
    </row>
    <row r="5562">
      <c r="A5562" s="12" t="inlineStr">
        <is>
          <t>J-P-0006</t>
        </is>
      </c>
      <c r="B5562" s="12" t="inlineStr">
        <is>
          <t>J</t>
        </is>
      </c>
      <c r="C5562" s="12" t="inlineStr">
        <is>
          <t>GT inlet chilling</t>
        </is>
      </c>
      <c r="D5562" s="12" t="inlineStr">
        <is>
          <t>Motor 1 of 6, 7 kW</t>
        </is>
      </c>
      <c r="E5562" s="12" t="inlineStr"/>
      <c r="F5562" s="12" t="inlineStr">
        <is>
          <t>Inlet-chilling e-house / transformer</t>
        </is>
      </c>
      <c r="G5562" s="12" t="inlineStr"/>
      <c r="H5562" s="12" t="inlineStr">
        <is>
          <t>Chillers x6 (water-cooled)</t>
        </is>
      </c>
      <c r="I5562" s="12" t="inlineStr">
        <is>
          <t>LV 600 V</t>
        </is>
      </c>
      <c r="J5562" s="12" t="inlineStr">
        <is>
          <t>Type TC-ER 600 V 3/C Cu XHHW-2 + ground, PVC jacket</t>
        </is>
      </c>
      <c r="K5562" s="12" t="inlineStr">
        <is>
          <t>LV|3/C+G|10</t>
        </is>
      </c>
      <c r="L5562" s="12" t="inlineStr">
        <is>
          <t>3/C+G</t>
        </is>
      </c>
      <c r="M5562" s="12" t="inlineStr">
        <is>
          <t>10</t>
        </is>
      </c>
      <c r="N5562" s="12" t="n">
        <v>1</v>
      </c>
      <c r="O5562" s="12" t="n">
        <v>1</v>
      </c>
      <c r="P5562" s="12" t="n">
        <v>480</v>
      </c>
      <c r="Q5562" s="12" t="n">
        <v>7</v>
      </c>
      <c r="R5562" s="12" t="n">
        <v>9.9</v>
      </c>
      <c r="S5562" s="12" t="inlineStr">
        <is>
          <t>Duct bank</t>
        </is>
      </c>
      <c r="T5562" s="16" t="n">
        <v>10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is>
          <t>VD 0.2 %</t>
        </is>
      </c>
      <c r="AA5562" s="12">
        <f>N5562*O5562</f>
        <v/>
      </c>
    </row>
    <row r="5563">
      <c r="A5563" s="12" t="inlineStr">
        <is>
          <t>J-P-0007</t>
        </is>
      </c>
      <c r="B5563" s="12" t="inlineStr">
        <is>
          <t>J</t>
        </is>
      </c>
      <c r="C5563" s="12" t="inlineStr">
        <is>
          <t>GT inlet chilling</t>
        </is>
      </c>
      <c r="D5563" s="12" t="inlineStr">
        <is>
          <t>Motor 2 of 6, 7 kW</t>
        </is>
      </c>
      <c r="E5563" s="12" t="inlineStr"/>
      <c r="F5563" s="12" t="inlineStr">
        <is>
          <t>Inlet-chilling e-house / transformer</t>
        </is>
      </c>
      <c r="G5563" s="12" t="inlineStr"/>
      <c r="H5563" s="12" t="inlineStr">
        <is>
          <t>Chillers x6 (water-cooled)</t>
        </is>
      </c>
      <c r="I5563" s="12" t="inlineStr">
        <is>
          <t>LV 600 V</t>
        </is>
      </c>
      <c r="J5563" s="12" t="inlineStr">
        <is>
          <t>Type TC-ER 600 V 3/C Cu XHHW-2 + ground, PVC jacket</t>
        </is>
      </c>
      <c r="K5563" s="12" t="inlineStr">
        <is>
          <t>LV|3/C+G|10</t>
        </is>
      </c>
      <c r="L5563" s="12" t="inlineStr">
        <is>
          <t>3/C+G</t>
        </is>
      </c>
      <c r="M5563" s="12" t="inlineStr">
        <is>
          <t>10</t>
        </is>
      </c>
      <c r="N5563" s="12" t="n">
        <v>1</v>
      </c>
      <c r="O5563" s="12" t="n">
        <v>1</v>
      </c>
      <c r="P5563" s="12" t="n">
        <v>480</v>
      </c>
      <c r="Q5563" s="12" t="n">
        <v>7</v>
      </c>
      <c r="R5563" s="12" t="n">
        <v>9.9</v>
      </c>
      <c r="S5563" s="12" t="inlineStr">
        <is>
          <t>Duct bank</t>
        </is>
      </c>
      <c r="T5563" s="16" t="n">
        <v>10</v>
      </c>
      <c r="U5563" s="16" t="n">
        <v>32</v>
      </c>
      <c r="V5563" s="16">
        <f>ROUNDUP((T5563+U5563+2*'Read Me'!$B$13)*(1+'Read Me'!$B$12),-1)</f>
        <v/>
      </c>
      <c r="W5563" s="16">
        <f>V5563*N5563*O5563</f>
        <v/>
      </c>
      <c r="X5563" s="12">
        <f>IF(LEFT(I5563,2)="MV",2*N5563*IF(L5563="1/C",O5563,1),0)</f>
        <v/>
      </c>
      <c r="Y5563" s="12">
        <f>IF(OR(LEFT(K5563,4)="LVAX",LEFT(K5563,6)="MV15AX",LEFT(K5563,4)="CTAX",LEFT(K5563,2)="W|"),2*N5563*O5563,0)</f>
        <v/>
      </c>
      <c r="Z5563" s="12" t="inlineStr">
        <is>
          <t>VD 0.2 %</t>
        </is>
      </c>
      <c r="AA5563" s="12">
        <f>N5563*O5563</f>
        <v/>
      </c>
    </row>
    <row r="5564">
      <c r="A5564" s="12" t="inlineStr">
        <is>
          <t>J-P-0008</t>
        </is>
      </c>
      <c r="B5564" s="12" t="inlineStr">
        <is>
          <t>J</t>
        </is>
      </c>
      <c r="C5564" s="12" t="inlineStr">
        <is>
          <t>GT inlet chilling</t>
        </is>
      </c>
      <c r="D5564" s="12" t="inlineStr">
        <is>
          <t>Motor 3 of 6, 7 kW</t>
        </is>
      </c>
      <c r="E5564" s="12" t="inlineStr"/>
      <c r="F5564" s="12" t="inlineStr">
        <is>
          <t>Inlet-chilling e-house / transformer</t>
        </is>
      </c>
      <c r="G5564" s="12" t="inlineStr"/>
      <c r="H5564" s="12" t="inlineStr">
        <is>
          <t>Chillers x6 (water-cooled)</t>
        </is>
      </c>
      <c r="I5564" s="12" t="inlineStr">
        <is>
          <t>LV 600 V</t>
        </is>
      </c>
      <c r="J5564" s="12" t="inlineStr">
        <is>
          <t>Type TC-ER 600 V 3/C Cu XHHW-2 + ground, PVC jacket</t>
        </is>
      </c>
      <c r="K5564" s="12" t="inlineStr">
        <is>
          <t>LV|3/C+G|10</t>
        </is>
      </c>
      <c r="L5564" s="12" t="inlineStr">
        <is>
          <t>3/C+G</t>
        </is>
      </c>
      <c r="M5564" s="12" t="inlineStr">
        <is>
          <t>10</t>
        </is>
      </c>
      <c r="N5564" s="12" t="n">
        <v>1</v>
      </c>
      <c r="O5564" s="12" t="n">
        <v>1</v>
      </c>
      <c r="P5564" s="12" t="n">
        <v>480</v>
      </c>
      <c r="Q5564" s="12" t="n">
        <v>7</v>
      </c>
      <c r="R5564" s="12" t="n">
        <v>9.9</v>
      </c>
      <c r="S5564" s="12" t="inlineStr">
        <is>
          <t>Duct bank</t>
        </is>
      </c>
      <c r="T5564" s="16" t="n">
        <v>10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is>
          <t>VD 0.2 %</t>
        </is>
      </c>
      <c r="AA5564" s="12">
        <f>N5564*O5564</f>
        <v/>
      </c>
    </row>
    <row r="5565">
      <c r="A5565" s="12" t="inlineStr">
        <is>
          <t>J-P-0009</t>
        </is>
      </c>
      <c r="B5565" s="12" t="inlineStr">
        <is>
          <t>J</t>
        </is>
      </c>
      <c r="C5565" s="12" t="inlineStr">
        <is>
          <t>GT inlet chilling</t>
        </is>
      </c>
      <c r="D5565" s="12" t="inlineStr">
        <is>
          <t>Motor 4 of 6, 7 kW</t>
        </is>
      </c>
      <c r="E5565" s="12" t="inlineStr"/>
      <c r="F5565" s="12" t="inlineStr">
        <is>
          <t>Inlet-chilling e-house / transformer</t>
        </is>
      </c>
      <c r="G5565" s="12" t="inlineStr"/>
      <c r="H5565" s="12" t="inlineStr">
        <is>
          <t>Chillers x6 (water-cooled)</t>
        </is>
      </c>
      <c r="I5565" s="12" t="inlineStr">
        <is>
          <t>LV 600 V</t>
        </is>
      </c>
      <c r="J5565" s="12" t="inlineStr">
        <is>
          <t>Type TC-ER 600 V 3/C Cu XHHW-2 + ground, PVC jacket</t>
        </is>
      </c>
      <c r="K5565" s="12" t="inlineStr">
        <is>
          <t>LV|3/C+G|10</t>
        </is>
      </c>
      <c r="L5565" s="12" t="inlineStr">
        <is>
          <t>3/C+G</t>
        </is>
      </c>
      <c r="M5565" s="12" t="inlineStr">
        <is>
          <t>10</t>
        </is>
      </c>
      <c r="N5565" s="12" t="n">
        <v>1</v>
      </c>
      <c r="O5565" s="12" t="n">
        <v>1</v>
      </c>
      <c r="P5565" s="12" t="n">
        <v>480</v>
      </c>
      <c r="Q5565" s="12" t="n">
        <v>7</v>
      </c>
      <c r="R5565" s="12" t="n">
        <v>9.9</v>
      </c>
      <c r="S5565" s="12" t="inlineStr">
        <is>
          <t>Duct bank</t>
        </is>
      </c>
      <c r="T5565" s="16" t="n">
        <v>10</v>
      </c>
      <c r="U5565" s="16" t="n">
        <v>32</v>
      </c>
      <c r="V5565" s="16">
        <f>ROUNDUP((T5565+U5565+2*'Read Me'!$B$13)*(1+'Read Me'!$B$12),-1)</f>
        <v/>
      </c>
      <c r="W5565" s="16">
        <f>V5565*N5565*O5565</f>
        <v/>
      </c>
      <c r="X5565" s="12">
        <f>IF(LEFT(I5565,2)="MV",2*N5565*IF(L5565="1/C",O5565,1),0)</f>
        <v/>
      </c>
      <c r="Y5565" s="12">
        <f>IF(OR(LEFT(K5565,4)="LVAX",LEFT(K5565,6)="MV15AX",LEFT(K5565,4)="CTAX",LEFT(K5565,2)="W|"),2*N5565*O5565,0)</f>
        <v/>
      </c>
      <c r="Z5565" s="12" t="inlineStr">
        <is>
          <t>VD 0.2 %</t>
        </is>
      </c>
      <c r="AA5565" s="12">
        <f>N5565*O5565</f>
        <v/>
      </c>
    </row>
    <row r="5566">
      <c r="A5566" s="12" t="inlineStr">
        <is>
          <t>J-P-0010</t>
        </is>
      </c>
      <c r="B5566" s="12" t="inlineStr">
        <is>
          <t>J</t>
        </is>
      </c>
      <c r="C5566" s="12" t="inlineStr">
        <is>
          <t>GT inlet chilling</t>
        </is>
      </c>
      <c r="D5566" s="12" t="inlineStr">
        <is>
          <t>Motor 5 of 6, 7 kW</t>
        </is>
      </c>
      <c r="E5566" s="12" t="inlineStr"/>
      <c r="F5566" s="12" t="inlineStr">
        <is>
          <t>Inlet-chilling e-house / transformer</t>
        </is>
      </c>
      <c r="G5566" s="12" t="inlineStr"/>
      <c r="H5566" s="12" t="inlineStr">
        <is>
          <t>Chillers x6 (water-cooled)</t>
        </is>
      </c>
      <c r="I5566" s="12" t="inlineStr">
        <is>
          <t>LV 600 V</t>
        </is>
      </c>
      <c r="J5566" s="12" t="inlineStr">
        <is>
          <t>Type TC-ER 600 V 3/C Cu XHHW-2 + ground, PVC jacket</t>
        </is>
      </c>
      <c r="K5566" s="12" t="inlineStr">
        <is>
          <t>LV|3/C+G|10</t>
        </is>
      </c>
      <c r="L5566" s="12" t="inlineStr">
        <is>
          <t>3/C+G</t>
        </is>
      </c>
      <c r="M5566" s="12" t="inlineStr">
        <is>
          <t>10</t>
        </is>
      </c>
      <c r="N5566" s="12" t="n">
        <v>1</v>
      </c>
      <c r="O5566" s="12" t="n">
        <v>1</v>
      </c>
      <c r="P5566" s="12" t="n">
        <v>480</v>
      </c>
      <c r="Q5566" s="12" t="n">
        <v>7</v>
      </c>
      <c r="R5566" s="12" t="n">
        <v>9.9</v>
      </c>
      <c r="S5566" s="12" t="inlineStr">
        <is>
          <t>Duct bank</t>
        </is>
      </c>
      <c r="T5566" s="16" t="n">
        <v>10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is>
          <t>VD 0.2 %</t>
        </is>
      </c>
      <c r="AA5566" s="12">
        <f>N5566*O5566</f>
        <v/>
      </c>
    </row>
    <row r="5567">
      <c r="A5567" s="12" t="inlineStr">
        <is>
          <t>J-P-0011</t>
        </is>
      </c>
      <c r="B5567" s="12" t="inlineStr">
        <is>
          <t>J</t>
        </is>
      </c>
      <c r="C5567" s="12" t="inlineStr">
        <is>
          <t>GT inlet chilling</t>
        </is>
      </c>
      <c r="D5567" s="12" t="inlineStr">
        <is>
          <t>Motor 6 of 6, 7 kW</t>
        </is>
      </c>
      <c r="E5567" s="12" t="inlineStr"/>
      <c r="F5567" s="12" t="inlineStr">
        <is>
          <t>Inlet-chilling e-house / transformer</t>
        </is>
      </c>
      <c r="G5567" s="12" t="inlineStr"/>
      <c r="H5567" s="12" t="inlineStr">
        <is>
          <t>Chillers x6 (water-cooled)</t>
        </is>
      </c>
      <c r="I5567" s="12" t="inlineStr">
        <is>
          <t>LV 600 V</t>
        </is>
      </c>
      <c r="J5567" s="12" t="inlineStr">
        <is>
          <t>Type TC-ER 600 V 3/C Cu XHHW-2 + ground, PVC jacket</t>
        </is>
      </c>
      <c r="K5567" s="12" t="inlineStr">
        <is>
          <t>LV|3/C+G|10</t>
        </is>
      </c>
      <c r="L5567" s="12" t="inlineStr">
        <is>
          <t>3/C+G</t>
        </is>
      </c>
      <c r="M5567" s="12" t="inlineStr">
        <is>
          <t>10</t>
        </is>
      </c>
      <c r="N5567" s="12" t="n">
        <v>1</v>
      </c>
      <c r="O5567" s="12" t="n">
        <v>1</v>
      </c>
      <c r="P5567" s="12" t="n">
        <v>480</v>
      </c>
      <c r="Q5567" s="12" t="n">
        <v>7</v>
      </c>
      <c r="R5567" s="12" t="n">
        <v>9.9</v>
      </c>
      <c r="S5567" s="12" t="inlineStr">
        <is>
          <t>Duct bank</t>
        </is>
      </c>
      <c r="T5567" s="16" t="n">
        <v>10</v>
      </c>
      <c r="U5567" s="16" t="n">
        <v>32</v>
      </c>
      <c r="V5567" s="16">
        <f>ROUNDUP((T5567+U5567+2*'Read Me'!$B$13)*(1+'Read Me'!$B$12),-1)</f>
        <v/>
      </c>
      <c r="W5567" s="16">
        <f>V5567*N5567*O5567</f>
        <v/>
      </c>
      <c r="X5567" s="12">
        <f>IF(LEFT(I5567,2)="MV",2*N5567*IF(L5567="1/C",O5567,1),0)</f>
        <v/>
      </c>
      <c r="Y5567" s="12">
        <f>IF(OR(LEFT(K5567,4)="LVAX",LEFT(K5567,6)="MV15AX",LEFT(K5567,4)="CTAX",LEFT(K5567,2)="W|"),2*N5567*O5567,0)</f>
        <v/>
      </c>
      <c r="Z5567" s="12" t="inlineStr">
        <is>
          <t>VD 0.2 %</t>
        </is>
      </c>
      <c r="AA5567" s="12">
        <f>N5567*O5567</f>
        <v/>
      </c>
    </row>
    <row r="5568">
      <c r="A5568" s="12" t="inlineStr">
        <is>
          <t>J-P-0012</t>
        </is>
      </c>
      <c r="B5568" s="12" t="inlineStr">
        <is>
          <t>J</t>
        </is>
      </c>
      <c r="C5568" s="12" t="inlineStr">
        <is>
          <t>GT inlet chilling</t>
        </is>
      </c>
      <c r="D5568" s="12" t="inlineStr">
        <is>
          <t>Motor 1 of 12, 75 kW (VFD output)</t>
        </is>
      </c>
      <c r="E5568" s="12" t="inlineStr"/>
      <c r="F5568" s="12" t="inlineStr">
        <is>
          <t>Inlet-chilling e-house / transformer</t>
        </is>
      </c>
      <c r="G5568" s="12" t="inlineStr"/>
      <c r="H5568" s="12" t="inlineStr">
        <is>
          <t>Inlet-chilling tower (12 cells): chiller heat rejection</t>
        </is>
      </c>
      <c r="I5568" s="12" t="inlineStr">
        <is>
          <t>LV 600 V</t>
        </is>
      </c>
      <c r="J5568" s="12" t="inlineStr">
        <is>
          <t>VFD cable 600 V 3/C Cu XHHW-2, 3 symmetrical grounds, overall Cu tape shield, TC-ER</t>
        </is>
      </c>
      <c r="K5568" s="12" t="inlineStr">
        <is>
          <t>VFD|3/C+3G|2/0</t>
        </is>
      </c>
      <c r="L5568" s="12" t="inlineStr">
        <is>
          <t>3/C+3G</t>
        </is>
      </c>
      <c r="M5568" s="12" t="inlineStr">
        <is>
          <t>2/0</t>
        </is>
      </c>
      <c r="N5568" s="12" t="n">
        <v>1</v>
      </c>
      <c r="O5568" s="12" t="n">
        <v>1</v>
      </c>
      <c r="P5568" s="12" t="n">
        <v>480</v>
      </c>
      <c r="Q5568" s="12" t="n">
        <v>75</v>
      </c>
      <c r="R5568" s="12" t="n">
        <v>106</v>
      </c>
      <c r="S5568" s="12" t="inlineStr">
        <is>
          <t>Duct bank</t>
        </is>
      </c>
      <c r="T5568" s="16" t="n">
        <v>683</v>
      </c>
      <c r="U5568" s="16" t="n">
        <v>38</v>
      </c>
      <c r="V5568" s="16">
        <f>ROUNDUP((T5568+U5568+2*'Read Me'!$B$13)*(1+'Read Me'!$B$12),-1)</f>
        <v/>
      </c>
      <c r="W5568" s="16">
        <f>V5568*N5568*O5568</f>
        <v/>
      </c>
      <c r="X5568" s="12">
        <f>IF(LEFT(I5568,2)="MV",2*N5568*IF(L5568="1/C",O5568,1),0)</f>
        <v/>
      </c>
      <c r="Y5568" s="12">
        <f>IF(OR(LEFT(K5568,4)="LVAX",LEFT(K5568,6)="MV15AX",LEFT(K5568,4)="CTAX",LEFT(K5568,2)="W|"),2*N5568*O5568,0)</f>
        <v/>
      </c>
      <c r="Z5568" s="12" t="inlineStr">
        <is>
          <t>VD 2.9 %</t>
        </is>
      </c>
      <c r="AA5568" s="12">
        <f>N5568*O5568</f>
        <v/>
      </c>
    </row>
    <row r="5569">
      <c r="A5569" s="12" t="inlineStr">
        <is>
          <t>J-P-0013</t>
        </is>
      </c>
      <c r="B5569" s="12" t="inlineStr">
        <is>
          <t>J</t>
        </is>
      </c>
      <c r="C5569" s="12" t="inlineStr">
        <is>
          <t>GT inlet chilling</t>
        </is>
      </c>
      <c r="D5569" s="12" t="inlineStr">
        <is>
          <t>Motor 2 of 12, 75 kW (VFD output)</t>
        </is>
      </c>
      <c r="E5569" s="12" t="inlineStr"/>
      <c r="F5569" s="12" t="inlineStr">
        <is>
          <t>Inlet-chilling e-house / transformer</t>
        </is>
      </c>
      <c r="G5569" s="12" t="inlineStr"/>
      <c r="H5569" s="12" t="inlineStr">
        <is>
          <t>Inlet-chilling tower (12 cells): chiller heat rejection</t>
        </is>
      </c>
      <c r="I5569" s="12" t="inlineStr">
        <is>
          <t>LV 600 V</t>
        </is>
      </c>
      <c r="J5569" s="12" t="inlineStr">
        <is>
          <t>VFD cable 600 V 3/C Cu XHHW-2, 3 symmetrical grounds, overall Cu tape shield, TC-ER</t>
        </is>
      </c>
      <c r="K5569" s="12" t="inlineStr">
        <is>
          <t>VFD|3/C+3G|2/0</t>
        </is>
      </c>
      <c r="L5569" s="12" t="inlineStr">
        <is>
          <t>3/C+3G</t>
        </is>
      </c>
      <c r="M5569" s="12" t="inlineStr">
        <is>
          <t>2/0</t>
        </is>
      </c>
      <c r="N5569" s="12" t="n">
        <v>1</v>
      </c>
      <c r="O5569" s="12" t="n">
        <v>1</v>
      </c>
      <c r="P5569" s="12" t="n">
        <v>480</v>
      </c>
      <c r="Q5569" s="12" t="n">
        <v>75</v>
      </c>
      <c r="R5569" s="12" t="n">
        <v>106</v>
      </c>
      <c r="S5569" s="12" t="inlineStr">
        <is>
          <t>Duct bank</t>
        </is>
      </c>
      <c r="T5569" s="16" t="n">
        <v>683</v>
      </c>
      <c r="U5569" s="16" t="n">
        <v>38</v>
      </c>
      <c r="V5569" s="16">
        <f>ROUNDUP((T5569+U5569+2*'Read Me'!$B$13)*(1+'Read Me'!$B$12),-1)</f>
        <v/>
      </c>
      <c r="W5569" s="16">
        <f>V5569*N5569*O5569</f>
        <v/>
      </c>
      <c r="X5569" s="12">
        <f>IF(LEFT(I5569,2)="MV",2*N5569*IF(L5569="1/C",O5569,1),0)</f>
        <v/>
      </c>
      <c r="Y5569" s="12">
        <f>IF(OR(LEFT(K5569,4)="LVAX",LEFT(K5569,6)="MV15AX",LEFT(K5569,4)="CTAX",LEFT(K5569,2)="W|"),2*N5569*O5569,0)</f>
        <v/>
      </c>
      <c r="Z5569" s="12" t="inlineStr">
        <is>
          <t>VD 2.9 %</t>
        </is>
      </c>
      <c r="AA5569" s="12">
        <f>N5569*O5569</f>
        <v/>
      </c>
    </row>
    <row r="5570">
      <c r="A5570" s="12" t="inlineStr">
        <is>
          <t>J-P-0014</t>
        </is>
      </c>
      <c r="B5570" s="12" t="inlineStr">
        <is>
          <t>J</t>
        </is>
      </c>
      <c r="C5570" s="12" t="inlineStr">
        <is>
          <t>GT inlet chilling</t>
        </is>
      </c>
      <c r="D5570" s="12" t="inlineStr">
        <is>
          <t>Motor 3 of 12, 75 kW (VFD output)</t>
        </is>
      </c>
      <c r="E5570" s="12" t="inlineStr"/>
      <c r="F5570" s="12" t="inlineStr">
        <is>
          <t>Inlet-chilling e-house / transformer</t>
        </is>
      </c>
      <c r="G5570" s="12" t="inlineStr"/>
      <c r="H5570" s="12" t="inlineStr">
        <is>
          <t>Inlet-chilling tower (12 cells): chiller heat rejection</t>
        </is>
      </c>
      <c r="I5570" s="12" t="inlineStr">
        <is>
          <t>LV 600 V</t>
        </is>
      </c>
      <c r="J5570" s="12" t="inlineStr">
        <is>
          <t>VFD cable 600 V 3/C Cu XHHW-2, 3 symmetrical grounds, overall Cu tape shield, TC-ER</t>
        </is>
      </c>
      <c r="K5570" s="12" t="inlineStr">
        <is>
          <t>VFD|3/C+3G|2/0</t>
        </is>
      </c>
      <c r="L5570" s="12" t="inlineStr">
        <is>
          <t>3/C+3G</t>
        </is>
      </c>
      <c r="M5570" s="12" t="inlineStr">
        <is>
          <t>2/0</t>
        </is>
      </c>
      <c r="N5570" s="12" t="n">
        <v>1</v>
      </c>
      <c r="O5570" s="12" t="n">
        <v>1</v>
      </c>
      <c r="P5570" s="12" t="n">
        <v>480</v>
      </c>
      <c r="Q5570" s="12" t="n">
        <v>75</v>
      </c>
      <c r="R5570" s="12" t="n">
        <v>106</v>
      </c>
      <c r="S5570" s="12" t="inlineStr">
        <is>
          <t>Duct bank</t>
        </is>
      </c>
      <c r="T5570" s="16" t="n">
        <v>683</v>
      </c>
      <c r="U5570" s="16" t="n">
        <v>38</v>
      </c>
      <c r="V5570" s="16">
        <f>ROUNDUP((T5570+U5570+2*'Read Me'!$B$13)*(1+'Read Me'!$B$12),-1)</f>
        <v/>
      </c>
      <c r="W5570" s="16">
        <f>V5570*N5570*O5570</f>
        <v/>
      </c>
      <c r="X5570" s="12">
        <f>IF(LEFT(I5570,2)="MV",2*N5570*IF(L5570="1/C",O5570,1),0)</f>
        <v/>
      </c>
      <c r="Y5570" s="12">
        <f>IF(OR(LEFT(K5570,4)="LVAX",LEFT(K5570,6)="MV15AX",LEFT(K5570,4)="CTAX",LEFT(K5570,2)="W|"),2*N5570*O5570,0)</f>
        <v/>
      </c>
      <c r="Z5570" s="12" t="inlineStr">
        <is>
          <t>VD 2.9 %</t>
        </is>
      </c>
      <c r="AA5570" s="12">
        <f>N5570*O5570</f>
        <v/>
      </c>
    </row>
    <row r="5571">
      <c r="A5571" s="12" t="inlineStr">
        <is>
          <t>J-P-0015</t>
        </is>
      </c>
      <c r="B5571" s="12" t="inlineStr">
        <is>
          <t>J</t>
        </is>
      </c>
      <c r="C5571" s="12" t="inlineStr">
        <is>
          <t>GT inlet chilling</t>
        </is>
      </c>
      <c r="D5571" s="12" t="inlineStr">
        <is>
          <t>Motor 4 of 12, 75 kW (VFD output)</t>
        </is>
      </c>
      <c r="E5571" s="12" t="inlineStr"/>
      <c r="F5571" s="12" t="inlineStr">
        <is>
          <t>Inlet-chilling e-house / transformer</t>
        </is>
      </c>
      <c r="G5571" s="12" t="inlineStr"/>
      <c r="H5571" s="12" t="inlineStr">
        <is>
          <t>Inlet-chilling tower (12 cells): chiller heat rejection</t>
        </is>
      </c>
      <c r="I5571" s="12" t="inlineStr">
        <is>
          <t>LV 600 V</t>
        </is>
      </c>
      <c r="J5571" s="12" t="inlineStr">
        <is>
          <t>VFD cable 600 V 3/C Cu XHHW-2, 3 symmetrical grounds, overall Cu tape shield, TC-ER</t>
        </is>
      </c>
      <c r="K5571" s="12" t="inlineStr">
        <is>
          <t>VFD|3/C+3G|2/0</t>
        </is>
      </c>
      <c r="L5571" s="12" t="inlineStr">
        <is>
          <t>3/C+3G</t>
        </is>
      </c>
      <c r="M5571" s="12" t="inlineStr">
        <is>
          <t>2/0</t>
        </is>
      </c>
      <c r="N5571" s="12" t="n">
        <v>1</v>
      </c>
      <c r="O5571" s="12" t="n">
        <v>1</v>
      </c>
      <c r="P5571" s="12" t="n">
        <v>480</v>
      </c>
      <c r="Q5571" s="12" t="n">
        <v>75</v>
      </c>
      <c r="R5571" s="12" t="n">
        <v>106</v>
      </c>
      <c r="S5571" s="12" t="inlineStr">
        <is>
          <t>Duct bank</t>
        </is>
      </c>
      <c r="T5571" s="16" t="n">
        <v>683</v>
      </c>
      <c r="U5571" s="16" t="n">
        <v>38</v>
      </c>
      <c r="V5571" s="16">
        <f>ROUNDUP((T5571+U5571+2*'Read Me'!$B$13)*(1+'Read Me'!$B$12),-1)</f>
        <v/>
      </c>
      <c r="W5571" s="16">
        <f>V5571*N5571*O5571</f>
        <v/>
      </c>
      <c r="X5571" s="12">
        <f>IF(LEFT(I5571,2)="MV",2*N5571*IF(L5571="1/C",O5571,1),0)</f>
        <v/>
      </c>
      <c r="Y5571" s="12">
        <f>IF(OR(LEFT(K5571,4)="LVAX",LEFT(K5571,6)="MV15AX",LEFT(K5571,4)="CTAX",LEFT(K5571,2)="W|"),2*N5571*O5571,0)</f>
        <v/>
      </c>
      <c r="Z5571" s="12" t="inlineStr">
        <is>
          <t>VD 2.9 %</t>
        </is>
      </c>
      <c r="AA5571" s="12">
        <f>N5571*O5571</f>
        <v/>
      </c>
    </row>
    <row r="5572">
      <c r="A5572" s="12" t="inlineStr">
        <is>
          <t>J-P-0016</t>
        </is>
      </c>
      <c r="B5572" s="12" t="inlineStr">
        <is>
          <t>J</t>
        </is>
      </c>
      <c r="C5572" s="12" t="inlineStr">
        <is>
          <t>GT inlet chilling</t>
        </is>
      </c>
      <c r="D5572" s="12" t="inlineStr">
        <is>
          <t>Motor 5 of 12, 75 kW (VFD output)</t>
        </is>
      </c>
      <c r="E5572" s="12" t="inlineStr"/>
      <c r="F5572" s="12" t="inlineStr">
        <is>
          <t>Inlet-chilling e-house / transformer</t>
        </is>
      </c>
      <c r="G5572" s="12" t="inlineStr"/>
      <c r="H5572" s="12" t="inlineStr">
        <is>
          <t>Inlet-chilling tower (12 cells): chiller heat rejection</t>
        </is>
      </c>
      <c r="I5572" s="12" t="inlineStr">
        <is>
          <t>LV 600 V</t>
        </is>
      </c>
      <c r="J5572" s="12" t="inlineStr">
        <is>
          <t>VFD cable 600 V 3/C Cu XHHW-2, 3 symmetrical grounds, overall Cu tape shield, TC-ER</t>
        </is>
      </c>
      <c r="K5572" s="12" t="inlineStr">
        <is>
          <t>VFD|3/C+3G|2/0</t>
        </is>
      </c>
      <c r="L5572" s="12" t="inlineStr">
        <is>
          <t>3/C+3G</t>
        </is>
      </c>
      <c r="M5572" s="12" t="inlineStr">
        <is>
          <t>2/0</t>
        </is>
      </c>
      <c r="N5572" s="12" t="n">
        <v>1</v>
      </c>
      <c r="O5572" s="12" t="n">
        <v>1</v>
      </c>
      <c r="P5572" s="12" t="n">
        <v>480</v>
      </c>
      <c r="Q5572" s="12" t="n">
        <v>75</v>
      </c>
      <c r="R5572" s="12" t="n">
        <v>106</v>
      </c>
      <c r="S5572" s="12" t="inlineStr">
        <is>
          <t>Duct bank</t>
        </is>
      </c>
      <c r="T5572" s="16" t="n">
        <v>683</v>
      </c>
      <c r="U5572" s="16" t="n">
        <v>38</v>
      </c>
      <c r="V5572" s="16">
        <f>ROUNDUP((T5572+U5572+2*'Read Me'!$B$13)*(1+'Read Me'!$B$12),-1)</f>
        <v/>
      </c>
      <c r="W5572" s="16">
        <f>V5572*N5572*O5572</f>
        <v/>
      </c>
      <c r="X5572" s="12">
        <f>IF(LEFT(I5572,2)="MV",2*N5572*IF(L5572="1/C",O5572,1),0)</f>
        <v/>
      </c>
      <c r="Y5572" s="12">
        <f>IF(OR(LEFT(K5572,4)="LVAX",LEFT(K5572,6)="MV15AX",LEFT(K5572,4)="CTAX",LEFT(K5572,2)="W|"),2*N5572*O5572,0)</f>
        <v/>
      </c>
      <c r="Z5572" s="12" t="inlineStr">
        <is>
          <t>VD 2.9 %</t>
        </is>
      </c>
      <c r="AA5572" s="12">
        <f>N5572*O5572</f>
        <v/>
      </c>
    </row>
    <row r="5573">
      <c r="A5573" s="12" t="inlineStr">
        <is>
          <t>J-P-0017</t>
        </is>
      </c>
      <c r="B5573" s="12" t="inlineStr">
        <is>
          <t>J</t>
        </is>
      </c>
      <c r="C5573" s="12" t="inlineStr">
        <is>
          <t>GT inlet chilling</t>
        </is>
      </c>
      <c r="D5573" s="12" t="inlineStr">
        <is>
          <t>Motor 6 of 12, 75 kW (VFD output)</t>
        </is>
      </c>
      <c r="E5573" s="12" t="inlineStr"/>
      <c r="F5573" s="12" t="inlineStr">
        <is>
          <t>Inlet-chilling e-house / transformer</t>
        </is>
      </c>
      <c r="G5573" s="12" t="inlineStr"/>
      <c r="H5573" s="12" t="inlineStr">
        <is>
          <t>Inlet-chilling tower (12 cells): chiller heat rejection</t>
        </is>
      </c>
      <c r="I5573" s="12" t="inlineStr">
        <is>
          <t>LV 600 V</t>
        </is>
      </c>
      <c r="J5573" s="12" t="inlineStr">
        <is>
          <t>VFD cable 600 V 3/C Cu XHHW-2, 3 symmetrical grounds, overall Cu tape shield, TC-ER</t>
        </is>
      </c>
      <c r="K5573" s="12" t="inlineStr">
        <is>
          <t>VFD|3/C+3G|2/0</t>
        </is>
      </c>
      <c r="L5573" s="12" t="inlineStr">
        <is>
          <t>3/C+3G</t>
        </is>
      </c>
      <c r="M5573" s="12" t="inlineStr">
        <is>
          <t>2/0</t>
        </is>
      </c>
      <c r="N5573" s="12" t="n">
        <v>1</v>
      </c>
      <c r="O5573" s="12" t="n">
        <v>1</v>
      </c>
      <c r="P5573" s="12" t="n">
        <v>480</v>
      </c>
      <c r="Q5573" s="12" t="n">
        <v>75</v>
      </c>
      <c r="R5573" s="12" t="n">
        <v>106</v>
      </c>
      <c r="S5573" s="12" t="inlineStr">
        <is>
          <t>Duct bank</t>
        </is>
      </c>
      <c r="T5573" s="16" t="n">
        <v>683</v>
      </c>
      <c r="U5573" s="16" t="n">
        <v>38</v>
      </c>
      <c r="V5573" s="16">
        <f>ROUNDUP((T5573+U5573+2*'Read Me'!$B$13)*(1+'Read Me'!$B$12),-1)</f>
        <v/>
      </c>
      <c r="W5573" s="16">
        <f>V5573*N5573*O5573</f>
        <v/>
      </c>
      <c r="X5573" s="12">
        <f>IF(LEFT(I5573,2)="MV",2*N5573*IF(L5573="1/C",O5573,1),0)</f>
        <v/>
      </c>
      <c r="Y5573" s="12">
        <f>IF(OR(LEFT(K5573,4)="LVAX",LEFT(K5573,6)="MV15AX",LEFT(K5573,4)="CTAX",LEFT(K5573,2)="W|"),2*N5573*O5573,0)</f>
        <v/>
      </c>
      <c r="Z5573" s="12" t="inlineStr">
        <is>
          <t>VD 2.9 %</t>
        </is>
      </c>
      <c r="AA5573" s="12">
        <f>N5573*O5573</f>
        <v/>
      </c>
    </row>
    <row r="5574">
      <c r="A5574" s="12" t="inlineStr">
        <is>
          <t>J-P-0018</t>
        </is>
      </c>
      <c r="B5574" s="12" t="inlineStr">
        <is>
          <t>J</t>
        </is>
      </c>
      <c r="C5574" s="12" t="inlineStr">
        <is>
          <t>GT inlet chilling</t>
        </is>
      </c>
      <c r="D5574" s="12" t="inlineStr">
        <is>
          <t>Motor 7 of 12, 75 kW (VFD output)</t>
        </is>
      </c>
      <c r="E5574" s="12" t="inlineStr"/>
      <c r="F5574" s="12" t="inlineStr">
        <is>
          <t>Inlet-chilling e-house / transformer</t>
        </is>
      </c>
      <c r="G5574" s="12" t="inlineStr"/>
      <c r="H5574" s="12" t="inlineStr">
        <is>
          <t>Inlet-chilling tower (12 cells): chiller heat rejection</t>
        </is>
      </c>
      <c r="I5574" s="12" t="inlineStr">
        <is>
          <t>LV 600 V</t>
        </is>
      </c>
      <c r="J5574" s="12" t="inlineStr">
        <is>
          <t>VFD cable 600 V 3/C Cu XHHW-2, 3 symmetrical grounds, overall Cu tape shield, TC-ER</t>
        </is>
      </c>
      <c r="K5574" s="12" t="inlineStr">
        <is>
          <t>VFD|3/C+3G|2/0</t>
        </is>
      </c>
      <c r="L5574" s="12" t="inlineStr">
        <is>
          <t>3/C+3G</t>
        </is>
      </c>
      <c r="M5574" s="12" t="inlineStr">
        <is>
          <t>2/0</t>
        </is>
      </c>
      <c r="N5574" s="12" t="n">
        <v>1</v>
      </c>
      <c r="O5574" s="12" t="n">
        <v>1</v>
      </c>
      <c r="P5574" s="12" t="n">
        <v>480</v>
      </c>
      <c r="Q5574" s="12" t="n">
        <v>75</v>
      </c>
      <c r="R5574" s="12" t="n">
        <v>106</v>
      </c>
      <c r="S5574" s="12" t="inlineStr">
        <is>
          <t>Duct bank</t>
        </is>
      </c>
      <c r="T5574" s="16" t="n">
        <v>683</v>
      </c>
      <c r="U5574" s="16" t="n">
        <v>38</v>
      </c>
      <c r="V5574" s="16">
        <f>ROUNDUP((T5574+U5574+2*'Read Me'!$B$13)*(1+'Read Me'!$B$12),-1)</f>
        <v/>
      </c>
      <c r="W5574" s="16">
        <f>V5574*N5574*O5574</f>
        <v/>
      </c>
      <c r="X5574" s="12">
        <f>IF(LEFT(I5574,2)="MV",2*N5574*IF(L5574="1/C",O5574,1),0)</f>
        <v/>
      </c>
      <c r="Y5574" s="12">
        <f>IF(OR(LEFT(K5574,4)="LVAX",LEFT(K5574,6)="MV15AX",LEFT(K5574,4)="CTAX",LEFT(K5574,2)="W|"),2*N5574*O5574,0)</f>
        <v/>
      </c>
      <c r="Z5574" s="12" t="inlineStr">
        <is>
          <t>VD 2.9 %</t>
        </is>
      </c>
      <c r="AA5574" s="12">
        <f>N5574*O5574</f>
        <v/>
      </c>
    </row>
    <row r="5575">
      <c r="A5575" s="12" t="inlineStr">
        <is>
          <t>J-P-0019</t>
        </is>
      </c>
      <c r="B5575" s="12" t="inlineStr">
        <is>
          <t>J</t>
        </is>
      </c>
      <c r="C5575" s="12" t="inlineStr">
        <is>
          <t>GT inlet chilling</t>
        </is>
      </c>
      <c r="D5575" s="12" t="inlineStr">
        <is>
          <t>Motor 8 of 12, 75 kW (VFD output)</t>
        </is>
      </c>
      <c r="E5575" s="12" t="inlineStr"/>
      <c r="F5575" s="12" t="inlineStr">
        <is>
          <t>Inlet-chilling e-house / transformer</t>
        </is>
      </c>
      <c r="G5575" s="12" t="inlineStr"/>
      <c r="H5575" s="12" t="inlineStr">
        <is>
          <t>Inlet-chilling tower (12 cells): chiller heat rejection</t>
        </is>
      </c>
      <c r="I5575" s="12" t="inlineStr">
        <is>
          <t>LV 600 V</t>
        </is>
      </c>
      <c r="J5575" s="12" t="inlineStr">
        <is>
          <t>VFD cable 600 V 3/C Cu XHHW-2, 3 symmetrical grounds, overall Cu tape shield, TC-ER</t>
        </is>
      </c>
      <c r="K5575" s="12" t="inlineStr">
        <is>
          <t>VFD|3/C+3G|2/0</t>
        </is>
      </c>
      <c r="L5575" s="12" t="inlineStr">
        <is>
          <t>3/C+3G</t>
        </is>
      </c>
      <c r="M5575" s="12" t="inlineStr">
        <is>
          <t>2/0</t>
        </is>
      </c>
      <c r="N5575" s="12" t="n">
        <v>1</v>
      </c>
      <c r="O5575" s="12" t="n">
        <v>1</v>
      </c>
      <c r="P5575" s="12" t="n">
        <v>480</v>
      </c>
      <c r="Q5575" s="12" t="n">
        <v>75</v>
      </c>
      <c r="R5575" s="12" t="n">
        <v>106</v>
      </c>
      <c r="S5575" s="12" t="inlineStr">
        <is>
          <t>Duct bank</t>
        </is>
      </c>
      <c r="T5575" s="16" t="n">
        <v>683</v>
      </c>
      <c r="U5575" s="16" t="n">
        <v>38</v>
      </c>
      <c r="V5575" s="16">
        <f>ROUNDUP((T5575+U5575+2*'Read Me'!$B$13)*(1+'Read Me'!$B$12),-1)</f>
        <v/>
      </c>
      <c r="W5575" s="16">
        <f>V5575*N5575*O5575</f>
        <v/>
      </c>
      <c r="X5575" s="12">
        <f>IF(LEFT(I5575,2)="MV",2*N5575*IF(L5575="1/C",O5575,1),0)</f>
        <v/>
      </c>
      <c r="Y5575" s="12">
        <f>IF(OR(LEFT(K5575,4)="LVAX",LEFT(K5575,6)="MV15AX",LEFT(K5575,4)="CTAX",LEFT(K5575,2)="W|"),2*N5575*O5575,0)</f>
        <v/>
      </c>
      <c r="Z5575" s="12" t="inlineStr">
        <is>
          <t>VD 2.9 %</t>
        </is>
      </c>
      <c r="AA5575" s="12">
        <f>N5575*O5575</f>
        <v/>
      </c>
    </row>
    <row r="5576">
      <c r="A5576" s="12" t="inlineStr">
        <is>
          <t>J-P-0020</t>
        </is>
      </c>
      <c r="B5576" s="12" t="inlineStr">
        <is>
          <t>J</t>
        </is>
      </c>
      <c r="C5576" s="12" t="inlineStr">
        <is>
          <t>GT inlet chilling</t>
        </is>
      </c>
      <c r="D5576" s="12" t="inlineStr">
        <is>
          <t>Motor 9 of 12, 75 kW (VFD output)</t>
        </is>
      </c>
      <c r="E5576" s="12" t="inlineStr"/>
      <c r="F5576" s="12" t="inlineStr">
        <is>
          <t>Inlet-chilling e-house / transformer</t>
        </is>
      </c>
      <c r="G5576" s="12" t="inlineStr"/>
      <c r="H5576" s="12" t="inlineStr">
        <is>
          <t>Inlet-chilling tower (12 cells): chiller heat rejection</t>
        </is>
      </c>
      <c r="I5576" s="12" t="inlineStr">
        <is>
          <t>LV 600 V</t>
        </is>
      </c>
      <c r="J5576" s="12" t="inlineStr">
        <is>
          <t>VFD cable 600 V 3/C Cu XHHW-2, 3 symmetrical grounds, overall Cu tape shield, TC-ER</t>
        </is>
      </c>
      <c r="K5576" s="12" t="inlineStr">
        <is>
          <t>VFD|3/C+3G|2/0</t>
        </is>
      </c>
      <c r="L5576" s="12" t="inlineStr">
        <is>
          <t>3/C+3G</t>
        </is>
      </c>
      <c r="M5576" s="12" t="inlineStr">
        <is>
          <t>2/0</t>
        </is>
      </c>
      <c r="N5576" s="12" t="n">
        <v>1</v>
      </c>
      <c r="O5576" s="12" t="n">
        <v>1</v>
      </c>
      <c r="P5576" s="12" t="n">
        <v>480</v>
      </c>
      <c r="Q5576" s="12" t="n">
        <v>75</v>
      </c>
      <c r="R5576" s="12" t="n">
        <v>106</v>
      </c>
      <c r="S5576" s="12" t="inlineStr">
        <is>
          <t>Duct bank</t>
        </is>
      </c>
      <c r="T5576" s="16" t="n">
        <v>683</v>
      </c>
      <c r="U5576" s="16" t="n">
        <v>38</v>
      </c>
      <c r="V5576" s="16">
        <f>ROUNDUP((T5576+U5576+2*'Read Me'!$B$13)*(1+'Read Me'!$B$12),-1)</f>
        <v/>
      </c>
      <c r="W5576" s="16">
        <f>V5576*N5576*O5576</f>
        <v/>
      </c>
      <c r="X5576" s="12">
        <f>IF(LEFT(I5576,2)="MV",2*N5576*IF(L5576="1/C",O5576,1),0)</f>
        <v/>
      </c>
      <c r="Y5576" s="12">
        <f>IF(OR(LEFT(K5576,4)="LVAX",LEFT(K5576,6)="MV15AX",LEFT(K5576,4)="CTAX",LEFT(K5576,2)="W|"),2*N5576*O5576,0)</f>
        <v/>
      </c>
      <c r="Z5576" s="12" t="inlineStr">
        <is>
          <t>VD 2.9 %</t>
        </is>
      </c>
      <c r="AA5576" s="12">
        <f>N5576*O5576</f>
        <v/>
      </c>
    </row>
    <row r="5577">
      <c r="A5577" s="12" t="inlineStr">
        <is>
          <t>J-P-0021</t>
        </is>
      </c>
      <c r="B5577" s="12" t="inlineStr">
        <is>
          <t>J</t>
        </is>
      </c>
      <c r="C5577" s="12" t="inlineStr">
        <is>
          <t>GT inlet chilling</t>
        </is>
      </c>
      <c r="D5577" s="12" t="inlineStr">
        <is>
          <t>Motor 10 of 12, 75 kW (VFD output)</t>
        </is>
      </c>
      <c r="E5577" s="12" t="inlineStr"/>
      <c r="F5577" s="12" t="inlineStr">
        <is>
          <t>Inlet-chilling e-house / transformer</t>
        </is>
      </c>
      <c r="G5577" s="12" t="inlineStr"/>
      <c r="H5577" s="12" t="inlineStr">
        <is>
          <t>Inlet-chilling tower (12 cells): chiller heat rejection</t>
        </is>
      </c>
      <c r="I5577" s="12" t="inlineStr">
        <is>
          <t>LV 600 V</t>
        </is>
      </c>
      <c r="J5577" s="12" t="inlineStr">
        <is>
          <t>VFD cable 600 V 3/C Cu XHHW-2, 3 symmetrical grounds, overall Cu tape shield, TC-ER</t>
        </is>
      </c>
      <c r="K5577" s="12" t="inlineStr">
        <is>
          <t>VFD|3/C+3G|2/0</t>
        </is>
      </c>
      <c r="L5577" s="12" t="inlineStr">
        <is>
          <t>3/C+3G</t>
        </is>
      </c>
      <c r="M5577" s="12" t="inlineStr">
        <is>
          <t>2/0</t>
        </is>
      </c>
      <c r="N5577" s="12" t="n">
        <v>1</v>
      </c>
      <c r="O5577" s="12" t="n">
        <v>1</v>
      </c>
      <c r="P5577" s="12" t="n">
        <v>480</v>
      </c>
      <c r="Q5577" s="12" t="n">
        <v>75</v>
      </c>
      <c r="R5577" s="12" t="n">
        <v>106</v>
      </c>
      <c r="S5577" s="12" t="inlineStr">
        <is>
          <t>Duct bank</t>
        </is>
      </c>
      <c r="T5577" s="16" t="n">
        <v>683</v>
      </c>
      <c r="U5577" s="16" t="n">
        <v>38</v>
      </c>
      <c r="V5577" s="16">
        <f>ROUNDUP((T5577+U5577+2*'Read Me'!$B$13)*(1+'Read Me'!$B$12),-1)</f>
        <v/>
      </c>
      <c r="W5577" s="16">
        <f>V5577*N5577*O5577</f>
        <v/>
      </c>
      <c r="X5577" s="12">
        <f>IF(LEFT(I5577,2)="MV",2*N5577*IF(L5577="1/C",O5577,1),0)</f>
        <v/>
      </c>
      <c r="Y5577" s="12">
        <f>IF(OR(LEFT(K5577,4)="LVAX",LEFT(K5577,6)="MV15AX",LEFT(K5577,4)="CTAX",LEFT(K5577,2)="W|"),2*N5577*O5577,0)</f>
        <v/>
      </c>
      <c r="Z5577" s="12" t="inlineStr">
        <is>
          <t>VD 2.9 %</t>
        </is>
      </c>
      <c r="AA5577" s="12">
        <f>N5577*O5577</f>
        <v/>
      </c>
    </row>
    <row r="5578">
      <c r="A5578" s="12" t="inlineStr">
        <is>
          <t>J-P-0022</t>
        </is>
      </c>
      <c r="B5578" s="12" t="inlineStr">
        <is>
          <t>J</t>
        </is>
      </c>
      <c r="C5578" s="12" t="inlineStr">
        <is>
          <t>GT inlet chilling</t>
        </is>
      </c>
      <c r="D5578" s="12" t="inlineStr">
        <is>
          <t>Motor 11 of 12, 75 kW (VFD output)</t>
        </is>
      </c>
      <c r="E5578" s="12" t="inlineStr"/>
      <c r="F5578" s="12" t="inlineStr">
        <is>
          <t>Inlet-chilling e-house / transformer</t>
        </is>
      </c>
      <c r="G5578" s="12" t="inlineStr"/>
      <c r="H5578" s="12" t="inlineStr">
        <is>
          <t>Inlet-chilling tower (12 cells): chiller heat rejection</t>
        </is>
      </c>
      <c r="I5578" s="12" t="inlineStr">
        <is>
          <t>LV 600 V</t>
        </is>
      </c>
      <c r="J5578" s="12" t="inlineStr">
        <is>
          <t>VFD cable 600 V 3/C Cu XHHW-2, 3 symmetrical grounds, overall Cu tape shield, TC-ER</t>
        </is>
      </c>
      <c r="K5578" s="12" t="inlineStr">
        <is>
          <t>VFD|3/C+3G|2/0</t>
        </is>
      </c>
      <c r="L5578" s="12" t="inlineStr">
        <is>
          <t>3/C+3G</t>
        </is>
      </c>
      <c r="M5578" s="12" t="inlineStr">
        <is>
          <t>2/0</t>
        </is>
      </c>
      <c r="N5578" s="12" t="n">
        <v>1</v>
      </c>
      <c r="O5578" s="12" t="n">
        <v>1</v>
      </c>
      <c r="P5578" s="12" t="n">
        <v>480</v>
      </c>
      <c r="Q5578" s="12" t="n">
        <v>75</v>
      </c>
      <c r="R5578" s="12" t="n">
        <v>106</v>
      </c>
      <c r="S5578" s="12" t="inlineStr">
        <is>
          <t>Duct bank</t>
        </is>
      </c>
      <c r="T5578" s="16" t="n">
        <v>683</v>
      </c>
      <c r="U5578" s="16" t="n">
        <v>38</v>
      </c>
      <c r="V5578" s="16">
        <f>ROUNDUP((T5578+U5578+2*'Read Me'!$B$13)*(1+'Read Me'!$B$12),-1)</f>
        <v/>
      </c>
      <c r="W5578" s="16">
        <f>V5578*N5578*O5578</f>
        <v/>
      </c>
      <c r="X5578" s="12">
        <f>IF(LEFT(I5578,2)="MV",2*N5578*IF(L5578="1/C",O5578,1),0)</f>
        <v/>
      </c>
      <c r="Y5578" s="12">
        <f>IF(OR(LEFT(K5578,4)="LVAX",LEFT(K5578,6)="MV15AX",LEFT(K5578,4)="CTAX",LEFT(K5578,2)="W|"),2*N5578*O5578,0)</f>
        <v/>
      </c>
      <c r="Z5578" s="12" t="inlineStr">
        <is>
          <t>VD 2.9 %</t>
        </is>
      </c>
      <c r="AA5578" s="12">
        <f>N5578*O5578</f>
        <v/>
      </c>
    </row>
    <row r="5579">
      <c r="A5579" s="12" t="inlineStr">
        <is>
          <t>J-P-0023</t>
        </is>
      </c>
      <c r="B5579" s="12" t="inlineStr">
        <is>
          <t>J</t>
        </is>
      </c>
      <c r="C5579" s="12" t="inlineStr">
        <is>
          <t>GT inlet chilling</t>
        </is>
      </c>
      <c r="D5579" s="12" t="inlineStr">
        <is>
          <t>Motor 12 of 12, 75 kW (VFD output)</t>
        </is>
      </c>
      <c r="E5579" s="12" t="inlineStr"/>
      <c r="F5579" s="12" t="inlineStr">
        <is>
          <t>Inlet-chilling e-house / transformer</t>
        </is>
      </c>
      <c r="G5579" s="12" t="inlineStr"/>
      <c r="H5579" s="12" t="inlineStr">
        <is>
          <t>Inlet-chilling tower (12 cells): chiller heat rejection</t>
        </is>
      </c>
      <c r="I5579" s="12" t="inlineStr">
        <is>
          <t>LV 600 V</t>
        </is>
      </c>
      <c r="J5579" s="12" t="inlineStr">
        <is>
          <t>VFD cable 600 V 3/C Cu XHHW-2, 3 symmetrical grounds, overall Cu tape shield, TC-ER</t>
        </is>
      </c>
      <c r="K5579" s="12" t="inlineStr">
        <is>
          <t>VFD|3/C+3G|2/0</t>
        </is>
      </c>
      <c r="L5579" s="12" t="inlineStr">
        <is>
          <t>3/C+3G</t>
        </is>
      </c>
      <c r="M5579" s="12" t="inlineStr">
        <is>
          <t>2/0</t>
        </is>
      </c>
      <c r="N5579" s="12" t="n">
        <v>1</v>
      </c>
      <c r="O5579" s="12" t="n">
        <v>1</v>
      </c>
      <c r="P5579" s="12" t="n">
        <v>480</v>
      </c>
      <c r="Q5579" s="12" t="n">
        <v>75</v>
      </c>
      <c r="R5579" s="12" t="n">
        <v>106</v>
      </c>
      <c r="S5579" s="12" t="inlineStr">
        <is>
          <t>Duct bank</t>
        </is>
      </c>
      <c r="T5579" s="16" t="n">
        <v>683</v>
      </c>
      <c r="U5579" s="16" t="n">
        <v>38</v>
      </c>
      <c r="V5579" s="16">
        <f>ROUNDUP((T5579+U5579+2*'Read Me'!$B$13)*(1+'Read Me'!$B$12),-1)</f>
        <v/>
      </c>
      <c r="W5579" s="16">
        <f>V5579*N5579*O5579</f>
        <v/>
      </c>
      <c r="X5579" s="12">
        <f>IF(LEFT(I5579,2)="MV",2*N5579*IF(L5579="1/C",O5579,1),0)</f>
        <v/>
      </c>
      <c r="Y5579" s="12">
        <f>IF(OR(LEFT(K5579,4)="LVAX",LEFT(K5579,6)="MV15AX",LEFT(K5579,4)="CTAX",LEFT(K5579,2)="W|"),2*N5579*O5579,0)</f>
        <v/>
      </c>
      <c r="Z5579" s="12" t="inlineStr">
        <is>
          <t>VD 2.9 %</t>
        </is>
      </c>
      <c r="AA5579" s="12">
        <f>N5579*O5579</f>
        <v/>
      </c>
    </row>
    <row r="5580">
      <c r="A5580" s="12" t="inlineStr">
        <is>
          <t>J-P-0024</t>
        </is>
      </c>
      <c r="B5580" s="12" t="inlineStr">
        <is>
          <t>J</t>
        </is>
      </c>
      <c r="C5580" s="12" t="inlineStr">
        <is>
          <t>GT inlet chilling</t>
        </is>
      </c>
      <c r="D5580" s="12" t="inlineStr">
        <is>
          <t>Area / platform lighting circuit 1 (12 fixtures)</t>
        </is>
      </c>
      <c r="E5580" s="12" t="inlineStr"/>
      <c r="F5580" s="12" t="inlineStr">
        <is>
          <t>Inlet-chilling e-house / transformer</t>
        </is>
      </c>
      <c r="G5580" s="12" t="inlineStr"/>
      <c r="H5580" s="12" t="inlineStr">
        <is>
          <t>Inlet-chilling tower (12 cells): chiller heat rejection</t>
        </is>
      </c>
      <c r="I5580" s="12" t="inlineStr">
        <is>
          <t>LV 600 V</t>
        </is>
      </c>
      <c r="J5580" s="12" t="inlineStr">
        <is>
          <t>Type TC-ER 600 V 3/C Cu XHHW-2 + ground, PVC jacket</t>
        </is>
      </c>
      <c r="K5580" s="12" t="inlineStr">
        <is>
          <t>LV|3/C+G|10</t>
        </is>
      </c>
      <c r="L5580" s="12" t="inlineStr">
        <is>
          <t>3/C+G</t>
        </is>
      </c>
      <c r="M5580" s="12" t="inlineStr">
        <is>
          <t>10</t>
        </is>
      </c>
      <c r="N5580" s="12" t="n">
        <v>1</v>
      </c>
      <c r="O5580" s="12" t="n">
        <v>1</v>
      </c>
      <c r="P5580" s="12" t="n">
        <v>480</v>
      </c>
      <c r="Q5580" s="12" t="n">
        <v>3</v>
      </c>
      <c r="R5580" s="12" t="n">
        <v>5</v>
      </c>
      <c r="S5580" s="12" t="inlineStr">
        <is>
          <t>Duct bank</t>
        </is>
      </c>
      <c r="T5580" s="16" t="n">
        <v>778</v>
      </c>
      <c r="U5580" s="16" t="n">
        <v>38</v>
      </c>
      <c r="V5580" s="16">
        <f>ROUNDUP((T5580+U5580+2*'Read Me'!$B$13)*(1+'Read Me'!$B$12),-1)</f>
        <v/>
      </c>
      <c r="W5580" s="16">
        <f>V5580*N5580*O5580</f>
        <v/>
      </c>
      <c r="X5580" s="12">
        <f>IF(LEFT(I5580,2)="MV",2*N5580*IF(L5580="1/C",O5580,1),0)</f>
        <v/>
      </c>
      <c r="Y5580" s="12">
        <f>IF(OR(LEFT(K5580,4)="LVAX",LEFT(K5580,6)="MV15AX",LEFT(K5580,4)="CTAX",LEFT(K5580,2)="W|"),2*N5580*O5580,0)</f>
        <v/>
      </c>
      <c r="Z5580" s="12" t="inlineStr">
        <is>
          <t>fixture-to-fixture run included</t>
        </is>
      </c>
      <c r="AA5580" s="12">
        <f>N5580*O5580</f>
        <v/>
      </c>
    </row>
    <row r="5581">
      <c r="A5581" s="12" t="inlineStr">
        <is>
          <t>J-MV-0001</t>
        </is>
      </c>
      <c r="B5581" s="12" t="inlineStr">
        <is>
          <t>J</t>
        </is>
      </c>
      <c r="C5581" s="12" t="inlineStr">
        <is>
          <t>GT inlet chilling</t>
        </is>
      </c>
      <c r="D5581" s="12" t="inlineStr">
        <is>
          <t>Inlet-chilling e-house / transformer</t>
        </is>
      </c>
      <c r="E5581" s="12" t="inlineStr">
        <is>
          <t>SWGR-13.8-1</t>
        </is>
      </c>
      <c r="F5581" s="12" t="inlineStr">
        <is>
          <t>R1 SWGR-13.8-1 (11 x 36 in cubicles, 15 kV metal-clad)</t>
        </is>
      </c>
      <c r="G5581" s="12" t="inlineStr"/>
      <c r="H5581" s="12" t="inlineStr">
        <is>
          <t>Inlet-chilling e-house / transformer</t>
        </is>
      </c>
      <c r="I5581" s="12" t="inlineStr">
        <is>
          <t>MV 15 kV</t>
        </is>
      </c>
      <c r="J5581" s="12" t="inlineStr">
        <is>
          <t>MV-105 15 kV 1/C Cu, EPR 133%, Cu tape shield, PVC jacket (triplexed)</t>
        </is>
      </c>
      <c r="K5581" s="12" t="inlineStr">
        <is>
          <t>MV15|1/C|1000</t>
        </is>
      </c>
      <c r="L5581" s="12" t="inlineStr">
        <is>
          <t>1/C</t>
        </is>
      </c>
      <c r="M5581" s="12" t="inlineStr">
        <is>
          <t>1000 kcmil</t>
        </is>
      </c>
      <c r="N5581" s="12" t="n">
        <v>1</v>
      </c>
      <c r="O5581" s="12" t="n">
        <v>3</v>
      </c>
      <c r="P5581" s="12" t="n">
        <v>13800</v>
      </c>
      <c r="Q5581" s="12" t="n">
        <v>12000</v>
      </c>
      <c r="R5581" s="12" t="n">
        <v>502</v>
      </c>
      <c r="S5581" s="12" t="inlineStr">
        <is>
          <t>Duct bank</t>
        </is>
      </c>
      <c r="T5581" s="16" t="n">
        <v>629</v>
      </c>
      <c r="U5581" s="16" t="n">
        <v>38</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J-MV-0002</t>
        </is>
      </c>
      <c r="B5582" s="12" t="inlineStr">
        <is>
          <t>J</t>
        </is>
      </c>
      <c r="C5582" s="12" t="inlineStr">
        <is>
          <t>GT inlet chilling</t>
        </is>
      </c>
      <c r="D5582" s="12" t="inlineStr">
        <is>
          <t>Inlet-chilling CW pump 1</t>
        </is>
      </c>
      <c r="E5582" s="12" t="inlineStr"/>
      <c r="F5582" s="12" t="inlineStr">
        <is>
          <t>Inlet-chilling e-house / transformer</t>
        </is>
      </c>
      <c r="G5582" s="12" t="inlineStr"/>
      <c r="H5582" s="12" t="inlineStr">
        <is>
          <t>CW pumps (inlet chilling)</t>
        </is>
      </c>
      <c r="I5582" s="12" t="inlineStr">
        <is>
          <t>MV 5 kV</t>
        </is>
      </c>
      <c r="J5582" s="12" t="inlineStr">
        <is>
          <t>MV-105 5 kV 3/C Cu, EPR 133%, tape shield, gnd, PVC jacket</t>
        </is>
      </c>
      <c r="K5582" s="12" t="inlineStr">
        <is>
          <t>MV5|3/C|2</t>
        </is>
      </c>
      <c r="L5582" s="12" t="inlineStr">
        <is>
          <t>3/C</t>
        </is>
      </c>
      <c r="M5582" s="12" t="inlineStr">
        <is>
          <t>2</t>
        </is>
      </c>
      <c r="N5582" s="12" t="n">
        <v>1</v>
      </c>
      <c r="O5582" s="12" t="n">
        <v>1</v>
      </c>
      <c r="P5582" s="12" t="n">
        <v>4160</v>
      </c>
      <c r="Q5582" s="12" t="n">
        <v>450</v>
      </c>
      <c r="R5582" s="12" t="n">
        <v>69</v>
      </c>
      <c r="S5582" s="12" t="inlineStr">
        <is>
          <t>Tray</t>
        </is>
      </c>
      <c r="T5582" s="16" t="n">
        <v>0</v>
      </c>
      <c r="U5582" s="16" t="n">
        <v>70</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J-MV-0003</t>
        </is>
      </c>
      <c r="B5583" s="12" t="inlineStr">
        <is>
          <t>J</t>
        </is>
      </c>
      <c r="C5583" s="12" t="inlineStr">
        <is>
          <t>GT inlet chilling</t>
        </is>
      </c>
      <c r="D5583" s="12" t="inlineStr">
        <is>
          <t>Inlet-chilling CW pump 2</t>
        </is>
      </c>
      <c r="E5583" s="12" t="inlineStr"/>
      <c r="F5583" s="12" t="inlineStr">
        <is>
          <t>Inlet-chilling e-house / transformer</t>
        </is>
      </c>
      <c r="G5583" s="12" t="inlineStr"/>
      <c r="H5583" s="12" t="inlineStr">
        <is>
          <t>CW pumps (inlet chilling)</t>
        </is>
      </c>
      <c r="I5583" s="12" t="inlineStr">
        <is>
          <t>MV 5 kV</t>
        </is>
      </c>
      <c r="J5583" s="12" t="inlineStr">
        <is>
          <t>MV-105 5 kV 3/C Cu, EPR 133%, tape shield, gnd, PVC jacket</t>
        </is>
      </c>
      <c r="K5583" s="12" t="inlineStr">
        <is>
          <t>MV5|3/C|2</t>
        </is>
      </c>
      <c r="L5583" s="12" t="inlineStr">
        <is>
          <t>3/C</t>
        </is>
      </c>
      <c r="M5583" s="12" t="inlineStr">
        <is>
          <t>2</t>
        </is>
      </c>
      <c r="N5583" s="12" t="n">
        <v>1</v>
      </c>
      <c r="O5583" s="12" t="n">
        <v>1</v>
      </c>
      <c r="P5583" s="12" t="n">
        <v>4160</v>
      </c>
      <c r="Q5583" s="12" t="n">
        <v>450</v>
      </c>
      <c r="R5583" s="12" t="n">
        <v>69</v>
      </c>
      <c r="S5583" s="12" t="inlineStr">
        <is>
          <t>Tray</t>
        </is>
      </c>
      <c r="T5583" s="16" t="n">
        <v>0</v>
      </c>
      <c r="U5583" s="16" t="n">
        <v>70</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J-MV-0004</t>
        </is>
      </c>
      <c r="B5584" s="12" t="inlineStr">
        <is>
          <t>J</t>
        </is>
      </c>
      <c r="C5584" s="12" t="inlineStr">
        <is>
          <t>GT inlet chilling</t>
        </is>
      </c>
      <c r="D5584" s="12" t="inlineStr">
        <is>
          <t>Inlet-chilling CW pump 3</t>
        </is>
      </c>
      <c r="E5584" s="12" t="inlineStr"/>
      <c r="F5584" s="12" t="inlineStr">
        <is>
          <t>Inlet-chilling e-house / transformer</t>
        </is>
      </c>
      <c r="G5584" s="12" t="inlineStr"/>
      <c r="H5584" s="12" t="inlineStr">
        <is>
          <t>CW pumps (inlet chilling)</t>
        </is>
      </c>
      <c r="I5584" s="12" t="inlineStr">
        <is>
          <t>MV 5 kV</t>
        </is>
      </c>
      <c r="J5584" s="12" t="inlineStr">
        <is>
          <t>MV-105 5 kV 3/C Cu, EPR 133%, tape shield, gnd, PVC jacket</t>
        </is>
      </c>
      <c r="K5584" s="12" t="inlineStr">
        <is>
          <t>MV5|3/C|2</t>
        </is>
      </c>
      <c r="L5584" s="12" t="inlineStr">
        <is>
          <t>3/C</t>
        </is>
      </c>
      <c r="M5584" s="12" t="inlineStr">
        <is>
          <t>2</t>
        </is>
      </c>
      <c r="N5584" s="12" t="n">
        <v>1</v>
      </c>
      <c r="O5584" s="12" t="n">
        <v>1</v>
      </c>
      <c r="P5584" s="12" t="n">
        <v>4160</v>
      </c>
      <c r="Q5584" s="12" t="n">
        <v>450</v>
      </c>
      <c r="R5584" s="12" t="n">
        <v>69</v>
      </c>
      <c r="S5584" s="12" t="inlineStr">
        <is>
          <t>Tray</t>
        </is>
      </c>
      <c r="T5584" s="16" t="n">
        <v>0</v>
      </c>
      <c r="U5584" s="16" t="n">
        <v>70</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J-MV-0005</t>
        </is>
      </c>
      <c r="B5585" s="12" t="inlineStr">
        <is>
          <t>J</t>
        </is>
      </c>
      <c r="C5585" s="12" t="inlineStr">
        <is>
          <t>GT inlet chilling</t>
        </is>
      </c>
      <c r="D5585" s="12" t="inlineStr">
        <is>
          <t>Inlet-chilling CW pump 4</t>
        </is>
      </c>
      <c r="E5585" s="12" t="inlineStr"/>
      <c r="F5585" s="12" t="inlineStr">
        <is>
          <t>Inlet-chilling e-house / transformer</t>
        </is>
      </c>
      <c r="G5585" s="12" t="inlineStr"/>
      <c r="H5585" s="12" t="inlineStr">
        <is>
          <t>CW pumps (inlet chilling)</t>
        </is>
      </c>
      <c r="I5585" s="12" t="inlineStr">
        <is>
          <t>MV 5 kV</t>
        </is>
      </c>
      <c r="J5585" s="12" t="inlineStr">
        <is>
          <t>MV-105 5 kV 3/C Cu, EPR 133%, tape shield, gnd, PVC jacket</t>
        </is>
      </c>
      <c r="K5585" s="12" t="inlineStr">
        <is>
          <t>MV5|3/C|2</t>
        </is>
      </c>
      <c r="L5585" s="12" t="inlineStr">
        <is>
          <t>3/C</t>
        </is>
      </c>
      <c r="M5585" s="12" t="inlineStr">
        <is>
          <t>2</t>
        </is>
      </c>
      <c r="N5585" s="12" t="n">
        <v>1</v>
      </c>
      <c r="O5585" s="12" t="n">
        <v>1</v>
      </c>
      <c r="P5585" s="12" t="n">
        <v>4160</v>
      </c>
      <c r="Q5585" s="12" t="n">
        <v>450</v>
      </c>
      <c r="R5585" s="12" t="n">
        <v>69</v>
      </c>
      <c r="S5585" s="12" t="inlineStr">
        <is>
          <t>Tray</t>
        </is>
      </c>
      <c r="T5585" s="16" t="n">
        <v>0</v>
      </c>
      <c r="U5585" s="16" t="n">
        <v>70</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J-MV-0006</t>
        </is>
      </c>
      <c r="B5586" s="12" t="inlineStr">
        <is>
          <t>J</t>
        </is>
      </c>
      <c r="C5586" s="12" t="inlineStr">
        <is>
          <t>GT inlet chilling</t>
        </is>
      </c>
      <c r="D5586" s="12" t="inlineStr">
        <is>
          <t>Water-cooled chiller CH-1</t>
        </is>
      </c>
      <c r="E5586" s="12" t="inlineStr"/>
      <c r="F5586" s="12" t="inlineStr">
        <is>
          <t>Inlet-chilling e-house / transformer</t>
        </is>
      </c>
      <c r="G5586" s="12" t="inlineStr"/>
      <c r="H5586" s="12" t="inlineStr">
        <is>
          <t>Chillers x6 (water-cooled)</t>
        </is>
      </c>
      <c r="I5586" s="12" t="inlineStr">
        <is>
          <t>MV 5 kV</t>
        </is>
      </c>
      <c r="J5586" s="12" t="inlineStr">
        <is>
          <t>MV-105 5 kV 3/C Cu, EPR 133%, tape shield, gnd, PVC jacket</t>
        </is>
      </c>
      <c r="K5586" s="12" t="inlineStr">
        <is>
          <t>MV5|3/C|250</t>
        </is>
      </c>
      <c r="L5586" s="12" t="inlineStr">
        <is>
          <t>3/C</t>
        </is>
      </c>
      <c r="M5586" s="12" t="inlineStr">
        <is>
          <t>250 kcmil</t>
        </is>
      </c>
      <c r="N5586" s="12" t="n">
        <v>1</v>
      </c>
      <c r="O5586" s="12" t="n">
        <v>1</v>
      </c>
      <c r="P5586" s="12" t="n">
        <v>4160</v>
      </c>
      <c r="Q5586" s="12" t="n">
        <v>1500</v>
      </c>
      <c r="R5586" s="12" t="n">
        <v>231</v>
      </c>
      <c r="S5586" s="12" t="inlineStr">
        <is>
          <t>Duct bank</t>
        </is>
      </c>
      <c r="T5586" s="16" t="n">
        <v>10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J-MV-0007</t>
        </is>
      </c>
      <c r="B5587" s="12" t="inlineStr">
        <is>
          <t>J</t>
        </is>
      </c>
      <c r="C5587" s="12" t="inlineStr">
        <is>
          <t>GT inlet chilling</t>
        </is>
      </c>
      <c r="D5587" s="12" t="inlineStr">
        <is>
          <t>Water-cooled chiller CH-2</t>
        </is>
      </c>
      <c r="E5587" s="12" t="inlineStr"/>
      <c r="F5587" s="12" t="inlineStr">
        <is>
          <t>Inlet-chilling e-house / transformer</t>
        </is>
      </c>
      <c r="G5587" s="12" t="inlineStr"/>
      <c r="H5587" s="12" t="inlineStr">
        <is>
          <t>Chillers x6 (water-cooled)</t>
        </is>
      </c>
      <c r="I5587" s="12" t="inlineStr">
        <is>
          <t>MV 5 kV</t>
        </is>
      </c>
      <c r="J5587" s="12" t="inlineStr">
        <is>
          <t>MV-105 5 kV 3/C Cu, EPR 133%, tape shield, gnd, PVC jacket</t>
        </is>
      </c>
      <c r="K5587" s="12" t="inlineStr">
        <is>
          <t>MV5|3/C|250</t>
        </is>
      </c>
      <c r="L5587" s="12" t="inlineStr">
        <is>
          <t>3/C</t>
        </is>
      </c>
      <c r="M5587" s="12" t="inlineStr">
        <is>
          <t>250 kcmil</t>
        </is>
      </c>
      <c r="N5587" s="12" t="n">
        <v>1</v>
      </c>
      <c r="O5587" s="12" t="n">
        <v>1</v>
      </c>
      <c r="P5587" s="12" t="n">
        <v>4160</v>
      </c>
      <c r="Q5587" s="12" t="n">
        <v>1500</v>
      </c>
      <c r="R5587" s="12" t="n">
        <v>231</v>
      </c>
      <c r="S5587" s="12" t="inlineStr">
        <is>
          <t>Duct bank</t>
        </is>
      </c>
      <c r="T5587" s="16" t="n">
        <v>10</v>
      </c>
      <c r="U5587" s="16" t="n">
        <v>32</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J-MV-0008</t>
        </is>
      </c>
      <c r="B5588" s="12" t="inlineStr">
        <is>
          <t>J</t>
        </is>
      </c>
      <c r="C5588" s="12" t="inlineStr">
        <is>
          <t>GT inlet chilling</t>
        </is>
      </c>
      <c r="D5588" s="12" t="inlineStr">
        <is>
          <t>Water-cooled chiller CH-3</t>
        </is>
      </c>
      <c r="E5588" s="12" t="inlineStr"/>
      <c r="F5588" s="12" t="inlineStr">
        <is>
          <t>Inlet-chilling e-house / transformer</t>
        </is>
      </c>
      <c r="G5588" s="12" t="inlineStr"/>
      <c r="H5588" s="12" t="inlineStr">
        <is>
          <t>Chillers x6 (water-cooled)</t>
        </is>
      </c>
      <c r="I5588" s="12" t="inlineStr">
        <is>
          <t>MV 5 kV</t>
        </is>
      </c>
      <c r="J5588" s="12" t="inlineStr">
        <is>
          <t>MV-105 5 kV 3/C Cu, EPR 133%, tape shield, gnd, PVC jacket</t>
        </is>
      </c>
      <c r="K5588" s="12" t="inlineStr">
        <is>
          <t>MV5|3/C|250</t>
        </is>
      </c>
      <c r="L5588" s="12" t="inlineStr">
        <is>
          <t>3/C</t>
        </is>
      </c>
      <c r="M5588" s="12" t="inlineStr">
        <is>
          <t>250 kcmil</t>
        </is>
      </c>
      <c r="N5588" s="12" t="n">
        <v>1</v>
      </c>
      <c r="O5588" s="12" t="n">
        <v>1</v>
      </c>
      <c r="P5588" s="12" t="n">
        <v>4160</v>
      </c>
      <c r="Q5588" s="12" t="n">
        <v>1500</v>
      </c>
      <c r="R5588" s="12" t="n">
        <v>231</v>
      </c>
      <c r="S5588" s="12" t="inlineStr">
        <is>
          <t>Duct bank</t>
        </is>
      </c>
      <c r="T5588" s="16" t="n">
        <v>10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J-MV-0009</t>
        </is>
      </c>
      <c r="B5589" s="12" t="inlineStr">
        <is>
          <t>J</t>
        </is>
      </c>
      <c r="C5589" s="12" t="inlineStr">
        <is>
          <t>GT inlet chilling</t>
        </is>
      </c>
      <c r="D5589" s="12" t="inlineStr">
        <is>
          <t>Water-cooled chiller CH-4</t>
        </is>
      </c>
      <c r="E5589" s="12" t="inlineStr"/>
      <c r="F5589" s="12" t="inlineStr">
        <is>
          <t>Inlet-chilling e-house / transformer</t>
        </is>
      </c>
      <c r="G5589" s="12" t="inlineStr"/>
      <c r="H5589" s="12" t="inlineStr">
        <is>
          <t>Chillers x6 (water-cooled)</t>
        </is>
      </c>
      <c r="I5589" s="12" t="inlineStr">
        <is>
          <t>MV 5 kV</t>
        </is>
      </c>
      <c r="J5589" s="12" t="inlineStr">
        <is>
          <t>MV-105 5 kV 3/C Cu, EPR 133%, tape shield, gnd, PVC jacket</t>
        </is>
      </c>
      <c r="K5589" s="12" t="inlineStr">
        <is>
          <t>MV5|3/C|250</t>
        </is>
      </c>
      <c r="L5589" s="12" t="inlineStr">
        <is>
          <t>3/C</t>
        </is>
      </c>
      <c r="M5589" s="12" t="inlineStr">
        <is>
          <t>250 kcmil</t>
        </is>
      </c>
      <c r="N5589" s="12" t="n">
        <v>1</v>
      </c>
      <c r="O5589" s="12" t="n">
        <v>1</v>
      </c>
      <c r="P5589" s="12" t="n">
        <v>4160</v>
      </c>
      <c r="Q5589" s="12" t="n">
        <v>1500</v>
      </c>
      <c r="R5589" s="12" t="n">
        <v>231</v>
      </c>
      <c r="S5589" s="12" t="inlineStr">
        <is>
          <t>Duct bank</t>
        </is>
      </c>
      <c r="T5589" s="16" t="n">
        <v>10</v>
      </c>
      <c r="U5589" s="16" t="n">
        <v>32</v>
      </c>
      <c r="V5589" s="16">
        <f>ROUNDUP((T5589+U5589+2*'Read Me'!$B$13)*(1+'Read Me'!$B$12),-1)</f>
        <v/>
      </c>
      <c r="W5589" s="16">
        <f>V5589*N5589*O5589</f>
        <v/>
      </c>
      <c r="X5589" s="12">
        <f>IF(LEFT(I5589,2)="MV",2*N5589*IF(L5589="1/C",O5589,1),0)</f>
        <v/>
      </c>
      <c r="Y5589" s="12">
        <f>IF(OR(LEFT(K5589,4)="LVAX",LEFT(K5589,6)="MV15AX",LEFT(K5589,4)="CTAX",LEFT(K5589,2)="W|"),2*N5589*O5589,0)</f>
        <v/>
      </c>
      <c r="Z5589" s="12" t="inlineStr"/>
      <c r="AA5589" s="12">
        <f>N5589*O5589</f>
        <v/>
      </c>
    </row>
    <row r="5590">
      <c r="A5590" s="12" t="inlineStr">
        <is>
          <t>J-MV-0010</t>
        </is>
      </c>
      <c r="B5590" s="12" t="inlineStr">
        <is>
          <t>J</t>
        </is>
      </c>
      <c r="C5590" s="12" t="inlineStr">
        <is>
          <t>GT inlet chilling</t>
        </is>
      </c>
      <c r="D5590" s="12" t="inlineStr">
        <is>
          <t>Water-cooled chiller CH-5</t>
        </is>
      </c>
      <c r="E5590" s="12" t="inlineStr"/>
      <c r="F5590" s="12" t="inlineStr">
        <is>
          <t>Inlet-chilling e-house / transformer</t>
        </is>
      </c>
      <c r="G5590" s="12" t="inlineStr"/>
      <c r="H5590" s="12" t="inlineStr">
        <is>
          <t>Chillers x6 (water-cooled)</t>
        </is>
      </c>
      <c r="I5590" s="12" t="inlineStr">
        <is>
          <t>MV 5 kV</t>
        </is>
      </c>
      <c r="J5590" s="12" t="inlineStr">
        <is>
          <t>MV-105 5 kV 3/C Cu, EPR 133%, tape shield, gnd, PVC jacket</t>
        </is>
      </c>
      <c r="K5590" s="12" t="inlineStr">
        <is>
          <t>MV5|3/C|250</t>
        </is>
      </c>
      <c r="L5590" s="12" t="inlineStr">
        <is>
          <t>3/C</t>
        </is>
      </c>
      <c r="M5590" s="12" t="inlineStr">
        <is>
          <t>250 kcmil</t>
        </is>
      </c>
      <c r="N5590" s="12" t="n">
        <v>1</v>
      </c>
      <c r="O5590" s="12" t="n">
        <v>1</v>
      </c>
      <c r="P5590" s="12" t="n">
        <v>4160</v>
      </c>
      <c r="Q5590" s="12" t="n">
        <v>1500</v>
      </c>
      <c r="R5590" s="12" t="n">
        <v>231</v>
      </c>
      <c r="S5590" s="12" t="inlineStr">
        <is>
          <t>Duct bank</t>
        </is>
      </c>
      <c r="T5590" s="16" t="n">
        <v>10</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J-MV-0011</t>
        </is>
      </c>
      <c r="B5591" s="12" t="inlineStr">
        <is>
          <t>J</t>
        </is>
      </c>
      <c r="C5591" s="12" t="inlineStr">
        <is>
          <t>GT inlet chilling</t>
        </is>
      </c>
      <c r="D5591" s="12" t="inlineStr">
        <is>
          <t>Water-cooled chiller CH-6</t>
        </is>
      </c>
      <c r="E5591" s="12" t="inlineStr"/>
      <c r="F5591" s="12" t="inlineStr">
        <is>
          <t>Inlet-chilling e-house / transformer</t>
        </is>
      </c>
      <c r="G5591" s="12" t="inlineStr"/>
      <c r="H5591" s="12" t="inlineStr">
        <is>
          <t>Chillers x6 (water-cooled)</t>
        </is>
      </c>
      <c r="I5591" s="12" t="inlineStr">
        <is>
          <t>MV 5 kV</t>
        </is>
      </c>
      <c r="J5591" s="12" t="inlineStr">
        <is>
          <t>MV-105 5 kV 3/C Cu, EPR 133%, tape shield, gnd, PVC jacket</t>
        </is>
      </c>
      <c r="K5591" s="12" t="inlineStr">
        <is>
          <t>MV5|3/C|250</t>
        </is>
      </c>
      <c r="L5591" s="12" t="inlineStr">
        <is>
          <t>3/C</t>
        </is>
      </c>
      <c r="M5591" s="12" t="inlineStr">
        <is>
          <t>250 kcmil</t>
        </is>
      </c>
      <c r="N5591" s="12" t="n">
        <v>1</v>
      </c>
      <c r="O5591" s="12" t="n">
        <v>1</v>
      </c>
      <c r="P5591" s="12" t="n">
        <v>4160</v>
      </c>
      <c r="Q5591" s="12" t="n">
        <v>1500</v>
      </c>
      <c r="R5591" s="12" t="n">
        <v>231</v>
      </c>
      <c r="S5591" s="12" t="inlineStr">
        <is>
          <t>Duct bank</t>
        </is>
      </c>
      <c r="T5591" s="16" t="n">
        <v>10</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K-L-0001</t>
        </is>
      </c>
      <c r="B5592" s="12" t="inlineStr">
        <is>
          <t>K</t>
        </is>
      </c>
      <c r="C5592" s="12" t="inlineStr">
        <is>
          <t>Fuel supply (adjacent market)</t>
        </is>
      </c>
      <c r="D5592" s="12" t="inlineStr">
        <is>
          <t>Lighting, receptacles and small power branch circuits (allowance)</t>
        </is>
      </c>
      <c r="E5592" s="12" t="inlineStr"/>
      <c r="F5592" s="12" t="inlineStr">
        <is>
          <t>H2 20: 13.8 kV e-house</t>
        </is>
      </c>
      <c r="G5592" s="12" t="inlineStr"/>
      <c r="H5592" s="12" t="inlineStr">
        <is>
          <t>H2 20: 13.8 kV e-house</t>
        </is>
      </c>
      <c r="I5592" s="12" t="inlineStr">
        <is>
          <t>Building wire</t>
        </is>
      </c>
      <c r="J5592" s="12" t="inlineStr">
        <is>
          <t>SIMpull THHN/THWN-2 600 V 1/C Cu (lighting, receptacles, small power)</t>
        </is>
      </c>
      <c r="K5592" s="12" t="inlineStr">
        <is>
          <t>THHN|1/C|12</t>
        </is>
      </c>
      <c r="L5592" s="12" t="inlineStr">
        <is>
          <t>1/C</t>
        </is>
      </c>
      <c r="M5592" s="12" t="inlineStr">
        <is>
          <t>12</t>
        </is>
      </c>
      <c r="N5592" s="12" t="n">
        <v>1</v>
      </c>
      <c r="O5592" s="12" t="n">
        <v>1</v>
      </c>
      <c r="P5592" s="12" t="n">
        <v>277</v>
      </c>
      <c r="Q5592" s="12" t="n"/>
      <c r="R5592" s="12" t="n"/>
      <c r="S5592" s="12" t="inlineStr">
        <is>
          <t>Conduit</t>
        </is>
      </c>
      <c r="T5592" s="16" t="n">
        <v>1536</v>
      </c>
      <c r="U5592" s="16" t="n">
        <v>0</v>
      </c>
      <c r="V5592" s="16">
        <f>ROUNDUP((T5592+U5592+2*'Read Me'!$B$13)*(1+'Read Me'!$B$12),-1)</f>
        <v/>
      </c>
      <c r="W5592" s="16">
        <f>V5592*N5592*O5592</f>
        <v/>
      </c>
      <c r="X5592" s="12">
        <f>IF(LEFT(I5592,2)="MV",2*N5592*IF(L5592="1/C",O5592,1),0)</f>
        <v/>
      </c>
      <c r="Y5592" s="12">
        <f>IF(OR(LEFT(K5592,4)="LVAX",LEFT(K5592,6)="MV15AX",LEFT(K5592,4)="CTAX",LEFT(K5592,2)="W|"),2*N5592*O5592,0)</f>
        <v/>
      </c>
      <c r="Z5592" s="12" t="inlineStr">
        <is>
          <t>allowance: 1.6 ft of conductor per ft2 of floor</t>
        </is>
      </c>
      <c r="AA5592" s="12">
        <f>N5592*O5592</f>
        <v/>
      </c>
    </row>
    <row r="5593">
      <c r="A5593" s="12" t="inlineStr">
        <is>
          <t>K-L-0002</t>
        </is>
      </c>
      <c r="B5593" s="12" t="inlineStr">
        <is>
          <t>K</t>
        </is>
      </c>
      <c r="C5593" s="12" t="inlineStr">
        <is>
          <t>Fuel supply (adjacent market)</t>
        </is>
      </c>
      <c r="D5593" s="12" t="inlineStr">
        <is>
          <t>Lighting, receptacles and small power branch circuits (allowance)</t>
        </is>
      </c>
      <c r="E5593" s="12" t="inlineStr"/>
      <c r="F5593" s="12" t="inlineStr">
        <is>
          <t>LNG 17: LNG e-house (13.8 kV / 480 V)</t>
        </is>
      </c>
      <c r="G5593" s="12" t="inlineStr"/>
      <c r="H5593" s="12" t="inlineStr">
        <is>
          <t>LNG 17: LNG e-house (13.8 kV / 480 V)</t>
        </is>
      </c>
      <c r="I5593" s="12" t="inlineStr">
        <is>
          <t>Building wire</t>
        </is>
      </c>
      <c r="J5593" s="12" t="inlineStr">
        <is>
          <t>SIMpull THHN/THWN-2 600 V 1/C Cu (lighting, receptacles, small power)</t>
        </is>
      </c>
      <c r="K5593" s="12" t="inlineStr">
        <is>
          <t>THHN|1/C|12</t>
        </is>
      </c>
      <c r="L5593" s="12" t="inlineStr">
        <is>
          <t>1/C</t>
        </is>
      </c>
      <c r="M5593" s="12" t="inlineStr">
        <is>
          <t>12</t>
        </is>
      </c>
      <c r="N5593" s="12" t="n">
        <v>1</v>
      </c>
      <c r="O5593" s="12" t="n">
        <v>1</v>
      </c>
      <c r="P5593" s="12" t="n">
        <v>277</v>
      </c>
      <c r="Q5593" s="12" t="n"/>
      <c r="R5593" s="12" t="n"/>
      <c r="S5593" s="12" t="inlineStr">
        <is>
          <t>Conduit</t>
        </is>
      </c>
      <c r="T5593" s="16" t="n">
        <v>896</v>
      </c>
      <c r="U5593" s="16" t="n">
        <v>0</v>
      </c>
      <c r="V5593" s="16">
        <f>ROUNDUP((T5593+U5593+2*'Read Me'!$B$13)*(1+'Read Me'!$B$12),-1)</f>
        <v/>
      </c>
      <c r="W5593" s="16">
        <f>V5593*N5593*O5593</f>
        <v/>
      </c>
      <c r="X5593" s="12">
        <f>IF(LEFT(I5593,2)="MV",2*N5593*IF(L5593="1/C",O5593,1),0)</f>
        <v/>
      </c>
      <c r="Y5593" s="12">
        <f>IF(OR(LEFT(K5593,4)="LVAX",LEFT(K5593,6)="MV15AX",LEFT(K5593,4)="CTAX",LEFT(K5593,2)="W|"),2*N5593*O5593,0)</f>
        <v/>
      </c>
      <c r="Z5593" s="12" t="inlineStr">
        <is>
          <t>allowance: 1.6 ft of conductor per ft2 of floor</t>
        </is>
      </c>
      <c r="AA5593" s="12">
        <f>N5593*O5593</f>
        <v/>
      </c>
    </row>
    <row r="5594">
      <c r="A5594" s="12" t="inlineStr">
        <is>
          <t>K-L-0003</t>
        </is>
      </c>
      <c r="B5594" s="12" t="inlineStr">
        <is>
          <t>K</t>
        </is>
      </c>
      <c r="C5594" s="12" t="inlineStr">
        <is>
          <t>Fuel supply (adjacent market)</t>
        </is>
      </c>
      <c r="D5594" s="12" t="inlineStr">
        <is>
          <t>Lighting, receptacles and small power branch circuits (allowance)</t>
        </is>
      </c>
      <c r="E5594" s="12" t="inlineStr"/>
      <c r="F5594" s="12" t="inlineStr">
        <is>
          <t>M&amp;R 6: regulation / flow control building</t>
        </is>
      </c>
      <c r="G5594" s="12" t="inlineStr"/>
      <c r="H5594" s="12" t="inlineStr">
        <is>
          <t>M&amp;R 6: regulation / flow control building</t>
        </is>
      </c>
      <c r="I5594" s="12" t="inlineStr">
        <is>
          <t>Building wire</t>
        </is>
      </c>
      <c r="J5594" s="12" t="inlineStr">
        <is>
          <t>SIMpull THHN/THWN-2 600 V 1/C Cu (lighting, receptacles, small power)</t>
        </is>
      </c>
      <c r="K5594" s="12" t="inlineStr">
        <is>
          <t>THHN|1/C|12</t>
        </is>
      </c>
      <c r="L5594" s="12" t="inlineStr">
        <is>
          <t>1/C</t>
        </is>
      </c>
      <c r="M5594" s="12" t="inlineStr">
        <is>
          <t>12</t>
        </is>
      </c>
      <c r="N5594" s="12" t="n">
        <v>1</v>
      </c>
      <c r="O5594" s="12" t="n">
        <v>1</v>
      </c>
      <c r="P5594" s="12" t="n">
        <v>277</v>
      </c>
      <c r="Q5594" s="12" t="n"/>
      <c r="R5594" s="12" t="n"/>
      <c r="S5594" s="12" t="inlineStr">
        <is>
          <t>Conduit</t>
        </is>
      </c>
      <c r="T5594" s="16" t="n">
        <v>1440</v>
      </c>
      <c r="U5594" s="16" t="n">
        <v>0</v>
      </c>
      <c r="V5594" s="16">
        <f>ROUNDUP((T5594+U5594+2*'Read Me'!$B$13)*(1+'Read Me'!$B$12),-1)</f>
        <v/>
      </c>
      <c r="W5594" s="16">
        <f>V5594*N5594*O5594</f>
        <v/>
      </c>
      <c r="X5594" s="12">
        <f>IF(LEFT(I5594,2)="MV",2*N5594*IF(L5594="1/C",O5594,1),0)</f>
        <v/>
      </c>
      <c r="Y5594" s="12">
        <f>IF(OR(LEFT(K5594,4)="LVAX",LEFT(K5594,6)="MV15AX",LEFT(K5594,4)="CTAX",LEFT(K5594,2)="W|"),2*N5594*O5594,0)</f>
        <v/>
      </c>
      <c r="Z5594" s="12" t="inlineStr">
        <is>
          <t>allowance: 1.6 ft of conductor per ft2 of floor</t>
        </is>
      </c>
      <c r="AA5594" s="12">
        <f>N5594*O5594</f>
        <v/>
      </c>
    </row>
    <row r="5595">
      <c r="A5595" s="12" t="inlineStr">
        <is>
          <t>K-L-0004</t>
        </is>
      </c>
      <c r="B5595" s="12" t="inlineStr">
        <is>
          <t>K</t>
        </is>
      </c>
      <c r="C5595" s="12" t="inlineStr">
        <is>
          <t>Fuel supply (adjacent market)</t>
        </is>
      </c>
      <c r="D5595" s="12" t="inlineStr">
        <is>
          <t>Lighting, receptacles and small power branch circuits (allowance)</t>
        </is>
      </c>
      <c r="E5595" s="12" t="inlineStr"/>
      <c r="F5595" s="12" t="inlineStr">
        <is>
          <t>M&amp;R 7: gas quality + measurement building</t>
        </is>
      </c>
      <c r="G5595" s="12" t="inlineStr"/>
      <c r="H5595" s="12" t="inlineStr">
        <is>
          <t>M&amp;R 7: gas quality + measurement building</t>
        </is>
      </c>
      <c r="I5595" s="12" t="inlineStr">
        <is>
          <t>Building wire</t>
        </is>
      </c>
      <c r="J5595" s="12" t="inlineStr">
        <is>
          <t>SIMpull THHN/THWN-2 600 V 1/C Cu (lighting, receptacles, small power)</t>
        </is>
      </c>
      <c r="K5595" s="12" t="inlineStr">
        <is>
          <t>THHN|1/C|12</t>
        </is>
      </c>
      <c r="L5595" s="12" t="inlineStr">
        <is>
          <t>1/C</t>
        </is>
      </c>
      <c r="M5595" s="12" t="inlineStr">
        <is>
          <t>12</t>
        </is>
      </c>
      <c r="N5595" s="12" t="n">
        <v>1</v>
      </c>
      <c r="O5595" s="12" t="n">
        <v>1</v>
      </c>
      <c r="P5595" s="12" t="n">
        <v>277</v>
      </c>
      <c r="Q5595" s="12" t="n"/>
      <c r="R5595" s="12" t="n"/>
      <c r="S5595" s="12" t="inlineStr">
        <is>
          <t>Conduit</t>
        </is>
      </c>
      <c r="T5595" s="16" t="n">
        <v>205</v>
      </c>
      <c r="U5595" s="16" t="n">
        <v>0</v>
      </c>
      <c r="V5595" s="16">
        <f>ROUNDUP((T5595+U5595+2*'Read Me'!$B$13)*(1+'Read Me'!$B$12),-1)</f>
        <v/>
      </c>
      <c r="W5595" s="16">
        <f>V5595*N5595*O5595</f>
        <v/>
      </c>
      <c r="X5595" s="12">
        <f>IF(LEFT(I5595,2)="MV",2*N5595*IF(L5595="1/C",O5595,1),0)</f>
        <v/>
      </c>
      <c r="Y5595" s="12">
        <f>IF(OR(LEFT(K5595,4)="LVAX",LEFT(K5595,6)="MV15AX",LEFT(K5595,4)="CTAX",LEFT(K5595,2)="W|"),2*N5595*O5595,0)</f>
        <v/>
      </c>
      <c r="Z5595" s="12" t="inlineStr">
        <is>
          <t>allowance: 1.6 ft of conductor per ft2 of floor</t>
        </is>
      </c>
      <c r="AA5595" s="12">
        <f>N5595*O5595</f>
        <v/>
      </c>
    </row>
    <row r="5596">
      <c r="A5596" s="12" t="inlineStr">
        <is>
          <t>K-C-0001</t>
        </is>
      </c>
      <c r="B5596" s="12" t="inlineStr">
        <is>
          <t>K</t>
        </is>
      </c>
      <c r="C5596" s="12" t="inlineStr">
        <is>
          <t>Fuel supply (adjacent market)</t>
        </is>
      </c>
      <c r="D5596" s="12" t="inlineStr">
        <is>
          <t>Motor 1 of 1: control / local station</t>
        </is>
      </c>
      <c r="E5596" s="12" t="inlineStr"/>
      <c r="F5596" s="12" t="inlineStr">
        <is>
          <t>H2 20: 13.8 kV e-house</t>
        </is>
      </c>
      <c r="G5596" s="12" t="inlineStr">
        <is>
          <t>T-H2</t>
        </is>
      </c>
      <c r="H5596" s="12" t="inlineStr">
        <is>
          <t>H2 19: T-H2 230/13.8 kV (about 40 MVA)</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35</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K-C-0002</t>
        </is>
      </c>
      <c r="B5597" s="12" t="inlineStr">
        <is>
          <t>K</t>
        </is>
      </c>
      <c r="C5597" s="12" t="inlineStr">
        <is>
          <t>Fuel supply (adjacent market)</t>
        </is>
      </c>
      <c r="D5597" s="12" t="inlineStr">
        <is>
          <t>Solenoid to JB JB-T-H2-SOL01: 2 x 2/C (field cables)</t>
        </is>
      </c>
      <c r="E5597" s="12" t="inlineStr">
        <is>
          <t>T-H2</t>
        </is>
      </c>
      <c r="F5597" s="12" t="inlineStr">
        <is>
          <t>H2 19: T-H2 230/13.8 kV (about 40 MVA)</t>
        </is>
      </c>
      <c r="G5597" s="12" t="inlineStr">
        <is>
          <t>JB-T-H2-SOL01</t>
        </is>
      </c>
      <c r="H5597" s="12" t="inlineStr">
        <is>
          <t>H2 19: T-H2 230/13.8 kV (about 40 MVA)</t>
        </is>
      </c>
      <c r="I5597" s="12" t="inlineStr">
        <is>
          <t>Control</t>
        </is>
      </c>
      <c r="J5597" s="12" t="inlineStr">
        <is>
          <t>ARMOR-X MC-HL 600 V control, Cu #14 AWG (Class I Div 2)</t>
        </is>
      </c>
      <c r="K5597" s="12" t="inlineStr">
        <is>
          <t>CTAX|2/C|14</t>
        </is>
      </c>
      <c r="L5597" s="12" t="inlineStr">
        <is>
          <t>2/C</t>
        </is>
      </c>
      <c r="M5597" s="12" t="inlineStr">
        <is>
          <t>14</t>
        </is>
      </c>
      <c r="N5597" s="12" t="n">
        <v>2</v>
      </c>
      <c r="O5597" s="12" t="n">
        <v>1</v>
      </c>
      <c r="P5597" s="12" t="n"/>
      <c r="Q5597" s="12" t="n"/>
      <c r="R5597" s="12" t="n"/>
      <c r="S5597" s="12" t="inlineStr">
        <is>
          <t>Tray / conduit</t>
        </is>
      </c>
      <c r="T5597" s="16" t="n">
        <v>80</v>
      </c>
      <c r="U5597" s="16" t="n">
        <v>10</v>
      </c>
      <c r="V5597" s="16">
        <f>ROUNDUP((T5597+U5597+2*'Read Me'!$B$13)*(1+'Read Me'!$B$12),-1)</f>
        <v/>
      </c>
      <c r="W5597" s="16">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K-C-0003</t>
        </is>
      </c>
      <c r="B5598" s="12" t="inlineStr">
        <is>
          <t>K</t>
        </is>
      </c>
      <c r="C5598" s="12" t="inlineStr">
        <is>
          <t>Fuel supply (adjacent market)</t>
        </is>
      </c>
      <c r="D5598" s="12" t="inlineStr">
        <is>
          <t>Home run JB-T-H2-SOL01 to the control / marshalling room</t>
        </is>
      </c>
      <c r="E5598" s="12" t="inlineStr"/>
      <c r="F5598" s="12" t="inlineStr">
        <is>
          <t>H2 20: 13.8 kV e-house</t>
        </is>
      </c>
      <c r="G5598" s="12" t="inlineStr">
        <is>
          <t>JB-T-H2-SOL01</t>
        </is>
      </c>
      <c r="H5598" s="12" t="inlineStr">
        <is>
          <t>H2 19: T-H2 230/13.8 kV (about 40 MVA)</t>
        </is>
      </c>
      <c r="I5598" s="12" t="inlineStr">
        <is>
          <t>Control</t>
        </is>
      </c>
      <c r="J5598" s="12" t="inlineStr">
        <is>
          <t>ARMOR-X MC-HL 600 V control, Cu #14 AWG (Class I Div 2)</t>
        </is>
      </c>
      <c r="K5598" s="12" t="inlineStr">
        <is>
          <t>CTAX|25/C|14</t>
        </is>
      </c>
      <c r="L5598" s="12" t="inlineStr">
        <is>
          <t>25/C</t>
        </is>
      </c>
      <c r="M5598" s="12" t="inlineStr">
        <is>
          <t>14</t>
        </is>
      </c>
      <c r="N5598" s="12" t="n">
        <v>1</v>
      </c>
      <c r="O5598" s="12" t="n">
        <v>1</v>
      </c>
      <c r="P5598" s="12" t="n"/>
      <c r="Q5598" s="12" t="n"/>
      <c r="R5598" s="12" t="n"/>
      <c r="S5598" s="12" t="inlineStr">
        <is>
          <t>Duct bank</t>
        </is>
      </c>
      <c r="T5598" s="16" t="n">
        <v>35</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K-C-0004</t>
        </is>
      </c>
      <c r="B5599" s="12" t="inlineStr">
        <is>
          <t>K</t>
        </is>
      </c>
      <c r="C5599" s="12" t="inlineStr">
        <is>
          <t>Fuel supply (adjacent market)</t>
        </is>
      </c>
      <c r="D5599" s="12" t="inlineStr">
        <is>
          <t>Motor 1 of 1: control / local station</t>
        </is>
      </c>
      <c r="E5599" s="12" t="inlineStr"/>
      <c r="F5599" s="12" t="inlineStr">
        <is>
          <t>H2 20: 13.8 kV e-house</t>
        </is>
      </c>
      <c r="G5599" s="12" t="inlineStr"/>
      <c r="H5599" s="12" t="inlineStr">
        <is>
          <t>H2 20: 13.8 kV e-house</t>
        </is>
      </c>
      <c r="I5599" s="12" t="inlineStr">
        <is>
          <t>Control</t>
        </is>
      </c>
      <c r="J5599" s="12" t="inlineStr">
        <is>
          <t>ARMOR-X MC-HL 600 V control, Cu #14 AWG (Class I Div 2)</t>
        </is>
      </c>
      <c r="K5599" s="12" t="inlineStr">
        <is>
          <t>CTAX|7/C|14</t>
        </is>
      </c>
      <c r="L5599" s="12" t="inlineStr">
        <is>
          <t>7/C</t>
        </is>
      </c>
      <c r="M5599" s="12" t="inlineStr">
        <is>
          <t>14</t>
        </is>
      </c>
      <c r="N5599" s="12" t="n">
        <v>1</v>
      </c>
      <c r="O5599" s="12" t="n">
        <v>1</v>
      </c>
      <c r="P5599" s="12" t="n"/>
      <c r="Q5599" s="12" t="n"/>
      <c r="R5599" s="12" t="n"/>
      <c r="S5599" s="12" t="inlineStr">
        <is>
          <t>Tray</t>
        </is>
      </c>
      <c r="T5599" s="16" t="n">
        <v>0</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K-C-0005</t>
        </is>
      </c>
      <c r="B5600" s="12" t="inlineStr">
        <is>
          <t>K</t>
        </is>
      </c>
      <c r="C5600" s="12" t="inlineStr">
        <is>
          <t>Fuel supply (adjacent market)</t>
        </is>
      </c>
      <c r="D5600" s="12" t="inlineStr">
        <is>
          <t>Solenoid to JB JB-H2 20: 13.8 kV e-h-SOL01: 2 x 2/C (field cables)</t>
        </is>
      </c>
      <c r="E5600" s="12" t="inlineStr"/>
      <c r="F5600" s="12" t="inlineStr">
        <is>
          <t>H2 20: 13.8 kV e-house</t>
        </is>
      </c>
      <c r="G5600" s="12" t="inlineStr">
        <is>
          <t>JB-H2 20: 13.8 kV e-h-SOL01</t>
        </is>
      </c>
      <c r="H5600" s="12" t="inlineStr">
        <is>
          <t>H2 20: 13.8 kV e-house</t>
        </is>
      </c>
      <c r="I5600" s="12" t="inlineStr">
        <is>
          <t>Control</t>
        </is>
      </c>
      <c r="J5600" s="12" t="inlineStr">
        <is>
          <t>ARMOR-X MC-HL 600 V control, Cu #14 AWG (Class I Div 2)</t>
        </is>
      </c>
      <c r="K5600" s="12" t="inlineStr">
        <is>
          <t>CTAX|2/C|14</t>
        </is>
      </c>
      <c r="L5600" s="12" t="inlineStr">
        <is>
          <t>2/C</t>
        </is>
      </c>
      <c r="M5600" s="12" t="inlineStr">
        <is>
          <t>14</t>
        </is>
      </c>
      <c r="N5600" s="12" t="n">
        <v>2</v>
      </c>
      <c r="O5600" s="12" t="n">
        <v>1</v>
      </c>
      <c r="P5600" s="12" t="n"/>
      <c r="Q5600" s="12" t="n"/>
      <c r="R5600" s="12" t="n"/>
      <c r="S5600" s="12" t="inlineStr">
        <is>
          <t>Tray / conduit</t>
        </is>
      </c>
      <c r="T5600" s="16" t="n">
        <v>69</v>
      </c>
      <c r="U5600" s="16" t="n">
        <v>10</v>
      </c>
      <c r="V5600" s="16">
        <f>ROUNDUP((T5600+U5600+2*'Read Me'!$B$13)*(1+'Read Me'!$B$12),-1)</f>
        <v/>
      </c>
      <c r="W5600" s="16">
        <f>V5600*N5600*O5600</f>
        <v/>
      </c>
      <c r="X5600" s="12">
        <f>IF(LEFT(I5600,2)="MV",2*N5600*IF(L5600="1/C",O5600,1),0)</f>
        <v/>
      </c>
      <c r="Y5600" s="12">
        <f>IF(OR(LEFT(K5600,4)="LVAX",LEFT(K5600,6)="MV15AX",LEFT(K5600,4)="CTAX",LEFT(K5600,2)="W|"),2*N5600*O5600,0)</f>
        <v/>
      </c>
      <c r="Z5600" s="12" t="inlineStr">
        <is>
          <t>device-to-JB field wiring, one cable per device</t>
        </is>
      </c>
      <c r="AA5600" s="12">
        <f>N5600*O5600</f>
        <v/>
      </c>
    </row>
    <row r="5601">
      <c r="A5601" s="12" t="inlineStr">
        <is>
          <t>K-C-0006</t>
        </is>
      </c>
      <c r="B5601" s="12" t="inlineStr">
        <is>
          <t>K</t>
        </is>
      </c>
      <c r="C5601" s="12" t="inlineStr">
        <is>
          <t>Fuel supply (adjacent market)</t>
        </is>
      </c>
      <c r="D5601" s="12" t="inlineStr">
        <is>
          <t>Home run JB-H2 20: 13.8 kV e-h-SOL01 to the control / marshalling room</t>
        </is>
      </c>
      <c r="E5601" s="12" t="inlineStr"/>
      <c r="F5601" s="12" t="inlineStr">
        <is>
          <t>H2 20: 13.8 kV e-house</t>
        </is>
      </c>
      <c r="G5601" s="12" t="inlineStr">
        <is>
          <t>JB-H2 20: 13.8 kV e-h-SOL01</t>
        </is>
      </c>
      <c r="H5601" s="12" t="inlineStr">
        <is>
          <t>H2 20: 13.8 kV e-house</t>
        </is>
      </c>
      <c r="I5601" s="12" t="inlineStr">
        <is>
          <t>Control</t>
        </is>
      </c>
      <c r="J5601" s="12" t="inlineStr">
        <is>
          <t>ARMOR-X MC-HL 600 V control, Cu #14 AWG (Class I Div 2)</t>
        </is>
      </c>
      <c r="K5601" s="12" t="inlineStr">
        <is>
          <t>CTAX|25/C|14</t>
        </is>
      </c>
      <c r="L5601" s="12" t="inlineStr">
        <is>
          <t>25/C</t>
        </is>
      </c>
      <c r="M5601" s="12" t="inlineStr">
        <is>
          <t>14</t>
        </is>
      </c>
      <c r="N5601" s="12" t="n">
        <v>1</v>
      </c>
      <c r="O5601" s="12" t="n">
        <v>1</v>
      </c>
      <c r="P5601" s="12" t="n"/>
      <c r="Q5601" s="12" t="n"/>
      <c r="R5601" s="12" t="n"/>
      <c r="S5601" s="12" t="inlineStr">
        <is>
          <t>Tray</t>
        </is>
      </c>
      <c r="T5601" s="16" t="n">
        <v>0</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K-C-0007</t>
        </is>
      </c>
      <c r="B5602" s="12" t="inlineStr">
        <is>
          <t>K</t>
        </is>
      </c>
      <c r="C5602" s="12" t="inlineStr">
        <is>
          <t>Fuel supply (adjacent market)</t>
        </is>
      </c>
      <c r="D5602" s="12" t="inlineStr">
        <is>
          <t>Motor 1 of 1: control / local station</t>
        </is>
      </c>
      <c r="E5602" s="12" t="inlineStr"/>
      <c r="F5602" s="12" t="inlineStr">
        <is>
          <t>H2 20: 13.8 kV e-house</t>
        </is>
      </c>
      <c r="G5602" s="12" t="inlineStr"/>
      <c r="H5602" s="12" t="inlineStr">
        <is>
          <t>H2 21: rectifier transformer 1 (7 MVA)</t>
        </is>
      </c>
      <c r="I5602" s="12" t="inlineStr">
        <is>
          <t>Control</t>
        </is>
      </c>
      <c r="J5602" s="12" t="inlineStr">
        <is>
          <t>ARMOR-X MC-HL 600 V control, Cu #14 AWG (Class I Div 2)</t>
        </is>
      </c>
      <c r="K5602" s="12" t="inlineStr">
        <is>
          <t>CTAX|7/C|14</t>
        </is>
      </c>
      <c r="L5602" s="12" t="inlineStr">
        <is>
          <t>7/C</t>
        </is>
      </c>
      <c r="M5602" s="12" t="inlineStr">
        <is>
          <t>14</t>
        </is>
      </c>
      <c r="N5602" s="12" t="n">
        <v>1</v>
      </c>
      <c r="O5602" s="12" t="n">
        <v>1</v>
      </c>
      <c r="P5602" s="12" t="n"/>
      <c r="Q5602" s="12" t="n"/>
      <c r="R5602" s="12" t="n"/>
      <c r="S5602" s="12" t="inlineStr">
        <is>
          <t>Duct bank</t>
        </is>
      </c>
      <c r="T5602" s="16" t="n">
        <v>356</v>
      </c>
      <c r="U5602" s="16" t="n">
        <v>48</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K-C-0008</t>
        </is>
      </c>
      <c r="B5603" s="12" t="inlineStr">
        <is>
          <t>K</t>
        </is>
      </c>
      <c r="C5603" s="12" t="inlineStr">
        <is>
          <t>Fuel supply (adjacent market)</t>
        </is>
      </c>
      <c r="D5603" s="12" t="inlineStr">
        <is>
          <t>Solenoid to JB JB-H2 21: rectifier t-SOL01: 2 x 2/C (field cables)</t>
        </is>
      </c>
      <c r="E5603" s="12" t="inlineStr"/>
      <c r="F5603" s="12" t="inlineStr">
        <is>
          <t>H2 21: rectifier transformer 1 (7 MVA)</t>
        </is>
      </c>
      <c r="G5603" s="12" t="inlineStr">
        <is>
          <t>JB-H2 21: rectifier t-SOL01</t>
        </is>
      </c>
      <c r="H5603" s="12" t="inlineStr">
        <is>
          <t>H2 21: rectifier transformer 1 (7 MVA)</t>
        </is>
      </c>
      <c r="I5603" s="12" t="inlineStr">
        <is>
          <t>Control</t>
        </is>
      </c>
      <c r="J5603" s="12" t="inlineStr">
        <is>
          <t>ARMOR-X MC-HL 600 V control, Cu #14 AWG (Class I Div 2)</t>
        </is>
      </c>
      <c r="K5603" s="12" t="inlineStr">
        <is>
          <t>CTAX|2/C|14</t>
        </is>
      </c>
      <c r="L5603" s="12" t="inlineStr">
        <is>
          <t>2/C</t>
        </is>
      </c>
      <c r="M5603" s="12" t="inlineStr">
        <is>
          <t>14</t>
        </is>
      </c>
      <c r="N5603" s="12" t="n">
        <v>2</v>
      </c>
      <c r="O5603" s="12" t="n">
        <v>1</v>
      </c>
      <c r="P5603" s="12" t="n"/>
      <c r="Q5603" s="12" t="n"/>
      <c r="R5603" s="12" t="n"/>
      <c r="S5603" s="12" t="inlineStr">
        <is>
          <t>Tray / conduit</t>
        </is>
      </c>
      <c r="T5603" s="16" t="n">
        <v>41</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K-C-0009</t>
        </is>
      </c>
      <c r="B5604" s="12" t="inlineStr">
        <is>
          <t>K</t>
        </is>
      </c>
      <c r="C5604" s="12" t="inlineStr">
        <is>
          <t>Fuel supply (adjacent market)</t>
        </is>
      </c>
      <c r="D5604" s="12" t="inlineStr">
        <is>
          <t>Home run JB-H2 21: rectifier t-SOL01 to the control / marshalling room</t>
        </is>
      </c>
      <c r="E5604" s="12" t="inlineStr"/>
      <c r="F5604" s="12" t="inlineStr">
        <is>
          <t>H2 20: 13.8 kV e-house</t>
        </is>
      </c>
      <c r="G5604" s="12" t="inlineStr">
        <is>
          <t>JB-H2 21: rectifier t-SOL01</t>
        </is>
      </c>
      <c r="H5604" s="12" t="inlineStr">
        <is>
          <t>H2 21: rectifier transformer 1 (7 MVA)</t>
        </is>
      </c>
      <c r="I5604" s="12" t="inlineStr">
        <is>
          <t>Control</t>
        </is>
      </c>
      <c r="J5604" s="12" t="inlineStr">
        <is>
          <t>ARMOR-X MC-HL 600 V control, Cu #14 AWG (Class I Div 2)</t>
        </is>
      </c>
      <c r="K5604" s="12" t="inlineStr">
        <is>
          <t>CTAX|25/C|14</t>
        </is>
      </c>
      <c r="L5604" s="12" t="inlineStr">
        <is>
          <t>25/C</t>
        </is>
      </c>
      <c r="M5604" s="12" t="inlineStr">
        <is>
          <t>14</t>
        </is>
      </c>
      <c r="N5604" s="12" t="n">
        <v>1</v>
      </c>
      <c r="O5604" s="12" t="n">
        <v>1</v>
      </c>
      <c r="P5604" s="12" t="n"/>
      <c r="Q5604" s="12" t="n"/>
      <c r="R5604" s="12" t="n"/>
      <c r="S5604" s="12" t="inlineStr">
        <is>
          <t>Duct bank</t>
        </is>
      </c>
      <c r="T5604" s="16" t="n">
        <v>356</v>
      </c>
      <c r="U5604" s="16" t="n">
        <v>48</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K-C-0010</t>
        </is>
      </c>
      <c r="B5605" s="12" t="inlineStr">
        <is>
          <t>K</t>
        </is>
      </c>
      <c r="C5605" s="12" t="inlineStr">
        <is>
          <t>Fuel supply (adjacent market)</t>
        </is>
      </c>
      <c r="D5605" s="12" t="inlineStr">
        <is>
          <t>Control</t>
        </is>
      </c>
      <c r="E5605" s="12" t="inlineStr"/>
      <c r="F5605" s="12" t="inlineStr">
        <is>
          <t>H2 20: 13.8 kV e-house</t>
        </is>
      </c>
      <c r="G5605" s="12" t="inlineStr"/>
      <c r="H5605" s="12" t="inlineStr">
        <is>
          <t>H2 21: rectifier transformer 1 (7 MVA)</t>
        </is>
      </c>
      <c r="I5605" s="12" t="inlineStr">
        <is>
          <t>Control</t>
        </is>
      </c>
      <c r="J5605" s="12" t="inlineStr">
        <is>
          <t>ARMOR-X MC-HL 600 V control, Cu #14 AWG (Class I Div 2)</t>
        </is>
      </c>
      <c r="K5605" s="12" t="inlineStr">
        <is>
          <t>CTAX|7/C|14</t>
        </is>
      </c>
      <c r="L5605" s="12" t="inlineStr">
        <is>
          <t>7/C</t>
        </is>
      </c>
      <c r="M5605" s="12" t="inlineStr">
        <is>
          <t>14</t>
        </is>
      </c>
      <c r="N5605" s="12" t="n">
        <v>1</v>
      </c>
      <c r="O5605" s="12" t="n">
        <v>1</v>
      </c>
      <c r="P5605" s="12" t="n"/>
      <c r="Q5605" s="12" t="n"/>
      <c r="R5605" s="12" t="n"/>
      <c r="S5605" s="12" t="inlineStr">
        <is>
          <t>Duct bank</t>
        </is>
      </c>
      <c r="T5605" s="16" t="n">
        <v>356</v>
      </c>
      <c r="U5605" s="16" t="n">
        <v>48</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K-C-0011</t>
        </is>
      </c>
      <c r="B5606" s="12" t="inlineStr">
        <is>
          <t>K</t>
        </is>
      </c>
      <c r="C5606" s="12" t="inlineStr">
        <is>
          <t>Fuel supply (adjacent market)</t>
        </is>
      </c>
      <c r="D5606" s="12" t="inlineStr">
        <is>
          <t>Control</t>
        </is>
      </c>
      <c r="E5606" s="12" t="inlineStr"/>
      <c r="F5606" s="12" t="inlineStr">
        <is>
          <t>H2 20: 13.8 kV e-house</t>
        </is>
      </c>
      <c r="G5606" s="12" t="inlineStr"/>
      <c r="H5606" s="12" t="inlineStr">
        <is>
          <t>H2 21: rectifier transformer 1 (7 MVA)</t>
        </is>
      </c>
      <c r="I5606" s="12" t="inlineStr">
        <is>
          <t>Control</t>
        </is>
      </c>
      <c r="J5606" s="12" t="inlineStr">
        <is>
          <t>ARMOR-X MC-HL 600 V control, Cu #14 AWG (Class I Div 2)</t>
        </is>
      </c>
      <c r="K5606" s="12" t="inlineStr">
        <is>
          <t>CTAX|12/C|14</t>
        </is>
      </c>
      <c r="L5606" s="12" t="inlineStr">
        <is>
          <t>12/C</t>
        </is>
      </c>
      <c r="M5606" s="12" t="inlineStr">
        <is>
          <t>14</t>
        </is>
      </c>
      <c r="N5606" s="12" t="n">
        <v>1</v>
      </c>
      <c r="O5606" s="12" t="n">
        <v>1</v>
      </c>
      <c r="P5606" s="12" t="n"/>
      <c r="Q5606" s="12" t="n"/>
      <c r="R5606" s="12" t="n"/>
      <c r="S5606" s="12" t="inlineStr">
        <is>
          <t>Duct bank</t>
        </is>
      </c>
      <c r="T5606" s="16" t="n">
        <v>356</v>
      </c>
      <c r="U5606" s="16" t="n">
        <v>48</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K-C-0012</t>
        </is>
      </c>
      <c r="B5607" s="12" t="inlineStr">
        <is>
          <t>K</t>
        </is>
      </c>
      <c r="C5607" s="12" t="inlineStr">
        <is>
          <t>Fuel supply (adjacent market)</t>
        </is>
      </c>
      <c r="D5607" s="12" t="inlineStr">
        <is>
          <t>CT / VT</t>
        </is>
      </c>
      <c r="E5607" s="12" t="inlineStr"/>
      <c r="F5607" s="12" t="inlineStr">
        <is>
          <t>H2 20: 13.8 kV e-house</t>
        </is>
      </c>
      <c r="G5607" s="12" t="inlineStr"/>
      <c r="H5607" s="12" t="inlineStr">
        <is>
          <t>H2 21: rectifier transformer 1 (7 MVA)</t>
        </is>
      </c>
      <c r="I5607" s="12" t="inlineStr">
        <is>
          <t>Control</t>
        </is>
      </c>
      <c r="J5607" s="12" t="inlineStr">
        <is>
          <t>Control cable 600 V Type TC-ER, Cu #10 AWG (CT / VT circuits)</t>
        </is>
      </c>
      <c r="K5607" s="12" t="inlineStr">
        <is>
          <t>CTCT|4/C|10</t>
        </is>
      </c>
      <c r="L5607" s="12" t="inlineStr">
        <is>
          <t>4/C</t>
        </is>
      </c>
      <c r="M5607" s="12" t="inlineStr">
        <is>
          <t>10</t>
        </is>
      </c>
      <c r="N5607" s="12" t="n">
        <v>1</v>
      </c>
      <c r="O5607" s="12" t="n">
        <v>1</v>
      </c>
      <c r="P5607" s="12" t="n"/>
      <c r="Q5607" s="12" t="n"/>
      <c r="R5607" s="12" t="n"/>
      <c r="S5607" s="12" t="inlineStr">
        <is>
          <t>Duct bank</t>
        </is>
      </c>
      <c r="T5607" s="16" t="n">
        <v>356</v>
      </c>
      <c r="U5607" s="16" t="n">
        <v>48</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K-C-0013</t>
        </is>
      </c>
      <c r="B5608" s="12" t="inlineStr">
        <is>
          <t>K</t>
        </is>
      </c>
      <c r="C5608" s="12" t="inlineStr">
        <is>
          <t>Fuel supply (adjacent market)</t>
        </is>
      </c>
      <c r="D5608" s="12" t="inlineStr">
        <is>
          <t>CT / VT</t>
        </is>
      </c>
      <c r="E5608" s="12" t="inlineStr"/>
      <c r="F5608" s="12" t="inlineStr">
        <is>
          <t>H2 20: 13.8 kV e-house</t>
        </is>
      </c>
      <c r="G5608" s="12" t="inlineStr"/>
      <c r="H5608" s="12" t="inlineStr">
        <is>
          <t>H2 21: rectifier transformer 1 (7 MVA)</t>
        </is>
      </c>
      <c r="I5608" s="12" t="inlineStr">
        <is>
          <t>Control</t>
        </is>
      </c>
      <c r="J5608" s="12" t="inlineStr">
        <is>
          <t>Control cable 600 V Type TC-ER, Cu #10 AWG (CT / VT circuits)</t>
        </is>
      </c>
      <c r="K5608" s="12" t="inlineStr">
        <is>
          <t>CTCT|4/C|10</t>
        </is>
      </c>
      <c r="L5608" s="12" t="inlineStr">
        <is>
          <t>4/C</t>
        </is>
      </c>
      <c r="M5608" s="12" t="inlineStr">
        <is>
          <t>10</t>
        </is>
      </c>
      <c r="N5608" s="12" t="n">
        <v>1</v>
      </c>
      <c r="O5608" s="12" t="n">
        <v>1</v>
      </c>
      <c r="P5608" s="12" t="n"/>
      <c r="Q5608" s="12" t="n"/>
      <c r="R5608" s="12" t="n"/>
      <c r="S5608" s="12" t="inlineStr">
        <is>
          <t>Duct bank</t>
        </is>
      </c>
      <c r="T5608" s="16" t="n">
        <v>356</v>
      </c>
      <c r="U5608" s="16" t="n">
        <v>48</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K-C-0014</t>
        </is>
      </c>
      <c r="B5609" s="12" t="inlineStr">
        <is>
          <t>K</t>
        </is>
      </c>
      <c r="C5609" s="12" t="inlineStr">
        <is>
          <t>Fuel supply (adjacent market)</t>
        </is>
      </c>
      <c r="D5609" s="12" t="inlineStr">
        <is>
          <t>Motor 1 of 1: control / local station</t>
        </is>
      </c>
      <c r="E5609" s="12" t="inlineStr"/>
      <c r="F5609" s="12" t="inlineStr">
        <is>
          <t>H2 20: 13.8 kV e-house</t>
        </is>
      </c>
      <c r="G5609" s="12" t="inlineStr"/>
      <c r="H5609" s="12" t="inlineStr">
        <is>
          <t>H2 21: rectifier transformer 2 (7 MVA)</t>
        </is>
      </c>
      <c r="I5609" s="12" t="inlineStr">
        <is>
          <t>Control</t>
        </is>
      </c>
      <c r="J5609" s="12" t="inlineStr">
        <is>
          <t>ARMOR-X MC-HL 600 V control, Cu #14 AWG (Class I Div 2)</t>
        </is>
      </c>
      <c r="K5609" s="12" t="inlineStr">
        <is>
          <t>CTAX|7/C|14</t>
        </is>
      </c>
      <c r="L5609" s="12" t="inlineStr">
        <is>
          <t>7/C</t>
        </is>
      </c>
      <c r="M5609" s="12" t="inlineStr">
        <is>
          <t>14</t>
        </is>
      </c>
      <c r="N5609" s="12" t="n">
        <v>1</v>
      </c>
      <c r="O5609" s="12" t="n">
        <v>1</v>
      </c>
      <c r="P5609" s="12" t="n"/>
      <c r="Q5609" s="12" t="n"/>
      <c r="R5609" s="12" t="n"/>
      <c r="S5609" s="12" t="inlineStr">
        <is>
          <t>Duct bank</t>
        </is>
      </c>
      <c r="T5609" s="16" t="n">
        <v>356</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K-C-0015</t>
        </is>
      </c>
      <c r="B5610" s="12" t="inlineStr">
        <is>
          <t>K</t>
        </is>
      </c>
      <c r="C5610" s="12" t="inlineStr">
        <is>
          <t>Fuel supply (adjacent market)</t>
        </is>
      </c>
      <c r="D5610" s="12" t="inlineStr">
        <is>
          <t>Solenoid to JB JB-H2 21: rectifier t-SOL01: 2 x 2/C (field cables)</t>
        </is>
      </c>
      <c r="E5610" s="12" t="inlineStr"/>
      <c r="F5610" s="12" t="inlineStr">
        <is>
          <t>H2 21: rectifier transformer 2 (7 MVA)</t>
        </is>
      </c>
      <c r="G5610" s="12" t="inlineStr">
        <is>
          <t>JB-H2 21: rectifier t-SOL01</t>
        </is>
      </c>
      <c r="H5610" s="12" t="inlineStr">
        <is>
          <t>H2 21: rectifier transformer 2 (7 MVA)</t>
        </is>
      </c>
      <c r="I5610" s="12" t="inlineStr">
        <is>
          <t>Control</t>
        </is>
      </c>
      <c r="J5610" s="12" t="inlineStr">
        <is>
          <t>ARMOR-X MC-HL 600 V control, Cu #14 AWG (Class I Div 2)</t>
        </is>
      </c>
      <c r="K5610" s="12" t="inlineStr">
        <is>
          <t>CTAX|2/C|14</t>
        </is>
      </c>
      <c r="L5610" s="12" t="inlineStr">
        <is>
          <t>2/C</t>
        </is>
      </c>
      <c r="M5610" s="12" t="inlineStr">
        <is>
          <t>14</t>
        </is>
      </c>
      <c r="N5610" s="12" t="n">
        <v>2</v>
      </c>
      <c r="O5610" s="12" t="n">
        <v>1</v>
      </c>
      <c r="P5610" s="12" t="n"/>
      <c r="Q5610" s="12" t="n"/>
      <c r="R5610" s="12" t="n"/>
      <c r="S5610" s="12" t="inlineStr">
        <is>
          <t>Tray / conduit</t>
        </is>
      </c>
      <c r="T5610" s="16" t="n">
        <v>41</v>
      </c>
      <c r="U5610" s="16" t="n">
        <v>10</v>
      </c>
      <c r="V5610" s="16">
        <f>ROUNDUP((T5610+U5610+2*'Read Me'!$B$13)*(1+'Read Me'!$B$12),-1)</f>
        <v/>
      </c>
      <c r="W5610" s="16">
        <f>V5610*N5610*O5610</f>
        <v/>
      </c>
      <c r="X5610" s="12">
        <f>IF(LEFT(I5610,2)="MV",2*N5610*IF(L5610="1/C",O5610,1),0)</f>
        <v/>
      </c>
      <c r="Y5610" s="12">
        <f>IF(OR(LEFT(K5610,4)="LVAX",LEFT(K5610,6)="MV15AX",LEFT(K5610,4)="CTAX",LEFT(K5610,2)="W|"),2*N5610*O5610,0)</f>
        <v/>
      </c>
      <c r="Z5610" s="12" t="inlineStr">
        <is>
          <t>device-to-JB field wiring, one cable per device</t>
        </is>
      </c>
      <c r="AA5610" s="12">
        <f>N5610*O5610</f>
        <v/>
      </c>
    </row>
    <row r="5611">
      <c r="A5611" s="12" t="inlineStr">
        <is>
          <t>K-C-0016</t>
        </is>
      </c>
      <c r="B5611" s="12" t="inlineStr">
        <is>
          <t>K</t>
        </is>
      </c>
      <c r="C5611" s="12" t="inlineStr">
        <is>
          <t>Fuel supply (adjacent market)</t>
        </is>
      </c>
      <c r="D5611" s="12" t="inlineStr">
        <is>
          <t>Home run JB-H2 21: rectifier t-SOL01 to the control / marshalling room</t>
        </is>
      </c>
      <c r="E5611" s="12" t="inlineStr"/>
      <c r="F5611" s="12" t="inlineStr">
        <is>
          <t>H2 20: 13.8 kV e-house</t>
        </is>
      </c>
      <c r="G5611" s="12" t="inlineStr">
        <is>
          <t>JB-H2 21: rectifier t-SOL01</t>
        </is>
      </c>
      <c r="H5611" s="12" t="inlineStr">
        <is>
          <t>H2 21: rectifier transformer 2 (7 MVA)</t>
        </is>
      </c>
      <c r="I5611" s="12" t="inlineStr">
        <is>
          <t>Control</t>
        </is>
      </c>
      <c r="J5611" s="12" t="inlineStr">
        <is>
          <t>ARMOR-X MC-HL 600 V control, Cu #14 AWG (Class I Div 2)</t>
        </is>
      </c>
      <c r="K5611" s="12" t="inlineStr">
        <is>
          <t>CTAX|25/C|14</t>
        </is>
      </c>
      <c r="L5611" s="12" t="inlineStr">
        <is>
          <t>25/C</t>
        </is>
      </c>
      <c r="M5611" s="12" t="inlineStr">
        <is>
          <t>14</t>
        </is>
      </c>
      <c r="N5611" s="12" t="n">
        <v>1</v>
      </c>
      <c r="O5611" s="12" t="n">
        <v>1</v>
      </c>
      <c r="P5611" s="12" t="n"/>
      <c r="Q5611" s="12" t="n"/>
      <c r="R5611" s="12" t="n"/>
      <c r="S5611" s="12" t="inlineStr">
        <is>
          <t>Duct bank</t>
        </is>
      </c>
      <c r="T5611" s="16" t="n">
        <v>356</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K-C-0017</t>
        </is>
      </c>
      <c r="B5612" s="12" t="inlineStr">
        <is>
          <t>K</t>
        </is>
      </c>
      <c r="C5612" s="12" t="inlineStr">
        <is>
          <t>Fuel supply (adjacent market)</t>
        </is>
      </c>
      <c r="D5612" s="12" t="inlineStr">
        <is>
          <t>Control</t>
        </is>
      </c>
      <c r="E5612" s="12" t="inlineStr"/>
      <c r="F5612" s="12" t="inlineStr">
        <is>
          <t>H2 20: 13.8 kV e-house</t>
        </is>
      </c>
      <c r="G5612" s="12" t="inlineStr"/>
      <c r="H5612" s="12" t="inlineStr">
        <is>
          <t>H2 21: rectifier transformer 2 (7 MVA)</t>
        </is>
      </c>
      <c r="I5612" s="12" t="inlineStr">
        <is>
          <t>Control</t>
        </is>
      </c>
      <c r="J5612" s="12" t="inlineStr">
        <is>
          <t>ARMOR-X MC-HL 600 V control, Cu #14 AWG (Class I Div 2)</t>
        </is>
      </c>
      <c r="K5612" s="12" t="inlineStr">
        <is>
          <t>CTAX|7/C|14</t>
        </is>
      </c>
      <c r="L5612" s="12" t="inlineStr">
        <is>
          <t>7/C</t>
        </is>
      </c>
      <c r="M5612" s="12" t="inlineStr">
        <is>
          <t>14</t>
        </is>
      </c>
      <c r="N5612" s="12" t="n">
        <v>1</v>
      </c>
      <c r="O5612" s="12" t="n">
        <v>1</v>
      </c>
      <c r="P5612" s="12" t="n"/>
      <c r="Q5612" s="12" t="n"/>
      <c r="R5612" s="12" t="n"/>
      <c r="S5612" s="12" t="inlineStr">
        <is>
          <t>Duct bank</t>
        </is>
      </c>
      <c r="T5612" s="16" t="n">
        <v>356</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K-C-0018</t>
        </is>
      </c>
      <c r="B5613" s="12" t="inlineStr">
        <is>
          <t>K</t>
        </is>
      </c>
      <c r="C5613" s="12" t="inlineStr">
        <is>
          <t>Fuel supply (adjacent market)</t>
        </is>
      </c>
      <c r="D5613" s="12" t="inlineStr">
        <is>
          <t>Control</t>
        </is>
      </c>
      <c r="E5613" s="12" t="inlineStr"/>
      <c r="F5613" s="12" t="inlineStr">
        <is>
          <t>H2 20: 13.8 kV e-house</t>
        </is>
      </c>
      <c r="G5613" s="12" t="inlineStr"/>
      <c r="H5613" s="12" t="inlineStr">
        <is>
          <t>H2 21: rectifier transformer 2 (7 MVA)</t>
        </is>
      </c>
      <c r="I5613" s="12" t="inlineStr">
        <is>
          <t>Control</t>
        </is>
      </c>
      <c r="J5613" s="12" t="inlineStr">
        <is>
          <t>ARMOR-X MC-HL 600 V control, Cu #14 AWG (Class I Div 2)</t>
        </is>
      </c>
      <c r="K5613" s="12" t="inlineStr">
        <is>
          <t>CTAX|12/C|14</t>
        </is>
      </c>
      <c r="L5613" s="12" t="inlineStr">
        <is>
          <t>12/C</t>
        </is>
      </c>
      <c r="M5613" s="12" t="inlineStr">
        <is>
          <t>14</t>
        </is>
      </c>
      <c r="N5613" s="12" t="n">
        <v>1</v>
      </c>
      <c r="O5613" s="12" t="n">
        <v>1</v>
      </c>
      <c r="P5613" s="12" t="n"/>
      <c r="Q5613" s="12" t="n"/>
      <c r="R5613" s="12" t="n"/>
      <c r="S5613" s="12" t="inlineStr">
        <is>
          <t>Duct bank</t>
        </is>
      </c>
      <c r="T5613" s="16" t="n">
        <v>356</v>
      </c>
      <c r="U5613" s="16" t="n">
        <v>32</v>
      </c>
      <c r="V5613" s="16">
        <f>ROUNDUP((T5613+U5613+2*'Read Me'!$B$13)*(1+'Read Me'!$B$12),-1)</f>
        <v/>
      </c>
      <c r="W5613" s="16">
        <f>V5613*N5613*O5613</f>
        <v/>
      </c>
      <c r="X5613" s="12">
        <f>IF(LEFT(I5613,2)="MV",2*N5613*IF(L5613="1/C",O5613,1),0)</f>
        <v/>
      </c>
      <c r="Y5613" s="12">
        <f>IF(OR(LEFT(K5613,4)="LVAX",LEFT(K5613,6)="MV15AX",LEFT(K5613,4)="CTAX",LEFT(K5613,2)="W|"),2*N5613*O5613,0)</f>
        <v/>
      </c>
      <c r="Z5613" s="12" t="inlineStr"/>
      <c r="AA5613" s="12">
        <f>N5613*O5613</f>
        <v/>
      </c>
    </row>
    <row r="5614">
      <c r="A5614" s="12" t="inlineStr">
        <is>
          <t>K-C-0019</t>
        </is>
      </c>
      <c r="B5614" s="12" t="inlineStr">
        <is>
          <t>K</t>
        </is>
      </c>
      <c r="C5614" s="12" t="inlineStr">
        <is>
          <t>Fuel supply (adjacent market)</t>
        </is>
      </c>
      <c r="D5614" s="12" t="inlineStr">
        <is>
          <t>CT / VT</t>
        </is>
      </c>
      <c r="E5614" s="12" t="inlineStr"/>
      <c r="F5614" s="12" t="inlineStr">
        <is>
          <t>H2 20: 13.8 kV e-house</t>
        </is>
      </c>
      <c r="G5614" s="12" t="inlineStr"/>
      <c r="H5614" s="12" t="inlineStr">
        <is>
          <t>H2 21: rectifier transformer 2 (7 MVA)</t>
        </is>
      </c>
      <c r="I5614" s="12" t="inlineStr">
        <is>
          <t>Control</t>
        </is>
      </c>
      <c r="J5614" s="12" t="inlineStr">
        <is>
          <t>Control cable 600 V Type TC-ER, Cu #10 AWG (CT / VT circuits)</t>
        </is>
      </c>
      <c r="K5614" s="12" t="inlineStr">
        <is>
          <t>CTCT|4/C|10</t>
        </is>
      </c>
      <c r="L5614" s="12" t="inlineStr">
        <is>
          <t>4/C</t>
        </is>
      </c>
      <c r="M5614" s="12" t="inlineStr">
        <is>
          <t>10</t>
        </is>
      </c>
      <c r="N5614" s="12" t="n">
        <v>1</v>
      </c>
      <c r="O5614" s="12" t="n">
        <v>1</v>
      </c>
      <c r="P5614" s="12" t="n"/>
      <c r="Q5614" s="12" t="n"/>
      <c r="R5614" s="12" t="n"/>
      <c r="S5614" s="12" t="inlineStr">
        <is>
          <t>Duct bank</t>
        </is>
      </c>
      <c r="T5614" s="16" t="n">
        <v>356</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K-C-0020</t>
        </is>
      </c>
      <c r="B5615" s="12" t="inlineStr">
        <is>
          <t>K</t>
        </is>
      </c>
      <c r="C5615" s="12" t="inlineStr">
        <is>
          <t>Fuel supply (adjacent market)</t>
        </is>
      </c>
      <c r="D5615" s="12" t="inlineStr">
        <is>
          <t>CT / VT</t>
        </is>
      </c>
      <c r="E5615" s="12" t="inlineStr"/>
      <c r="F5615" s="12" t="inlineStr">
        <is>
          <t>H2 20: 13.8 kV e-house</t>
        </is>
      </c>
      <c r="G5615" s="12" t="inlineStr"/>
      <c r="H5615" s="12" t="inlineStr">
        <is>
          <t>H2 21: rectifier transformer 2 (7 MVA)</t>
        </is>
      </c>
      <c r="I5615" s="12" t="inlineStr">
        <is>
          <t>Control</t>
        </is>
      </c>
      <c r="J5615" s="12" t="inlineStr">
        <is>
          <t>Control cable 600 V Type TC-ER, Cu #10 AWG (CT / VT circuits)</t>
        </is>
      </c>
      <c r="K5615" s="12" t="inlineStr">
        <is>
          <t>CTCT|4/C|10</t>
        </is>
      </c>
      <c r="L5615" s="12" t="inlineStr">
        <is>
          <t>4/C</t>
        </is>
      </c>
      <c r="M5615" s="12" t="inlineStr">
        <is>
          <t>10</t>
        </is>
      </c>
      <c r="N5615" s="12" t="n">
        <v>1</v>
      </c>
      <c r="O5615" s="12" t="n">
        <v>1</v>
      </c>
      <c r="P5615" s="12" t="n"/>
      <c r="Q5615" s="12" t="n"/>
      <c r="R5615" s="12" t="n"/>
      <c r="S5615" s="12" t="inlineStr">
        <is>
          <t>Duct bank</t>
        </is>
      </c>
      <c r="T5615" s="16" t="n">
        <v>356</v>
      </c>
      <c r="U5615" s="16" t="n">
        <v>32</v>
      </c>
      <c r="V5615" s="16">
        <f>ROUNDUP((T5615+U5615+2*'Read Me'!$B$13)*(1+'Read Me'!$B$12),-1)</f>
        <v/>
      </c>
      <c r="W5615" s="16">
        <f>V5615*N5615*O5615</f>
        <v/>
      </c>
      <c r="X5615" s="12">
        <f>IF(LEFT(I5615,2)="MV",2*N5615*IF(L5615="1/C",O5615,1),0)</f>
        <v/>
      </c>
      <c r="Y5615" s="12">
        <f>IF(OR(LEFT(K5615,4)="LVAX",LEFT(K5615,6)="MV15AX",LEFT(K5615,4)="CTAX",LEFT(K5615,2)="W|"),2*N5615*O5615,0)</f>
        <v/>
      </c>
      <c r="Z5615" s="12" t="inlineStr"/>
      <c r="AA5615" s="12">
        <f>N5615*O5615</f>
        <v/>
      </c>
    </row>
    <row r="5616">
      <c r="A5616" s="12" t="inlineStr">
        <is>
          <t>K-C-0021</t>
        </is>
      </c>
      <c r="B5616" s="12" t="inlineStr">
        <is>
          <t>K</t>
        </is>
      </c>
      <c r="C5616" s="12" t="inlineStr">
        <is>
          <t>Fuel supply (adjacent market)</t>
        </is>
      </c>
      <c r="D5616" s="12" t="inlineStr">
        <is>
          <t>Motor 1 of 1: control / local station</t>
        </is>
      </c>
      <c r="E5616" s="12" t="inlineStr"/>
      <c r="F5616" s="12" t="inlineStr">
        <is>
          <t>H2 20: 13.8 kV e-house</t>
        </is>
      </c>
      <c r="G5616" s="12" t="inlineStr"/>
      <c r="H5616" s="12" t="inlineStr">
        <is>
          <t>H2 21: rectifier transformer 3 (7 MVA)</t>
        </is>
      </c>
      <c r="I5616" s="12" t="inlineStr">
        <is>
          <t>Control</t>
        </is>
      </c>
      <c r="J5616" s="12" t="inlineStr">
        <is>
          <t>ARMOR-X MC-HL 600 V control, Cu #14 AWG (Class I Div 2)</t>
        </is>
      </c>
      <c r="K5616" s="12" t="inlineStr">
        <is>
          <t>CTAX|7/C|14</t>
        </is>
      </c>
      <c r="L5616" s="12" t="inlineStr">
        <is>
          <t>7/C</t>
        </is>
      </c>
      <c r="M5616" s="12" t="inlineStr">
        <is>
          <t>14</t>
        </is>
      </c>
      <c r="N5616" s="12" t="n">
        <v>1</v>
      </c>
      <c r="O5616" s="12" t="n">
        <v>1</v>
      </c>
      <c r="P5616" s="12" t="n"/>
      <c r="Q5616" s="12" t="n"/>
      <c r="R5616" s="12" t="n"/>
      <c r="S5616" s="12" t="inlineStr">
        <is>
          <t>Duct bank</t>
        </is>
      </c>
      <c r="T5616" s="16" t="n">
        <v>334</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K-C-0022</t>
        </is>
      </c>
      <c r="B5617" s="12" t="inlineStr">
        <is>
          <t>K</t>
        </is>
      </c>
      <c r="C5617" s="12" t="inlineStr">
        <is>
          <t>Fuel supply (adjacent market)</t>
        </is>
      </c>
      <c r="D5617" s="12" t="inlineStr">
        <is>
          <t>Solenoid to JB JB-H2 21: rectifier t-SOL01: 2 x 2/C (field cables)</t>
        </is>
      </c>
      <c r="E5617" s="12" t="inlineStr"/>
      <c r="F5617" s="12" t="inlineStr">
        <is>
          <t>H2 21: rectifier transformer 3 (7 MVA)</t>
        </is>
      </c>
      <c r="G5617" s="12" t="inlineStr">
        <is>
          <t>JB-H2 21: rectifier t-SOL01</t>
        </is>
      </c>
      <c r="H5617" s="12" t="inlineStr">
        <is>
          <t>H2 21: rectifier transformer 3 (7 MVA)</t>
        </is>
      </c>
      <c r="I5617" s="12" t="inlineStr">
        <is>
          <t>Control</t>
        </is>
      </c>
      <c r="J5617" s="12" t="inlineStr">
        <is>
          <t>ARMOR-X MC-HL 600 V control, Cu #14 AWG (Class I Div 2)</t>
        </is>
      </c>
      <c r="K5617" s="12" t="inlineStr">
        <is>
          <t>CTAX|2/C|14</t>
        </is>
      </c>
      <c r="L5617" s="12" t="inlineStr">
        <is>
          <t>2/C</t>
        </is>
      </c>
      <c r="M5617" s="12" t="inlineStr">
        <is>
          <t>14</t>
        </is>
      </c>
      <c r="N5617" s="12" t="n">
        <v>2</v>
      </c>
      <c r="O5617" s="12" t="n">
        <v>1</v>
      </c>
      <c r="P5617" s="12" t="n"/>
      <c r="Q5617" s="12" t="n"/>
      <c r="R5617" s="12" t="n"/>
      <c r="S5617" s="12" t="inlineStr">
        <is>
          <t>Tray / conduit</t>
        </is>
      </c>
      <c r="T5617" s="16" t="n">
        <v>41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K-C-0023</t>
        </is>
      </c>
      <c r="B5618" s="12" t="inlineStr">
        <is>
          <t>K</t>
        </is>
      </c>
      <c r="C5618" s="12" t="inlineStr">
        <is>
          <t>Fuel supply (adjacent market)</t>
        </is>
      </c>
      <c r="D5618" s="12" t="inlineStr">
        <is>
          <t>Home run JB-H2 21: rectifier t-SOL01 to the control / marshalling room</t>
        </is>
      </c>
      <c r="E5618" s="12" t="inlineStr"/>
      <c r="F5618" s="12" t="inlineStr">
        <is>
          <t>H2 20: 13.8 kV e-house</t>
        </is>
      </c>
      <c r="G5618" s="12" t="inlineStr">
        <is>
          <t>JB-H2 21: rectifier t-SOL01</t>
        </is>
      </c>
      <c r="H5618" s="12" t="inlineStr">
        <is>
          <t>H2 21: rectifier transformer 3 (7 MVA)</t>
        </is>
      </c>
      <c r="I5618" s="12" t="inlineStr">
        <is>
          <t>Control</t>
        </is>
      </c>
      <c r="J5618" s="12" t="inlineStr">
        <is>
          <t>ARMOR-X MC-HL 600 V control, Cu #14 AWG (Class I Div 2)</t>
        </is>
      </c>
      <c r="K5618" s="12" t="inlineStr">
        <is>
          <t>CTAX|25/C|14</t>
        </is>
      </c>
      <c r="L5618" s="12" t="inlineStr">
        <is>
          <t>25/C</t>
        </is>
      </c>
      <c r="M5618" s="12" t="inlineStr">
        <is>
          <t>14</t>
        </is>
      </c>
      <c r="N5618" s="12" t="n">
        <v>1</v>
      </c>
      <c r="O5618" s="12" t="n">
        <v>1</v>
      </c>
      <c r="P5618" s="12" t="n"/>
      <c r="Q5618" s="12" t="n"/>
      <c r="R5618" s="12" t="n"/>
      <c r="S5618" s="12" t="inlineStr">
        <is>
          <t>Duct bank</t>
        </is>
      </c>
      <c r="T5618" s="16" t="n">
        <v>334</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K-C-0024</t>
        </is>
      </c>
      <c r="B5619" s="12" t="inlineStr">
        <is>
          <t>K</t>
        </is>
      </c>
      <c r="C5619" s="12" t="inlineStr">
        <is>
          <t>Fuel supply (adjacent market)</t>
        </is>
      </c>
      <c r="D5619" s="12" t="inlineStr">
        <is>
          <t>Control</t>
        </is>
      </c>
      <c r="E5619" s="12" t="inlineStr"/>
      <c r="F5619" s="12" t="inlineStr">
        <is>
          <t>H2 20: 13.8 kV e-house</t>
        </is>
      </c>
      <c r="G5619" s="12" t="inlineStr"/>
      <c r="H5619" s="12" t="inlineStr">
        <is>
          <t>H2 21: rectifier transformer 3 (7 MVA)</t>
        </is>
      </c>
      <c r="I5619" s="12" t="inlineStr">
        <is>
          <t>Control</t>
        </is>
      </c>
      <c r="J5619" s="12" t="inlineStr">
        <is>
          <t>ARMOR-X MC-HL 600 V control, Cu #14 AWG (Class I Div 2)</t>
        </is>
      </c>
      <c r="K5619" s="12" t="inlineStr">
        <is>
          <t>CTAX|7/C|14</t>
        </is>
      </c>
      <c r="L5619" s="12" t="inlineStr">
        <is>
          <t>7/C</t>
        </is>
      </c>
      <c r="M5619" s="12" t="inlineStr">
        <is>
          <t>14</t>
        </is>
      </c>
      <c r="N5619" s="12" t="n">
        <v>1</v>
      </c>
      <c r="O5619" s="12" t="n">
        <v>1</v>
      </c>
      <c r="P5619" s="12" t="n"/>
      <c r="Q5619" s="12" t="n"/>
      <c r="R5619" s="12" t="n"/>
      <c r="S5619" s="12" t="inlineStr">
        <is>
          <t>Duct bank</t>
        </is>
      </c>
      <c r="T5619" s="16" t="n">
        <v>334</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c r="AA5619" s="12">
        <f>N5619*O5619</f>
        <v/>
      </c>
    </row>
    <row r="5620">
      <c r="A5620" s="12" t="inlineStr">
        <is>
          <t>K-C-0025</t>
        </is>
      </c>
      <c r="B5620" s="12" t="inlineStr">
        <is>
          <t>K</t>
        </is>
      </c>
      <c r="C5620" s="12" t="inlineStr">
        <is>
          <t>Fuel supply (adjacent market)</t>
        </is>
      </c>
      <c r="D5620" s="12" t="inlineStr">
        <is>
          <t>Control</t>
        </is>
      </c>
      <c r="E5620" s="12" t="inlineStr"/>
      <c r="F5620" s="12" t="inlineStr">
        <is>
          <t>H2 20: 13.8 kV e-house</t>
        </is>
      </c>
      <c r="G5620" s="12" t="inlineStr"/>
      <c r="H5620" s="12" t="inlineStr">
        <is>
          <t>H2 21: rectifier transformer 3 (7 MVA)</t>
        </is>
      </c>
      <c r="I5620" s="12" t="inlineStr">
        <is>
          <t>Control</t>
        </is>
      </c>
      <c r="J5620" s="12" t="inlineStr">
        <is>
          <t>ARMOR-X MC-HL 600 V control, Cu #14 AWG (Class I Div 2)</t>
        </is>
      </c>
      <c r="K5620" s="12" t="inlineStr">
        <is>
          <t>CTAX|12/C|14</t>
        </is>
      </c>
      <c r="L5620" s="12" t="inlineStr">
        <is>
          <t>12/C</t>
        </is>
      </c>
      <c r="M5620" s="12" t="inlineStr">
        <is>
          <t>14</t>
        </is>
      </c>
      <c r="N5620" s="12" t="n">
        <v>1</v>
      </c>
      <c r="O5620" s="12" t="n">
        <v>1</v>
      </c>
      <c r="P5620" s="12" t="n"/>
      <c r="Q5620" s="12" t="n"/>
      <c r="R5620" s="12" t="n"/>
      <c r="S5620" s="12" t="inlineStr">
        <is>
          <t>Duct bank</t>
        </is>
      </c>
      <c r="T5620" s="16" t="n">
        <v>334</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K-C-0026</t>
        </is>
      </c>
      <c r="B5621" s="12" t="inlineStr">
        <is>
          <t>K</t>
        </is>
      </c>
      <c r="C5621" s="12" t="inlineStr">
        <is>
          <t>Fuel supply (adjacent market)</t>
        </is>
      </c>
      <c r="D5621" s="12" t="inlineStr">
        <is>
          <t>CT / VT</t>
        </is>
      </c>
      <c r="E5621" s="12" t="inlineStr"/>
      <c r="F5621" s="12" t="inlineStr">
        <is>
          <t>H2 20: 13.8 kV e-house</t>
        </is>
      </c>
      <c r="G5621" s="12" t="inlineStr"/>
      <c r="H5621" s="12" t="inlineStr">
        <is>
          <t>H2 21: rectifier transformer 3 (7 MVA)</t>
        </is>
      </c>
      <c r="I5621" s="12" t="inlineStr">
        <is>
          <t>Control</t>
        </is>
      </c>
      <c r="J5621" s="12" t="inlineStr">
        <is>
          <t>Control cable 600 V Type TC-ER, Cu #10 AWG (CT / VT circuits)</t>
        </is>
      </c>
      <c r="K5621" s="12" t="inlineStr">
        <is>
          <t>CTCT|4/C|10</t>
        </is>
      </c>
      <c r="L5621" s="12" t="inlineStr">
        <is>
          <t>4/C</t>
        </is>
      </c>
      <c r="M5621" s="12" t="inlineStr">
        <is>
          <t>10</t>
        </is>
      </c>
      <c r="N5621" s="12" t="n">
        <v>1</v>
      </c>
      <c r="O5621" s="12" t="n">
        <v>1</v>
      </c>
      <c r="P5621" s="12" t="n"/>
      <c r="Q5621" s="12" t="n"/>
      <c r="R5621" s="12" t="n"/>
      <c r="S5621" s="12" t="inlineStr">
        <is>
          <t>Duct bank</t>
        </is>
      </c>
      <c r="T5621" s="16" t="n">
        <v>334</v>
      </c>
      <c r="U5621" s="16" t="n">
        <v>32</v>
      </c>
      <c r="V5621" s="16">
        <f>ROUNDUP((T5621+U5621+2*'Read Me'!$B$13)*(1+'Read Me'!$B$12),-1)</f>
        <v/>
      </c>
      <c r="W5621" s="16">
        <f>V5621*N5621*O5621</f>
        <v/>
      </c>
      <c r="X5621" s="12">
        <f>IF(LEFT(I5621,2)="MV",2*N5621*IF(L5621="1/C",O5621,1),0)</f>
        <v/>
      </c>
      <c r="Y5621" s="12">
        <f>IF(OR(LEFT(K5621,4)="LVAX",LEFT(K5621,6)="MV15AX",LEFT(K5621,4)="CTAX",LEFT(K5621,2)="W|"),2*N5621*O5621,0)</f>
        <v/>
      </c>
      <c r="Z5621" s="12" t="inlineStr"/>
      <c r="AA5621" s="12">
        <f>N5621*O5621</f>
        <v/>
      </c>
    </row>
    <row r="5622">
      <c r="A5622" s="12" t="inlineStr">
        <is>
          <t>K-C-0027</t>
        </is>
      </c>
      <c r="B5622" s="12" t="inlineStr">
        <is>
          <t>K</t>
        </is>
      </c>
      <c r="C5622" s="12" t="inlineStr">
        <is>
          <t>Fuel supply (adjacent market)</t>
        </is>
      </c>
      <c r="D5622" s="12" t="inlineStr">
        <is>
          <t>CT / VT</t>
        </is>
      </c>
      <c r="E5622" s="12" t="inlineStr"/>
      <c r="F5622" s="12" t="inlineStr">
        <is>
          <t>H2 20: 13.8 kV e-house</t>
        </is>
      </c>
      <c r="G5622" s="12" t="inlineStr"/>
      <c r="H5622" s="12" t="inlineStr">
        <is>
          <t>H2 21: rectifier transformer 3 (7 MVA)</t>
        </is>
      </c>
      <c r="I5622" s="12" t="inlineStr">
        <is>
          <t>Control</t>
        </is>
      </c>
      <c r="J5622" s="12" t="inlineStr">
        <is>
          <t>Control cable 600 V Type TC-ER, Cu #10 AWG (CT / VT circuits)</t>
        </is>
      </c>
      <c r="K5622" s="12" t="inlineStr">
        <is>
          <t>CTCT|4/C|10</t>
        </is>
      </c>
      <c r="L5622" s="12" t="inlineStr">
        <is>
          <t>4/C</t>
        </is>
      </c>
      <c r="M5622" s="12" t="inlineStr">
        <is>
          <t>10</t>
        </is>
      </c>
      <c r="N5622" s="12" t="n">
        <v>1</v>
      </c>
      <c r="O5622" s="12" t="n">
        <v>1</v>
      </c>
      <c r="P5622" s="12" t="n"/>
      <c r="Q5622" s="12" t="n"/>
      <c r="R5622" s="12" t="n"/>
      <c r="S5622" s="12" t="inlineStr">
        <is>
          <t>Duct bank</t>
        </is>
      </c>
      <c r="T5622" s="16" t="n">
        <v>334</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K-C-0028</t>
        </is>
      </c>
      <c r="B5623" s="12" t="inlineStr">
        <is>
          <t>K</t>
        </is>
      </c>
      <c r="C5623" s="12" t="inlineStr">
        <is>
          <t>Fuel supply (adjacent market)</t>
        </is>
      </c>
      <c r="D5623" s="12" t="inlineStr">
        <is>
          <t>Motor 1 of 1: control / local station</t>
        </is>
      </c>
      <c r="E5623" s="12" t="inlineStr"/>
      <c r="F5623" s="12" t="inlineStr">
        <is>
          <t>H2 20: 13.8 kV e-house</t>
        </is>
      </c>
      <c r="G5623" s="12" t="inlineStr"/>
      <c r="H5623" s="12" t="inlineStr">
        <is>
          <t>H2 21: rectifier transformer 4 (7 MVA)</t>
        </is>
      </c>
      <c r="I5623" s="12" t="inlineStr">
        <is>
          <t>Control</t>
        </is>
      </c>
      <c r="J5623" s="12" t="inlineStr">
        <is>
          <t>ARMOR-X MC-HL 600 V control, Cu #14 AWG (Class I Div 2)</t>
        </is>
      </c>
      <c r="K5623" s="12" t="inlineStr">
        <is>
          <t>CTAX|7/C|14</t>
        </is>
      </c>
      <c r="L5623" s="12" t="inlineStr">
        <is>
          <t>7/C</t>
        </is>
      </c>
      <c r="M5623" s="12" t="inlineStr">
        <is>
          <t>14</t>
        </is>
      </c>
      <c r="N5623" s="12" t="n">
        <v>1</v>
      </c>
      <c r="O5623" s="12" t="n">
        <v>1</v>
      </c>
      <c r="P5623" s="12" t="n"/>
      <c r="Q5623" s="12" t="n"/>
      <c r="R5623" s="12" t="n"/>
      <c r="S5623" s="12" t="inlineStr">
        <is>
          <t>Duct bank</t>
        </is>
      </c>
      <c r="T5623" s="16" t="n">
        <v>312</v>
      </c>
      <c r="U5623" s="16" t="n">
        <v>32</v>
      </c>
      <c r="V5623" s="16">
        <f>ROUNDUP((T5623+U5623+2*'Read Me'!$B$13)*(1+'Read Me'!$B$12),-1)</f>
        <v/>
      </c>
      <c r="W5623" s="16">
        <f>V5623*N5623*O5623</f>
        <v/>
      </c>
      <c r="X5623" s="12">
        <f>IF(LEFT(I5623,2)="MV",2*N5623*IF(L5623="1/C",O5623,1),0)</f>
        <v/>
      </c>
      <c r="Y5623" s="12">
        <f>IF(OR(LEFT(K5623,4)="LVAX",LEFT(K5623,6)="MV15AX",LEFT(K5623,4)="CTAX",LEFT(K5623,2)="W|"),2*N5623*O5623,0)</f>
        <v/>
      </c>
      <c r="Z5623" s="12" t="inlineStr"/>
      <c r="AA5623" s="12">
        <f>N5623*O5623</f>
        <v/>
      </c>
    </row>
    <row r="5624">
      <c r="A5624" s="12" t="inlineStr">
        <is>
          <t>K-C-0029</t>
        </is>
      </c>
      <c r="B5624" s="12" t="inlineStr">
        <is>
          <t>K</t>
        </is>
      </c>
      <c r="C5624" s="12" t="inlineStr">
        <is>
          <t>Fuel supply (adjacent market)</t>
        </is>
      </c>
      <c r="D5624" s="12" t="inlineStr">
        <is>
          <t>Solenoid to JB JB-H2 21: rectifier t-SOL01: 2 x 2/C (field cables)</t>
        </is>
      </c>
      <c r="E5624" s="12" t="inlineStr"/>
      <c r="F5624" s="12" t="inlineStr">
        <is>
          <t>H2 21: rectifier transformer 4 (7 MVA)</t>
        </is>
      </c>
      <c r="G5624" s="12" t="inlineStr">
        <is>
          <t>JB-H2 21: rectifier t-SOL01</t>
        </is>
      </c>
      <c r="H5624" s="12" t="inlineStr">
        <is>
          <t>H2 21: rectifier transformer 4 (7 MVA)</t>
        </is>
      </c>
      <c r="I5624" s="12" t="inlineStr">
        <is>
          <t>Control</t>
        </is>
      </c>
      <c r="J5624" s="12" t="inlineStr">
        <is>
          <t>ARMOR-X MC-HL 600 V control, Cu #14 AWG (Class I Div 2)</t>
        </is>
      </c>
      <c r="K5624" s="12" t="inlineStr">
        <is>
          <t>CTAX|2/C|14</t>
        </is>
      </c>
      <c r="L5624" s="12" t="inlineStr">
        <is>
          <t>2/C</t>
        </is>
      </c>
      <c r="M5624" s="12" t="inlineStr">
        <is>
          <t>14</t>
        </is>
      </c>
      <c r="N5624" s="12" t="n">
        <v>2</v>
      </c>
      <c r="O5624" s="12" t="n">
        <v>1</v>
      </c>
      <c r="P5624" s="12" t="n"/>
      <c r="Q5624" s="12" t="n"/>
      <c r="R5624" s="12" t="n"/>
      <c r="S5624" s="12" t="inlineStr">
        <is>
          <t>Tray / conduit</t>
        </is>
      </c>
      <c r="T5624" s="16" t="n">
        <v>41</v>
      </c>
      <c r="U5624" s="16" t="n">
        <v>10</v>
      </c>
      <c r="V5624" s="16">
        <f>ROUNDUP((T5624+U5624+2*'Read Me'!$B$13)*(1+'Read Me'!$B$12),-1)</f>
        <v/>
      </c>
      <c r="W5624" s="16">
        <f>V5624*N5624*O5624</f>
        <v/>
      </c>
      <c r="X5624" s="12">
        <f>IF(LEFT(I5624,2)="MV",2*N5624*IF(L5624="1/C",O5624,1),0)</f>
        <v/>
      </c>
      <c r="Y5624" s="12">
        <f>IF(OR(LEFT(K5624,4)="LVAX",LEFT(K5624,6)="MV15AX",LEFT(K5624,4)="CTAX",LEFT(K5624,2)="W|"),2*N5624*O5624,0)</f>
        <v/>
      </c>
      <c r="Z5624" s="12" t="inlineStr">
        <is>
          <t>device-to-JB field wiring, one cable per device</t>
        </is>
      </c>
      <c r="AA5624" s="12">
        <f>N5624*O5624</f>
        <v/>
      </c>
    </row>
    <row r="5625">
      <c r="A5625" s="12" t="inlineStr">
        <is>
          <t>K-C-0030</t>
        </is>
      </c>
      <c r="B5625" s="12" t="inlineStr">
        <is>
          <t>K</t>
        </is>
      </c>
      <c r="C5625" s="12" t="inlineStr">
        <is>
          <t>Fuel supply (adjacent market)</t>
        </is>
      </c>
      <c r="D5625" s="12" t="inlineStr">
        <is>
          <t>Home run JB-H2 21: rectifier t-SOL01 to the control / marshalling room</t>
        </is>
      </c>
      <c r="E5625" s="12" t="inlineStr"/>
      <c r="F5625" s="12" t="inlineStr">
        <is>
          <t>H2 20: 13.8 kV e-house</t>
        </is>
      </c>
      <c r="G5625" s="12" t="inlineStr">
        <is>
          <t>JB-H2 21: rectifier t-SOL01</t>
        </is>
      </c>
      <c r="H5625" s="12" t="inlineStr">
        <is>
          <t>H2 21: rectifier transformer 4 (7 MVA)</t>
        </is>
      </c>
      <c r="I5625" s="12" t="inlineStr">
        <is>
          <t>Control</t>
        </is>
      </c>
      <c r="J5625" s="12" t="inlineStr">
        <is>
          <t>ARMOR-X MC-HL 600 V control, Cu #14 AWG (Class I Div 2)</t>
        </is>
      </c>
      <c r="K5625" s="12" t="inlineStr">
        <is>
          <t>CTAX|25/C|14</t>
        </is>
      </c>
      <c r="L5625" s="12" t="inlineStr">
        <is>
          <t>25/C</t>
        </is>
      </c>
      <c r="M5625" s="12" t="inlineStr">
        <is>
          <t>14</t>
        </is>
      </c>
      <c r="N5625" s="12" t="n">
        <v>1</v>
      </c>
      <c r="O5625" s="12" t="n">
        <v>1</v>
      </c>
      <c r="P5625" s="12" t="n"/>
      <c r="Q5625" s="12" t="n"/>
      <c r="R5625" s="12" t="n"/>
      <c r="S5625" s="12" t="inlineStr">
        <is>
          <t>Duct bank</t>
        </is>
      </c>
      <c r="T5625" s="16" t="n">
        <v>312</v>
      </c>
      <c r="U5625" s="16" t="n">
        <v>32</v>
      </c>
      <c r="V5625" s="16">
        <f>ROUNDUP((T5625+U5625+2*'Read Me'!$B$13)*(1+'Read Me'!$B$12),-1)</f>
        <v/>
      </c>
      <c r="W5625" s="16">
        <f>V5625*N5625*O5625</f>
        <v/>
      </c>
      <c r="X5625" s="12">
        <f>IF(LEFT(I5625,2)="MV",2*N5625*IF(L5625="1/C",O5625,1),0)</f>
        <v/>
      </c>
      <c r="Y5625" s="12">
        <f>IF(OR(LEFT(K5625,4)="LVAX",LEFT(K5625,6)="MV15AX",LEFT(K5625,4)="CTAX",LEFT(K5625,2)="W|"),2*N5625*O5625,0)</f>
        <v/>
      </c>
      <c r="Z5625" s="12" t="inlineStr"/>
      <c r="AA5625" s="12">
        <f>N5625*O5625</f>
        <v/>
      </c>
    </row>
    <row r="5626">
      <c r="A5626" s="12" t="inlineStr">
        <is>
          <t>K-C-0031</t>
        </is>
      </c>
      <c r="B5626" s="12" t="inlineStr">
        <is>
          <t>K</t>
        </is>
      </c>
      <c r="C5626" s="12" t="inlineStr">
        <is>
          <t>Fuel supply (adjacent market)</t>
        </is>
      </c>
      <c r="D5626" s="12" t="inlineStr">
        <is>
          <t>Control</t>
        </is>
      </c>
      <c r="E5626" s="12" t="inlineStr"/>
      <c r="F5626" s="12" t="inlineStr">
        <is>
          <t>H2 20: 13.8 kV e-house</t>
        </is>
      </c>
      <c r="G5626" s="12" t="inlineStr"/>
      <c r="H5626" s="12" t="inlineStr">
        <is>
          <t>H2 21: rectifier transformer 4 (7 MVA)</t>
        </is>
      </c>
      <c r="I5626" s="12" t="inlineStr">
        <is>
          <t>Control</t>
        </is>
      </c>
      <c r="J5626" s="12" t="inlineStr">
        <is>
          <t>ARMOR-X MC-HL 600 V control, Cu #14 AWG (Class I Div 2)</t>
        </is>
      </c>
      <c r="K5626" s="12" t="inlineStr">
        <is>
          <t>CTAX|7/C|14</t>
        </is>
      </c>
      <c r="L5626" s="12" t="inlineStr">
        <is>
          <t>7/C</t>
        </is>
      </c>
      <c r="M5626" s="12" t="inlineStr">
        <is>
          <t>14</t>
        </is>
      </c>
      <c r="N5626" s="12" t="n">
        <v>1</v>
      </c>
      <c r="O5626" s="12" t="n">
        <v>1</v>
      </c>
      <c r="P5626" s="12" t="n"/>
      <c r="Q5626" s="12" t="n"/>
      <c r="R5626" s="12" t="n"/>
      <c r="S5626" s="12" t="inlineStr">
        <is>
          <t>Duct bank</t>
        </is>
      </c>
      <c r="T5626" s="16" t="n">
        <v>312</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K-C-0032</t>
        </is>
      </c>
      <c r="B5627" s="12" t="inlineStr">
        <is>
          <t>K</t>
        </is>
      </c>
      <c r="C5627" s="12" t="inlineStr">
        <is>
          <t>Fuel supply (adjacent market)</t>
        </is>
      </c>
      <c r="D5627" s="12" t="inlineStr">
        <is>
          <t>Control</t>
        </is>
      </c>
      <c r="E5627" s="12" t="inlineStr"/>
      <c r="F5627" s="12" t="inlineStr">
        <is>
          <t>H2 20: 13.8 kV e-house</t>
        </is>
      </c>
      <c r="G5627" s="12" t="inlineStr"/>
      <c r="H5627" s="12" t="inlineStr">
        <is>
          <t>H2 21: rectifier transformer 4 (7 MVA)</t>
        </is>
      </c>
      <c r="I5627" s="12" t="inlineStr">
        <is>
          <t>Control</t>
        </is>
      </c>
      <c r="J5627" s="12" t="inlineStr">
        <is>
          <t>ARMOR-X MC-HL 600 V control, Cu #14 AWG (Class I Div 2)</t>
        </is>
      </c>
      <c r="K5627" s="12" t="inlineStr">
        <is>
          <t>CTAX|12/C|14</t>
        </is>
      </c>
      <c r="L5627" s="12" t="inlineStr">
        <is>
          <t>12/C</t>
        </is>
      </c>
      <c r="M5627" s="12" t="inlineStr">
        <is>
          <t>14</t>
        </is>
      </c>
      <c r="N5627" s="12" t="n">
        <v>1</v>
      </c>
      <c r="O5627" s="12" t="n">
        <v>1</v>
      </c>
      <c r="P5627" s="12" t="n"/>
      <c r="Q5627" s="12" t="n"/>
      <c r="R5627" s="12" t="n"/>
      <c r="S5627" s="12" t="inlineStr">
        <is>
          <t>Duct bank</t>
        </is>
      </c>
      <c r="T5627" s="16" t="n">
        <v>312</v>
      </c>
      <c r="U5627" s="16" t="n">
        <v>32</v>
      </c>
      <c r="V5627" s="16">
        <f>ROUNDUP((T5627+U5627+2*'Read Me'!$B$13)*(1+'Read Me'!$B$12),-1)</f>
        <v/>
      </c>
      <c r="W5627" s="16">
        <f>V5627*N5627*O5627</f>
        <v/>
      </c>
      <c r="X5627" s="12">
        <f>IF(LEFT(I5627,2)="MV",2*N5627*IF(L5627="1/C",O5627,1),0)</f>
        <v/>
      </c>
      <c r="Y5627" s="12">
        <f>IF(OR(LEFT(K5627,4)="LVAX",LEFT(K5627,6)="MV15AX",LEFT(K5627,4)="CTAX",LEFT(K5627,2)="W|"),2*N5627*O5627,0)</f>
        <v/>
      </c>
      <c r="Z5627" s="12" t="inlineStr"/>
      <c r="AA5627" s="12">
        <f>N5627*O5627</f>
        <v/>
      </c>
    </row>
    <row r="5628">
      <c r="A5628" s="12" t="inlineStr">
        <is>
          <t>K-C-0033</t>
        </is>
      </c>
      <c r="B5628" s="12" t="inlineStr">
        <is>
          <t>K</t>
        </is>
      </c>
      <c r="C5628" s="12" t="inlineStr">
        <is>
          <t>Fuel supply (adjacent market)</t>
        </is>
      </c>
      <c r="D5628" s="12" t="inlineStr">
        <is>
          <t>CT / VT</t>
        </is>
      </c>
      <c r="E5628" s="12" t="inlineStr"/>
      <c r="F5628" s="12" t="inlineStr">
        <is>
          <t>H2 20: 13.8 kV e-house</t>
        </is>
      </c>
      <c r="G5628" s="12" t="inlineStr"/>
      <c r="H5628" s="12" t="inlineStr">
        <is>
          <t>H2 21: rectifier transformer 4 (7 MVA)</t>
        </is>
      </c>
      <c r="I5628" s="12" t="inlineStr">
        <is>
          <t>Control</t>
        </is>
      </c>
      <c r="J5628" s="12" t="inlineStr">
        <is>
          <t>Control cable 600 V Type TC-ER, Cu #10 AWG (CT / VT circuits)</t>
        </is>
      </c>
      <c r="K5628" s="12" t="inlineStr">
        <is>
          <t>CTCT|4/C|10</t>
        </is>
      </c>
      <c r="L5628" s="12" t="inlineStr">
        <is>
          <t>4/C</t>
        </is>
      </c>
      <c r="M5628" s="12" t="inlineStr">
        <is>
          <t>10</t>
        </is>
      </c>
      <c r="N5628" s="12" t="n">
        <v>1</v>
      </c>
      <c r="O5628" s="12" t="n">
        <v>1</v>
      </c>
      <c r="P5628" s="12" t="n"/>
      <c r="Q5628" s="12" t="n"/>
      <c r="R5628" s="12" t="n"/>
      <c r="S5628" s="12" t="inlineStr">
        <is>
          <t>Duct bank</t>
        </is>
      </c>
      <c r="T5628" s="16" t="n">
        <v>312</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K-C-0034</t>
        </is>
      </c>
      <c r="B5629" s="12" t="inlineStr">
        <is>
          <t>K</t>
        </is>
      </c>
      <c r="C5629" s="12" t="inlineStr">
        <is>
          <t>Fuel supply (adjacent market)</t>
        </is>
      </c>
      <c r="D5629" s="12" t="inlineStr">
        <is>
          <t>CT / VT</t>
        </is>
      </c>
      <c r="E5629" s="12" t="inlineStr"/>
      <c r="F5629" s="12" t="inlineStr">
        <is>
          <t>H2 20: 13.8 kV e-house</t>
        </is>
      </c>
      <c r="G5629" s="12" t="inlineStr"/>
      <c r="H5629" s="12" t="inlineStr">
        <is>
          <t>H2 21: rectifier transformer 4 (7 MVA)</t>
        </is>
      </c>
      <c r="I5629" s="12" t="inlineStr">
        <is>
          <t>Control</t>
        </is>
      </c>
      <c r="J5629" s="12" t="inlineStr">
        <is>
          <t>Control cable 600 V Type TC-ER, Cu #10 AWG (CT / VT circuits)</t>
        </is>
      </c>
      <c r="K5629" s="12" t="inlineStr">
        <is>
          <t>CTCT|4/C|10</t>
        </is>
      </c>
      <c r="L5629" s="12" t="inlineStr">
        <is>
          <t>4/C</t>
        </is>
      </c>
      <c r="M5629" s="12" t="inlineStr">
        <is>
          <t>10</t>
        </is>
      </c>
      <c r="N5629" s="12" t="n">
        <v>1</v>
      </c>
      <c r="O5629" s="12" t="n">
        <v>1</v>
      </c>
      <c r="P5629" s="12" t="n"/>
      <c r="Q5629" s="12" t="n"/>
      <c r="R5629" s="12" t="n"/>
      <c r="S5629" s="12" t="inlineStr">
        <is>
          <t>Duct bank</t>
        </is>
      </c>
      <c r="T5629" s="16" t="n">
        <v>312</v>
      </c>
      <c r="U5629" s="16" t="n">
        <v>32</v>
      </c>
      <c r="V5629" s="16">
        <f>ROUNDUP((T5629+U5629+2*'Read Me'!$B$13)*(1+'Read Me'!$B$12),-1)</f>
        <v/>
      </c>
      <c r="W5629" s="16">
        <f>V5629*N5629*O5629</f>
        <v/>
      </c>
      <c r="X5629" s="12">
        <f>IF(LEFT(I5629,2)="MV",2*N5629*IF(L5629="1/C",O5629,1),0)</f>
        <v/>
      </c>
      <c r="Y5629" s="12">
        <f>IF(OR(LEFT(K5629,4)="LVAX",LEFT(K5629,6)="MV15AX",LEFT(K5629,4)="CTAX",LEFT(K5629,2)="W|"),2*N5629*O5629,0)</f>
        <v/>
      </c>
      <c r="Z5629" s="12" t="inlineStr"/>
      <c r="AA5629" s="12">
        <f>N5629*O5629</f>
        <v/>
      </c>
    </row>
    <row r="5630">
      <c r="A5630" s="12" t="inlineStr">
        <is>
          <t>K-C-0035</t>
        </is>
      </c>
      <c r="B5630" s="12" t="inlineStr">
        <is>
          <t>K</t>
        </is>
      </c>
      <c r="C5630" s="12" t="inlineStr">
        <is>
          <t>Fuel supply (adjacent market)</t>
        </is>
      </c>
      <c r="D5630" s="12" t="inlineStr">
        <is>
          <t>Motor 1 of 1: control / local station</t>
        </is>
      </c>
      <c r="E5630" s="12" t="inlineStr"/>
      <c r="F5630" s="12" t="inlineStr">
        <is>
          <t>H2 20: 13.8 kV e-house</t>
        </is>
      </c>
      <c r="G5630" s="12" t="inlineStr"/>
      <c r="H5630" s="12" t="inlineStr">
        <is>
          <t>H2 21: rectifier transformer 5 (7 MVA)</t>
        </is>
      </c>
      <c r="I5630" s="12" t="inlineStr">
        <is>
          <t>Control</t>
        </is>
      </c>
      <c r="J5630" s="12" t="inlineStr">
        <is>
          <t>ARMOR-X MC-HL 600 V control, Cu #14 AWG (Class I Div 2)</t>
        </is>
      </c>
      <c r="K5630" s="12" t="inlineStr">
        <is>
          <t>CTAX|7/C|14</t>
        </is>
      </c>
      <c r="L5630" s="12" t="inlineStr">
        <is>
          <t>7/C</t>
        </is>
      </c>
      <c r="M5630" s="12" t="inlineStr">
        <is>
          <t>14</t>
        </is>
      </c>
      <c r="N5630" s="12" t="n">
        <v>1</v>
      </c>
      <c r="O5630" s="12" t="n">
        <v>1</v>
      </c>
      <c r="P5630" s="12" t="n"/>
      <c r="Q5630" s="12" t="n"/>
      <c r="R5630" s="12" t="n"/>
      <c r="S5630" s="12" t="inlineStr">
        <is>
          <t>Duct bank</t>
        </is>
      </c>
      <c r="T5630" s="16" t="n">
        <v>254</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K-C-0036</t>
        </is>
      </c>
      <c r="B5631" s="12" t="inlineStr">
        <is>
          <t>K</t>
        </is>
      </c>
      <c r="C5631" s="12" t="inlineStr">
        <is>
          <t>Fuel supply (adjacent market)</t>
        </is>
      </c>
      <c r="D5631" s="12" t="inlineStr">
        <is>
          <t>Solenoid to JB JB-H2 21: rectifier t-SOL01: 2 x 2/C (field cables)</t>
        </is>
      </c>
      <c r="E5631" s="12" t="inlineStr"/>
      <c r="F5631" s="12" t="inlineStr">
        <is>
          <t>H2 21: rectifier transformer 5 (7 MVA)</t>
        </is>
      </c>
      <c r="G5631" s="12" t="inlineStr">
        <is>
          <t>JB-H2 21: rectifier t-SOL01</t>
        </is>
      </c>
      <c r="H5631" s="12" t="inlineStr">
        <is>
          <t>H2 21: rectifier transformer 5 (7 MVA)</t>
        </is>
      </c>
      <c r="I5631" s="12" t="inlineStr">
        <is>
          <t>Control</t>
        </is>
      </c>
      <c r="J5631" s="12" t="inlineStr">
        <is>
          <t>ARMOR-X MC-HL 600 V control, Cu #14 AWG (Class I Div 2)</t>
        </is>
      </c>
      <c r="K5631" s="12" t="inlineStr">
        <is>
          <t>CTAX|2/C|14</t>
        </is>
      </c>
      <c r="L5631" s="12" t="inlineStr">
        <is>
          <t>2/C</t>
        </is>
      </c>
      <c r="M5631" s="12" t="inlineStr">
        <is>
          <t>14</t>
        </is>
      </c>
      <c r="N5631" s="12" t="n">
        <v>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K-C-0037</t>
        </is>
      </c>
      <c r="B5632" s="12" t="inlineStr">
        <is>
          <t>K</t>
        </is>
      </c>
      <c r="C5632" s="12" t="inlineStr">
        <is>
          <t>Fuel supply (adjacent market)</t>
        </is>
      </c>
      <c r="D5632" s="12" t="inlineStr">
        <is>
          <t>Home run JB-H2 21: rectifier t-SOL01 to the control / marshalling room</t>
        </is>
      </c>
      <c r="E5632" s="12" t="inlineStr"/>
      <c r="F5632" s="12" t="inlineStr">
        <is>
          <t>H2 20: 13.8 kV e-house</t>
        </is>
      </c>
      <c r="G5632" s="12" t="inlineStr">
        <is>
          <t>JB-H2 21: rectifier t-SOL01</t>
        </is>
      </c>
      <c r="H5632" s="12" t="inlineStr">
        <is>
          <t>H2 21: rectifier transformer 5 (7 MVA)</t>
        </is>
      </c>
      <c r="I5632" s="12" t="inlineStr">
        <is>
          <t>Control</t>
        </is>
      </c>
      <c r="J5632" s="12" t="inlineStr">
        <is>
          <t>ARMOR-X MC-HL 600 V control, Cu #14 AWG (Class I Div 2)</t>
        </is>
      </c>
      <c r="K5632" s="12" t="inlineStr">
        <is>
          <t>CTAX|25/C|14</t>
        </is>
      </c>
      <c r="L5632" s="12" t="inlineStr">
        <is>
          <t>25/C</t>
        </is>
      </c>
      <c r="M5632" s="12" t="inlineStr">
        <is>
          <t>14</t>
        </is>
      </c>
      <c r="N5632" s="12" t="n">
        <v>1</v>
      </c>
      <c r="O5632" s="12" t="n">
        <v>1</v>
      </c>
      <c r="P5632" s="12" t="n"/>
      <c r="Q5632" s="12" t="n"/>
      <c r="R5632" s="12" t="n"/>
      <c r="S5632" s="12" t="inlineStr">
        <is>
          <t>Duct bank</t>
        </is>
      </c>
      <c r="T5632" s="16" t="n">
        <v>254</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K-C-0038</t>
        </is>
      </c>
      <c r="B5633" s="12" t="inlineStr">
        <is>
          <t>K</t>
        </is>
      </c>
      <c r="C5633" s="12" t="inlineStr">
        <is>
          <t>Fuel supply (adjacent market)</t>
        </is>
      </c>
      <c r="D5633" s="12" t="inlineStr">
        <is>
          <t>Control</t>
        </is>
      </c>
      <c r="E5633" s="12" t="inlineStr"/>
      <c r="F5633" s="12" t="inlineStr">
        <is>
          <t>H2 20: 13.8 kV e-house</t>
        </is>
      </c>
      <c r="G5633" s="12" t="inlineStr"/>
      <c r="H5633" s="12" t="inlineStr">
        <is>
          <t>H2 21: rectifier transformer 5 (7 MVA)</t>
        </is>
      </c>
      <c r="I5633" s="12" t="inlineStr">
        <is>
          <t>Control</t>
        </is>
      </c>
      <c r="J5633" s="12" t="inlineStr">
        <is>
          <t>ARMOR-X MC-HL 600 V control, Cu #14 AWG (Class I Div 2)</t>
        </is>
      </c>
      <c r="K5633" s="12" t="inlineStr">
        <is>
          <t>CTAX|7/C|14</t>
        </is>
      </c>
      <c r="L5633" s="12" t="inlineStr">
        <is>
          <t>7/C</t>
        </is>
      </c>
      <c r="M5633" s="12" t="inlineStr">
        <is>
          <t>14</t>
        </is>
      </c>
      <c r="N5633" s="12" t="n">
        <v>1</v>
      </c>
      <c r="O5633" s="12" t="n">
        <v>1</v>
      </c>
      <c r="P5633" s="12" t="n"/>
      <c r="Q5633" s="12" t="n"/>
      <c r="R5633" s="12" t="n"/>
      <c r="S5633" s="12" t="inlineStr">
        <is>
          <t>Duct bank</t>
        </is>
      </c>
      <c r="T5633" s="16" t="n">
        <v>254</v>
      </c>
      <c r="U5633" s="16" t="n">
        <v>32</v>
      </c>
      <c r="V5633" s="16">
        <f>ROUNDUP((T5633+U5633+2*'Read Me'!$B$13)*(1+'Read Me'!$B$12),-1)</f>
        <v/>
      </c>
      <c r="W5633" s="16">
        <f>V5633*N5633*O5633</f>
        <v/>
      </c>
      <c r="X5633" s="12">
        <f>IF(LEFT(I5633,2)="MV",2*N5633*IF(L5633="1/C",O5633,1),0)</f>
        <v/>
      </c>
      <c r="Y5633" s="12">
        <f>IF(OR(LEFT(K5633,4)="LVAX",LEFT(K5633,6)="MV15AX",LEFT(K5633,4)="CTAX",LEFT(K5633,2)="W|"),2*N5633*O5633,0)</f>
        <v/>
      </c>
      <c r="Z5633" s="12" t="inlineStr"/>
      <c r="AA5633" s="12">
        <f>N5633*O5633</f>
        <v/>
      </c>
    </row>
    <row r="5634">
      <c r="A5634" s="12" t="inlineStr">
        <is>
          <t>K-C-0039</t>
        </is>
      </c>
      <c r="B5634" s="12" t="inlineStr">
        <is>
          <t>K</t>
        </is>
      </c>
      <c r="C5634" s="12" t="inlineStr">
        <is>
          <t>Fuel supply (adjacent market)</t>
        </is>
      </c>
      <c r="D5634" s="12" t="inlineStr">
        <is>
          <t>Control</t>
        </is>
      </c>
      <c r="E5634" s="12" t="inlineStr"/>
      <c r="F5634" s="12" t="inlineStr">
        <is>
          <t>H2 20: 13.8 kV e-house</t>
        </is>
      </c>
      <c r="G5634" s="12" t="inlineStr"/>
      <c r="H5634" s="12" t="inlineStr">
        <is>
          <t>H2 21: rectifier transformer 5 (7 MVA)</t>
        </is>
      </c>
      <c r="I5634" s="12" t="inlineStr">
        <is>
          <t>Control</t>
        </is>
      </c>
      <c r="J5634" s="12" t="inlineStr">
        <is>
          <t>ARMOR-X MC-HL 600 V control, Cu #14 AWG (Class I Div 2)</t>
        </is>
      </c>
      <c r="K5634" s="12" t="inlineStr">
        <is>
          <t>CTAX|12/C|14</t>
        </is>
      </c>
      <c r="L5634" s="12" t="inlineStr">
        <is>
          <t>12/C</t>
        </is>
      </c>
      <c r="M5634" s="12" t="inlineStr">
        <is>
          <t>14</t>
        </is>
      </c>
      <c r="N5634" s="12" t="n">
        <v>1</v>
      </c>
      <c r="O5634" s="12" t="n">
        <v>1</v>
      </c>
      <c r="P5634" s="12" t="n"/>
      <c r="Q5634" s="12" t="n"/>
      <c r="R5634" s="12" t="n"/>
      <c r="S5634" s="12" t="inlineStr">
        <is>
          <t>Duct bank</t>
        </is>
      </c>
      <c r="T5634" s="16" t="n">
        <v>254</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K-C-0040</t>
        </is>
      </c>
      <c r="B5635" s="12" t="inlineStr">
        <is>
          <t>K</t>
        </is>
      </c>
      <c r="C5635" s="12" t="inlineStr">
        <is>
          <t>Fuel supply (adjacent market)</t>
        </is>
      </c>
      <c r="D5635" s="12" t="inlineStr">
        <is>
          <t>CT / VT</t>
        </is>
      </c>
      <c r="E5635" s="12" t="inlineStr"/>
      <c r="F5635" s="12" t="inlineStr">
        <is>
          <t>H2 20: 13.8 kV e-house</t>
        </is>
      </c>
      <c r="G5635" s="12" t="inlineStr"/>
      <c r="H5635" s="12" t="inlineStr">
        <is>
          <t>H2 21: rectifier transformer 5 (7 MVA)</t>
        </is>
      </c>
      <c r="I5635" s="12" t="inlineStr">
        <is>
          <t>Control</t>
        </is>
      </c>
      <c r="J5635" s="12" t="inlineStr">
        <is>
          <t>Control cable 600 V Type TC-ER, Cu #10 AWG (CT / VT circuits)</t>
        </is>
      </c>
      <c r="K5635" s="12" t="inlineStr">
        <is>
          <t>CTCT|4/C|10</t>
        </is>
      </c>
      <c r="L5635" s="12" t="inlineStr">
        <is>
          <t>4/C</t>
        </is>
      </c>
      <c r="M5635" s="12" t="inlineStr">
        <is>
          <t>10</t>
        </is>
      </c>
      <c r="N5635" s="12" t="n">
        <v>1</v>
      </c>
      <c r="O5635" s="12" t="n">
        <v>1</v>
      </c>
      <c r="P5635" s="12" t="n"/>
      <c r="Q5635" s="12" t="n"/>
      <c r="R5635" s="12" t="n"/>
      <c r="S5635" s="12" t="inlineStr">
        <is>
          <t>Duct bank</t>
        </is>
      </c>
      <c r="T5635" s="16" t="n">
        <v>254</v>
      </c>
      <c r="U5635" s="16" t="n">
        <v>32</v>
      </c>
      <c r="V5635" s="16">
        <f>ROUNDUP((T5635+U5635+2*'Read Me'!$B$13)*(1+'Read Me'!$B$12),-1)</f>
        <v/>
      </c>
      <c r="W5635" s="16">
        <f>V5635*N5635*O5635</f>
        <v/>
      </c>
      <c r="X5635" s="12">
        <f>IF(LEFT(I5635,2)="MV",2*N5635*IF(L5635="1/C",O5635,1),0)</f>
        <v/>
      </c>
      <c r="Y5635" s="12">
        <f>IF(OR(LEFT(K5635,4)="LVAX",LEFT(K5635,6)="MV15AX",LEFT(K5635,4)="CTAX",LEFT(K5635,2)="W|"),2*N5635*O5635,0)</f>
        <v/>
      </c>
      <c r="Z5635" s="12" t="inlineStr"/>
      <c r="AA5635" s="12">
        <f>N5635*O5635</f>
        <v/>
      </c>
    </row>
    <row r="5636">
      <c r="A5636" s="12" t="inlineStr">
        <is>
          <t>K-C-0041</t>
        </is>
      </c>
      <c r="B5636" s="12" t="inlineStr">
        <is>
          <t>K</t>
        </is>
      </c>
      <c r="C5636" s="12" t="inlineStr">
        <is>
          <t>Fuel supply (adjacent market)</t>
        </is>
      </c>
      <c r="D5636" s="12" t="inlineStr">
        <is>
          <t>CT / VT</t>
        </is>
      </c>
      <c r="E5636" s="12" t="inlineStr"/>
      <c r="F5636" s="12" t="inlineStr">
        <is>
          <t>H2 20: 13.8 kV e-house</t>
        </is>
      </c>
      <c r="G5636" s="12" t="inlineStr"/>
      <c r="H5636" s="12" t="inlineStr">
        <is>
          <t>H2 21: rectifier transformer 5 (7 MVA)</t>
        </is>
      </c>
      <c r="I5636" s="12" t="inlineStr">
        <is>
          <t>Control</t>
        </is>
      </c>
      <c r="J5636" s="12" t="inlineStr">
        <is>
          <t>Control cable 600 V Type TC-ER, Cu #10 AWG (CT / VT circuits)</t>
        </is>
      </c>
      <c r="K5636" s="12" t="inlineStr">
        <is>
          <t>CTCT|4/C|10</t>
        </is>
      </c>
      <c r="L5636" s="12" t="inlineStr">
        <is>
          <t>4/C</t>
        </is>
      </c>
      <c r="M5636" s="12" t="inlineStr">
        <is>
          <t>10</t>
        </is>
      </c>
      <c r="N5636" s="12" t="n">
        <v>1</v>
      </c>
      <c r="O5636" s="12" t="n">
        <v>1</v>
      </c>
      <c r="P5636" s="12" t="n"/>
      <c r="Q5636" s="12" t="n"/>
      <c r="R5636" s="12" t="n"/>
      <c r="S5636" s="12" t="inlineStr">
        <is>
          <t>Duct bank</t>
        </is>
      </c>
      <c r="T5636" s="16" t="n">
        <v>254</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K-C-0042</t>
        </is>
      </c>
      <c r="B5637" s="12" t="inlineStr">
        <is>
          <t>K</t>
        </is>
      </c>
      <c r="C5637" s="12" t="inlineStr">
        <is>
          <t>Fuel supply (adjacent market)</t>
        </is>
      </c>
      <c r="D5637" s="12" t="inlineStr">
        <is>
          <t>Motor 1 of 1: control / local station</t>
        </is>
      </c>
      <c r="E5637" s="12" t="inlineStr"/>
      <c r="F5637" s="12" t="inlineStr">
        <is>
          <t>H2 20: 13.8 kV e-house</t>
        </is>
      </c>
      <c r="G5637" s="12" t="inlineStr">
        <is>
          <t>H2-EL</t>
        </is>
      </c>
      <c r="H5637" s="12" t="inlineStr">
        <is>
          <t>H2 22: electrolyzer building (5 x HyLYZER-1000 + 5 rectifiers)</t>
        </is>
      </c>
      <c r="I5637" s="12" t="inlineStr">
        <is>
          <t>Control</t>
        </is>
      </c>
      <c r="J5637" s="12" t="inlineStr">
        <is>
          <t>ARMOR-X MC-HL 600 V control, Cu #14 AWG (Class I Div 2)</t>
        </is>
      </c>
      <c r="K5637" s="12" t="inlineStr">
        <is>
          <t>CTAX|7/C|14</t>
        </is>
      </c>
      <c r="L5637" s="12" t="inlineStr">
        <is>
          <t>7/C</t>
        </is>
      </c>
      <c r="M5637" s="12" t="inlineStr">
        <is>
          <t>14</t>
        </is>
      </c>
      <c r="N5637" s="12" t="n">
        <v>1</v>
      </c>
      <c r="O5637" s="12" t="n">
        <v>1</v>
      </c>
      <c r="P5637" s="12" t="n"/>
      <c r="Q5637" s="12" t="n"/>
      <c r="R5637" s="12" t="n"/>
      <c r="S5637" s="12" t="inlineStr">
        <is>
          <t>Duct bank</t>
        </is>
      </c>
      <c r="T5637" s="16" t="n">
        <v>346</v>
      </c>
      <c r="U5637" s="16" t="n">
        <v>32</v>
      </c>
      <c r="V5637" s="16">
        <f>ROUNDUP((T5637+U5637+2*'Read Me'!$B$13)*(1+'Read Me'!$B$12),-1)</f>
        <v/>
      </c>
      <c r="W5637" s="16">
        <f>V5637*N5637*O5637</f>
        <v/>
      </c>
      <c r="X5637" s="12">
        <f>IF(LEFT(I5637,2)="MV",2*N5637*IF(L5637="1/C",O5637,1),0)</f>
        <v/>
      </c>
      <c r="Y5637" s="12">
        <f>IF(OR(LEFT(K5637,4)="LVAX",LEFT(K5637,6)="MV15AX",LEFT(K5637,4)="CTAX",LEFT(K5637,2)="W|"),2*N5637*O5637,0)</f>
        <v/>
      </c>
      <c r="Z5637" s="12" t="inlineStr"/>
      <c r="AA5637" s="12">
        <f>N5637*O5637</f>
        <v/>
      </c>
    </row>
    <row r="5638">
      <c r="A5638" s="12" t="inlineStr">
        <is>
          <t>K-C-0043</t>
        </is>
      </c>
      <c r="B5638" s="12" t="inlineStr">
        <is>
          <t>K</t>
        </is>
      </c>
      <c r="C5638" s="12" t="inlineStr">
        <is>
          <t>Fuel supply (adjacent market)</t>
        </is>
      </c>
      <c r="D5638" s="12" t="inlineStr">
        <is>
          <t>Solenoid to JB JB-H2-EL-SOL01: 2 x 2/C (field cables)</t>
        </is>
      </c>
      <c r="E5638" s="12" t="inlineStr">
        <is>
          <t>H2-EL</t>
        </is>
      </c>
      <c r="F5638" s="12" t="inlineStr">
        <is>
          <t>H2 22: electrolyzer building (5 x HyLYZER-1000 + 5 rectifiers)</t>
        </is>
      </c>
      <c r="G5638" s="12" t="inlineStr">
        <is>
          <t>JB-H2-EL-SOL01</t>
        </is>
      </c>
      <c r="H5638" s="12" t="inlineStr">
        <is>
          <t>H2 22: electrolyzer building (5 x HyLYZER-1000 + 5 rectifiers)</t>
        </is>
      </c>
      <c r="I5638" s="12" t="inlineStr">
        <is>
          <t>Control</t>
        </is>
      </c>
      <c r="J5638" s="12" t="inlineStr">
        <is>
          <t>ARMOR-X MC-HL 600 V control, Cu #14 AWG (Class I Div 2)</t>
        </is>
      </c>
      <c r="K5638" s="12" t="inlineStr">
        <is>
          <t>CTAX|2/C|14</t>
        </is>
      </c>
      <c r="L5638" s="12" t="inlineStr">
        <is>
          <t>2/C</t>
        </is>
      </c>
      <c r="M5638" s="12" t="inlineStr">
        <is>
          <t>14</t>
        </is>
      </c>
      <c r="N5638" s="12" t="n">
        <v>2</v>
      </c>
      <c r="O5638" s="12" t="n">
        <v>1</v>
      </c>
      <c r="P5638" s="12" t="n"/>
      <c r="Q5638" s="12" t="n"/>
      <c r="R5638" s="12" t="n"/>
      <c r="S5638" s="12" t="inlineStr">
        <is>
          <t>Tray / conduit</t>
        </is>
      </c>
      <c r="T5638" s="16" t="n">
        <v>157</v>
      </c>
      <c r="U5638" s="16" t="n">
        <v>10</v>
      </c>
      <c r="V5638" s="16">
        <f>ROUNDUP((T5638+U5638+2*'Read Me'!$B$13)*(1+'Read Me'!$B$12),-1)</f>
        <v/>
      </c>
      <c r="W5638" s="16">
        <f>V5638*N5638*O5638</f>
        <v/>
      </c>
      <c r="X5638" s="12">
        <f>IF(LEFT(I5638,2)="MV",2*N5638*IF(L5638="1/C",O5638,1),0)</f>
        <v/>
      </c>
      <c r="Y5638" s="12">
        <f>IF(OR(LEFT(K5638,4)="LVAX",LEFT(K5638,6)="MV15AX",LEFT(K5638,4)="CTAX",LEFT(K5638,2)="W|"),2*N5638*O5638,0)</f>
        <v/>
      </c>
      <c r="Z5638" s="12" t="inlineStr">
        <is>
          <t>device-to-JB field wiring, one cable per device</t>
        </is>
      </c>
      <c r="AA5638" s="12">
        <f>N5638*O5638</f>
        <v/>
      </c>
    </row>
    <row r="5639">
      <c r="A5639" s="12" t="inlineStr">
        <is>
          <t>K-C-0044</t>
        </is>
      </c>
      <c r="B5639" s="12" t="inlineStr">
        <is>
          <t>K</t>
        </is>
      </c>
      <c r="C5639" s="12" t="inlineStr">
        <is>
          <t>Fuel supply (adjacent market)</t>
        </is>
      </c>
      <c r="D5639" s="12" t="inlineStr">
        <is>
          <t>Home run JB-H2-EL-SOL01 to the control / marshalling room</t>
        </is>
      </c>
      <c r="E5639" s="12" t="inlineStr"/>
      <c r="F5639" s="12" t="inlineStr">
        <is>
          <t>H2 20: 13.8 kV e-house</t>
        </is>
      </c>
      <c r="G5639" s="12" t="inlineStr">
        <is>
          <t>JB-H2-EL-SOL01</t>
        </is>
      </c>
      <c r="H5639" s="12" t="inlineStr">
        <is>
          <t>H2 22: electrolyzer building (5 x HyLYZER-1000 + 5 rectifiers)</t>
        </is>
      </c>
      <c r="I5639" s="12" t="inlineStr">
        <is>
          <t>Control</t>
        </is>
      </c>
      <c r="J5639" s="12" t="inlineStr">
        <is>
          <t>ARMOR-X MC-HL 600 V control, Cu #14 AWG (Class I Div 2)</t>
        </is>
      </c>
      <c r="K5639" s="12" t="inlineStr">
        <is>
          <t>CTAX|25/C|14</t>
        </is>
      </c>
      <c r="L5639" s="12" t="inlineStr">
        <is>
          <t>25/C</t>
        </is>
      </c>
      <c r="M5639" s="12" t="inlineStr">
        <is>
          <t>14</t>
        </is>
      </c>
      <c r="N5639" s="12" t="n">
        <v>1</v>
      </c>
      <c r="O5639" s="12" t="n">
        <v>1</v>
      </c>
      <c r="P5639" s="12" t="n"/>
      <c r="Q5639" s="12" t="n"/>
      <c r="R5639" s="12" t="n"/>
      <c r="S5639" s="12" t="inlineStr">
        <is>
          <t>Duct bank</t>
        </is>
      </c>
      <c r="T5639" s="16" t="n">
        <v>346</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c r="AA5639" s="12">
        <f>N5639*O5639</f>
        <v/>
      </c>
    </row>
    <row r="5640">
      <c r="A5640" s="12" t="inlineStr">
        <is>
          <t>K-C-0045</t>
        </is>
      </c>
      <c r="B5640" s="12" t="inlineStr">
        <is>
          <t>K</t>
        </is>
      </c>
      <c r="C5640" s="12" t="inlineStr">
        <is>
          <t>Fuel supply (adjacent market)</t>
        </is>
      </c>
      <c r="D5640" s="12" t="inlineStr">
        <is>
          <t>Motor 1 of 1: control / local station</t>
        </is>
      </c>
      <c r="E5640" s="12" t="inlineStr"/>
      <c r="F5640" s="12" t="inlineStr">
        <is>
          <t>H2 20: 13.8 kV e-house</t>
        </is>
      </c>
      <c r="G5640" s="12" t="inlineStr"/>
      <c r="H5640" s="12" t="inlineStr">
        <is>
          <t>H2 23: dry coolers</t>
        </is>
      </c>
      <c r="I5640" s="12" t="inlineStr">
        <is>
          <t>Control</t>
        </is>
      </c>
      <c r="J5640" s="12" t="inlineStr">
        <is>
          <t>ARMOR-X MC-HL 600 V control, Cu #14 AWG (Class I Div 2)</t>
        </is>
      </c>
      <c r="K5640" s="12" t="inlineStr">
        <is>
          <t>CTAX|7/C|14</t>
        </is>
      </c>
      <c r="L5640" s="12" t="inlineStr">
        <is>
          <t>7/C</t>
        </is>
      </c>
      <c r="M5640" s="12" t="inlineStr">
        <is>
          <t>14</t>
        </is>
      </c>
      <c r="N5640" s="12" t="n">
        <v>1</v>
      </c>
      <c r="O5640" s="12" t="n">
        <v>1</v>
      </c>
      <c r="P5640" s="12" t="n"/>
      <c r="Q5640" s="12" t="n"/>
      <c r="R5640" s="12" t="n"/>
      <c r="S5640" s="12" t="inlineStr">
        <is>
          <t>Duct bank</t>
        </is>
      </c>
      <c r="T5640" s="16" t="n">
        <v>100</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K-C-0046</t>
        </is>
      </c>
      <c r="B5641" s="12" t="inlineStr">
        <is>
          <t>K</t>
        </is>
      </c>
      <c r="C5641" s="12" t="inlineStr">
        <is>
          <t>Fuel supply (adjacent market)</t>
        </is>
      </c>
      <c r="D5641" s="12" t="inlineStr">
        <is>
          <t>Solenoid to JB JB-H2 23: dry coolers-SOL01: 2 x 2/C (field cables)</t>
        </is>
      </c>
      <c r="E5641" s="12" t="inlineStr"/>
      <c r="F5641" s="12" t="inlineStr">
        <is>
          <t>H2 23: dry coolers</t>
        </is>
      </c>
      <c r="G5641" s="12" t="inlineStr">
        <is>
          <t>JB-H2 23: dry coolers-SOL01</t>
        </is>
      </c>
      <c r="H5641" s="12" t="inlineStr">
        <is>
          <t>H2 23: dry coolers</t>
        </is>
      </c>
      <c r="I5641" s="12" t="inlineStr">
        <is>
          <t>Control</t>
        </is>
      </c>
      <c r="J5641" s="12" t="inlineStr">
        <is>
          <t>ARMOR-X MC-HL 600 V control, Cu #14 AWG (Class I Div 2)</t>
        </is>
      </c>
      <c r="K5641" s="12" t="inlineStr">
        <is>
          <t>CTAX|2/C|14</t>
        </is>
      </c>
      <c r="L5641" s="12" t="inlineStr">
        <is>
          <t>2/C</t>
        </is>
      </c>
      <c r="M5641" s="12" t="inlineStr">
        <is>
          <t>14</t>
        </is>
      </c>
      <c r="N5641" s="12" t="n">
        <v>2</v>
      </c>
      <c r="O5641" s="12" t="n">
        <v>1</v>
      </c>
      <c r="P5641" s="12" t="n"/>
      <c r="Q5641" s="12" t="n"/>
      <c r="R5641" s="12" t="n"/>
      <c r="S5641" s="12" t="inlineStr">
        <is>
          <t>Tray / conduit</t>
        </is>
      </c>
      <c r="T5641" s="16" t="n">
        <v>111</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K-C-0047</t>
        </is>
      </c>
      <c r="B5642" s="12" t="inlineStr">
        <is>
          <t>K</t>
        </is>
      </c>
      <c r="C5642" s="12" t="inlineStr">
        <is>
          <t>Fuel supply (adjacent market)</t>
        </is>
      </c>
      <c r="D5642" s="12" t="inlineStr">
        <is>
          <t>Home run JB-H2 23: dry coolers-SOL01 to the control / marshalling room</t>
        </is>
      </c>
      <c r="E5642" s="12" t="inlineStr"/>
      <c r="F5642" s="12" t="inlineStr">
        <is>
          <t>H2 20: 13.8 kV e-house</t>
        </is>
      </c>
      <c r="G5642" s="12" t="inlineStr">
        <is>
          <t>JB-H2 23: dry coolers-SOL01</t>
        </is>
      </c>
      <c r="H5642" s="12" t="inlineStr">
        <is>
          <t>H2 23: dry coolers</t>
        </is>
      </c>
      <c r="I5642" s="12" t="inlineStr">
        <is>
          <t>Control</t>
        </is>
      </c>
      <c r="J5642" s="12" t="inlineStr">
        <is>
          <t>ARMOR-X MC-HL 600 V control, Cu #14 AWG (Class I Div 2)</t>
        </is>
      </c>
      <c r="K5642" s="12" t="inlineStr">
        <is>
          <t>CTAX|25/C|14</t>
        </is>
      </c>
      <c r="L5642" s="12" t="inlineStr">
        <is>
          <t>25/C</t>
        </is>
      </c>
      <c r="M5642" s="12" t="inlineStr">
        <is>
          <t>14</t>
        </is>
      </c>
      <c r="N5642" s="12" t="n">
        <v>1</v>
      </c>
      <c r="O5642" s="12" t="n">
        <v>1</v>
      </c>
      <c r="P5642" s="12" t="n"/>
      <c r="Q5642" s="12" t="n"/>
      <c r="R5642" s="12" t="n"/>
      <c r="S5642" s="12" t="inlineStr">
        <is>
          <t>Duct bank</t>
        </is>
      </c>
      <c r="T5642" s="16" t="n">
        <v>100</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K-C-0048</t>
        </is>
      </c>
      <c r="B5643" s="12" t="inlineStr">
        <is>
          <t>K</t>
        </is>
      </c>
      <c r="C5643" s="12" t="inlineStr">
        <is>
          <t>Fuel supply (adjacent market)</t>
        </is>
      </c>
      <c r="D5643" s="12" t="inlineStr">
        <is>
          <t>Motor 1 of 1: control / local station</t>
        </is>
      </c>
      <c r="E5643" s="12" t="inlineStr"/>
      <c r="F5643" s="12" t="inlineStr">
        <is>
          <t>H2 20: 13.8 kV e-house</t>
        </is>
      </c>
      <c r="G5643" s="12" t="inlineStr"/>
      <c r="H5643" s="12" t="inlineStr">
        <is>
          <t>H2 24: water purification (RO / EDI)</t>
        </is>
      </c>
      <c r="I5643" s="12" t="inlineStr">
        <is>
          <t>Control</t>
        </is>
      </c>
      <c r="J5643" s="12" t="inlineStr">
        <is>
          <t>ARMOR-X MC-HL 600 V control, Cu #14 AWG (Class I Div 2)</t>
        </is>
      </c>
      <c r="K5643" s="12" t="inlineStr">
        <is>
          <t>CTAX|7/C|14</t>
        </is>
      </c>
      <c r="L5643" s="12" t="inlineStr">
        <is>
          <t>7/C</t>
        </is>
      </c>
      <c r="M5643" s="12" t="inlineStr">
        <is>
          <t>14</t>
        </is>
      </c>
      <c r="N5643" s="12" t="n">
        <v>1</v>
      </c>
      <c r="O5643" s="12" t="n">
        <v>1</v>
      </c>
      <c r="P5643" s="12" t="n"/>
      <c r="Q5643" s="12" t="n"/>
      <c r="R5643" s="12" t="n"/>
      <c r="S5643" s="12" t="inlineStr">
        <is>
          <t>Duct bank</t>
        </is>
      </c>
      <c r="T5643" s="16" t="n">
        <v>146</v>
      </c>
      <c r="U5643" s="16" t="n">
        <v>32</v>
      </c>
      <c r="V5643" s="16">
        <f>ROUNDUP((T5643+U5643+2*'Read Me'!$B$13)*(1+'Read Me'!$B$12),-1)</f>
        <v/>
      </c>
      <c r="W5643" s="16">
        <f>V5643*N5643*O5643</f>
        <v/>
      </c>
      <c r="X5643" s="12">
        <f>IF(LEFT(I5643,2)="MV",2*N5643*IF(L5643="1/C",O5643,1),0)</f>
        <v/>
      </c>
      <c r="Y5643" s="12">
        <f>IF(OR(LEFT(K5643,4)="LVAX",LEFT(K5643,6)="MV15AX",LEFT(K5643,4)="CTAX",LEFT(K5643,2)="W|"),2*N5643*O5643,0)</f>
        <v/>
      </c>
      <c r="Z5643" s="12" t="inlineStr"/>
      <c r="AA5643" s="12">
        <f>N5643*O5643</f>
        <v/>
      </c>
    </row>
    <row r="5644">
      <c r="A5644" s="12" t="inlineStr">
        <is>
          <t>K-C-0049</t>
        </is>
      </c>
      <c r="B5644" s="12" t="inlineStr">
        <is>
          <t>K</t>
        </is>
      </c>
      <c r="C5644" s="12" t="inlineStr">
        <is>
          <t>Fuel supply (adjacent market)</t>
        </is>
      </c>
      <c r="D5644" s="12" t="inlineStr">
        <is>
          <t>Solenoid to JB JB-H2 24: water purif-SOL01: 2 x 2/C (field cables)</t>
        </is>
      </c>
      <c r="E5644" s="12" t="inlineStr"/>
      <c r="F5644" s="12" t="inlineStr">
        <is>
          <t>H2 24: water purification (RO / EDI)</t>
        </is>
      </c>
      <c r="G5644" s="12" t="inlineStr">
        <is>
          <t>JB-H2 24: water purif-SOL01</t>
        </is>
      </c>
      <c r="H5644" s="12" t="inlineStr">
        <is>
          <t>H2 24: water purification (RO / EDI)</t>
        </is>
      </c>
      <c r="I5644" s="12" t="inlineStr">
        <is>
          <t>Control</t>
        </is>
      </c>
      <c r="J5644" s="12" t="inlineStr">
        <is>
          <t>ARMOR-X MC-HL 600 V control, Cu #14 AWG (Class I Div 2)</t>
        </is>
      </c>
      <c r="K5644" s="12" t="inlineStr">
        <is>
          <t>CTAX|2/C|14</t>
        </is>
      </c>
      <c r="L5644" s="12" t="inlineStr">
        <is>
          <t>2/C</t>
        </is>
      </c>
      <c r="M5644" s="12" t="inlineStr">
        <is>
          <t>14</t>
        </is>
      </c>
      <c r="N5644" s="12" t="n">
        <v>2</v>
      </c>
      <c r="O5644" s="12" t="n">
        <v>1</v>
      </c>
      <c r="P5644" s="12" t="n"/>
      <c r="Q5644" s="12" t="n"/>
      <c r="R5644" s="12" t="n"/>
      <c r="S5644" s="12" t="inlineStr">
        <is>
          <t>Tray / conduit</t>
        </is>
      </c>
      <c r="T5644" s="16" t="n">
        <v>60</v>
      </c>
      <c r="U5644" s="16" t="n">
        <v>10</v>
      </c>
      <c r="V5644" s="16">
        <f>ROUNDUP((T5644+U5644+2*'Read Me'!$B$13)*(1+'Read Me'!$B$12),-1)</f>
        <v/>
      </c>
      <c r="W5644" s="16">
        <f>V5644*N5644*O5644</f>
        <v/>
      </c>
      <c r="X5644" s="12">
        <f>IF(LEFT(I5644,2)="MV",2*N5644*IF(L5644="1/C",O5644,1),0)</f>
        <v/>
      </c>
      <c r="Y5644" s="12">
        <f>IF(OR(LEFT(K5644,4)="LVAX",LEFT(K5644,6)="MV15AX",LEFT(K5644,4)="CTAX",LEFT(K5644,2)="W|"),2*N5644*O5644,0)</f>
        <v/>
      </c>
      <c r="Z5644" s="12" t="inlineStr">
        <is>
          <t>device-to-JB field wiring, one cable per device</t>
        </is>
      </c>
      <c r="AA5644" s="12">
        <f>N5644*O5644</f>
        <v/>
      </c>
    </row>
    <row r="5645">
      <c r="A5645" s="12" t="inlineStr">
        <is>
          <t>K-C-0050</t>
        </is>
      </c>
      <c r="B5645" s="12" t="inlineStr">
        <is>
          <t>K</t>
        </is>
      </c>
      <c r="C5645" s="12" t="inlineStr">
        <is>
          <t>Fuel supply (adjacent market)</t>
        </is>
      </c>
      <c r="D5645" s="12" t="inlineStr">
        <is>
          <t>Home run JB-H2 24: water purif-SOL01 to the control / marshalling room</t>
        </is>
      </c>
      <c r="E5645" s="12" t="inlineStr"/>
      <c r="F5645" s="12" t="inlineStr">
        <is>
          <t>H2 20: 13.8 kV e-house</t>
        </is>
      </c>
      <c r="G5645" s="12" t="inlineStr">
        <is>
          <t>JB-H2 24: water purif-SOL01</t>
        </is>
      </c>
      <c r="H5645" s="12" t="inlineStr">
        <is>
          <t>H2 24: water purification (RO / EDI)</t>
        </is>
      </c>
      <c r="I5645" s="12" t="inlineStr">
        <is>
          <t>Control</t>
        </is>
      </c>
      <c r="J5645" s="12" t="inlineStr">
        <is>
          <t>ARMOR-X MC-HL 600 V control, Cu #14 AWG (Class I Div 2)</t>
        </is>
      </c>
      <c r="K5645" s="12" t="inlineStr">
        <is>
          <t>CTAX|25/C|14</t>
        </is>
      </c>
      <c r="L5645" s="12" t="inlineStr">
        <is>
          <t>25/C</t>
        </is>
      </c>
      <c r="M5645" s="12" t="inlineStr">
        <is>
          <t>14</t>
        </is>
      </c>
      <c r="N5645" s="12" t="n">
        <v>1</v>
      </c>
      <c r="O5645" s="12" t="n">
        <v>1</v>
      </c>
      <c r="P5645" s="12" t="n"/>
      <c r="Q5645" s="12" t="n"/>
      <c r="R5645" s="12" t="n"/>
      <c r="S5645" s="12" t="inlineStr">
        <is>
          <t>Duct bank</t>
        </is>
      </c>
      <c r="T5645" s="16" t="n">
        <v>146</v>
      </c>
      <c r="U5645" s="16" t="n">
        <v>32</v>
      </c>
      <c r="V5645" s="16">
        <f>ROUNDUP((T5645+U5645+2*'Read Me'!$B$13)*(1+'Read Me'!$B$12),-1)</f>
        <v/>
      </c>
      <c r="W5645" s="16">
        <f>V5645*N5645*O5645</f>
        <v/>
      </c>
      <c r="X5645" s="12">
        <f>IF(LEFT(I5645,2)="MV",2*N5645*IF(L5645="1/C",O5645,1),0)</f>
        <v/>
      </c>
      <c r="Y5645" s="12">
        <f>IF(OR(LEFT(K5645,4)="LVAX",LEFT(K5645,6)="MV15AX",LEFT(K5645,4)="CTAX",LEFT(K5645,2)="W|"),2*N5645*O5645,0)</f>
        <v/>
      </c>
      <c r="Z5645" s="12" t="inlineStr"/>
      <c r="AA5645" s="12">
        <f>N5645*O5645</f>
        <v/>
      </c>
    </row>
    <row r="5646">
      <c r="A5646" s="12" t="inlineStr">
        <is>
          <t>K-C-0051</t>
        </is>
      </c>
      <c r="B5646" s="12" t="inlineStr">
        <is>
          <t>K</t>
        </is>
      </c>
      <c r="C5646" s="12" t="inlineStr">
        <is>
          <t>Fuel supply (adjacent market)</t>
        </is>
      </c>
      <c r="D5646" s="12" t="inlineStr">
        <is>
          <t>Motor 1 of 1: control / local station</t>
        </is>
      </c>
      <c r="E5646" s="12" t="inlineStr"/>
      <c r="F5646" s="12" t="inlineStr">
        <is>
          <t>H2 20: 13.8 kV e-house</t>
        </is>
      </c>
      <c r="G5646" s="12" t="inlineStr"/>
      <c r="H5646" s="12" t="inlineStr">
        <is>
          <t>H2 25: H2 dryer / purification</t>
        </is>
      </c>
      <c r="I5646" s="12" t="inlineStr">
        <is>
          <t>Control</t>
        </is>
      </c>
      <c r="J5646" s="12" t="inlineStr">
        <is>
          <t>ARMOR-X MC-HL 600 V control, Cu #14 AWG (Class I Div 2)</t>
        </is>
      </c>
      <c r="K5646" s="12" t="inlineStr">
        <is>
          <t>CTAX|7/C|14</t>
        </is>
      </c>
      <c r="L5646" s="12" t="inlineStr">
        <is>
          <t>7/C</t>
        </is>
      </c>
      <c r="M5646" s="12" t="inlineStr">
        <is>
          <t>14</t>
        </is>
      </c>
      <c r="N5646" s="12" t="n">
        <v>1</v>
      </c>
      <c r="O5646" s="12" t="n">
        <v>1</v>
      </c>
      <c r="P5646" s="12" t="n"/>
      <c r="Q5646" s="12" t="n"/>
      <c r="R5646" s="12" t="n"/>
      <c r="S5646" s="12" t="inlineStr">
        <is>
          <t>Duct bank</t>
        </is>
      </c>
      <c r="T5646" s="16" t="n">
        <v>0</v>
      </c>
      <c r="U5646" s="16" t="n">
        <v>49</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K-C-0052</t>
        </is>
      </c>
      <c r="B5647" s="12" t="inlineStr">
        <is>
          <t>K</t>
        </is>
      </c>
      <c r="C5647" s="12" t="inlineStr">
        <is>
          <t>Fuel supply (adjacent market)</t>
        </is>
      </c>
      <c r="D5647" s="12" t="inlineStr">
        <is>
          <t>Solenoid to JB JB-H2 25: H2 dryer / -SOL01: 2 x 2/C (field cables)</t>
        </is>
      </c>
      <c r="E5647" s="12" t="inlineStr"/>
      <c r="F5647" s="12" t="inlineStr">
        <is>
          <t>H2 25: H2 dryer / purification</t>
        </is>
      </c>
      <c r="G5647" s="12" t="inlineStr">
        <is>
          <t>JB-H2 25: H2 dryer / -SOL01</t>
        </is>
      </c>
      <c r="H5647" s="12" t="inlineStr">
        <is>
          <t>H2 25: H2 dryer / purification</t>
        </is>
      </c>
      <c r="I5647" s="12" t="inlineStr">
        <is>
          <t>Control</t>
        </is>
      </c>
      <c r="J5647" s="12" t="inlineStr">
        <is>
          <t>ARMOR-X MC-HL 600 V control, Cu #14 AWG (Class I Div 2)</t>
        </is>
      </c>
      <c r="K5647" s="12" t="inlineStr">
        <is>
          <t>CTAX|2/C|14</t>
        </is>
      </c>
      <c r="L5647" s="12" t="inlineStr">
        <is>
          <t>2/C</t>
        </is>
      </c>
      <c r="M5647" s="12" t="inlineStr">
        <is>
          <t>14</t>
        </is>
      </c>
      <c r="N5647" s="12" t="n">
        <v>2</v>
      </c>
      <c r="O5647" s="12" t="n">
        <v>1</v>
      </c>
      <c r="P5647" s="12" t="n"/>
      <c r="Q5647" s="12" t="n"/>
      <c r="R5647" s="12" t="n"/>
      <c r="S5647" s="12" t="inlineStr">
        <is>
          <t>Tray / conduit</t>
        </is>
      </c>
      <c r="T5647" s="16" t="n">
        <v>60</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K-C-0053</t>
        </is>
      </c>
      <c r="B5648" s="12" t="inlineStr">
        <is>
          <t>K</t>
        </is>
      </c>
      <c r="C5648" s="12" t="inlineStr">
        <is>
          <t>Fuel supply (adjacent market)</t>
        </is>
      </c>
      <c r="D5648" s="12" t="inlineStr">
        <is>
          <t>Home run JB-H2 25: H2 dryer / -SOL01 to the control / marshalling room</t>
        </is>
      </c>
      <c r="E5648" s="12" t="inlineStr"/>
      <c r="F5648" s="12" t="inlineStr">
        <is>
          <t>H2 20: 13.8 kV e-house</t>
        </is>
      </c>
      <c r="G5648" s="12" t="inlineStr">
        <is>
          <t>JB-H2 25: H2 dryer / -SOL01</t>
        </is>
      </c>
      <c r="H5648" s="12" t="inlineStr">
        <is>
          <t>H2 25: H2 dryer / purification</t>
        </is>
      </c>
      <c r="I5648" s="12" t="inlineStr">
        <is>
          <t>Control</t>
        </is>
      </c>
      <c r="J5648" s="12" t="inlineStr">
        <is>
          <t>ARMOR-X MC-HL 600 V control, Cu #14 AWG (Class I Div 2)</t>
        </is>
      </c>
      <c r="K5648" s="12" t="inlineStr">
        <is>
          <t>CTAX|25/C|14</t>
        </is>
      </c>
      <c r="L5648" s="12" t="inlineStr">
        <is>
          <t>25/C</t>
        </is>
      </c>
      <c r="M5648" s="12" t="inlineStr">
        <is>
          <t>14</t>
        </is>
      </c>
      <c r="N5648" s="12" t="n">
        <v>1</v>
      </c>
      <c r="O5648" s="12" t="n">
        <v>1</v>
      </c>
      <c r="P5648" s="12" t="n"/>
      <c r="Q5648" s="12" t="n"/>
      <c r="R5648" s="12" t="n"/>
      <c r="S5648" s="12" t="inlineStr">
        <is>
          <t>Duct bank</t>
        </is>
      </c>
      <c r="T5648" s="16" t="n">
        <v>0</v>
      </c>
      <c r="U5648" s="16" t="n">
        <v>49</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K-C-0054</t>
        </is>
      </c>
      <c r="B5649" s="12" t="inlineStr">
        <is>
          <t>K</t>
        </is>
      </c>
      <c r="C5649" s="12" t="inlineStr">
        <is>
          <t>Fuel supply (adjacent market)</t>
        </is>
      </c>
      <c r="D5649" s="12" t="inlineStr">
        <is>
          <t>Motor 1 of 1: control / local station</t>
        </is>
      </c>
      <c r="E5649" s="12" t="inlineStr"/>
      <c r="F5649" s="12" t="inlineStr">
        <is>
          <t>H2 20: 13.8 kV e-house</t>
        </is>
      </c>
      <c r="G5649" s="12" t="inlineStr"/>
      <c r="H5649" s="12" t="inlineStr">
        <is>
          <t>H2 26: H2 compressor 1 (40 ft ISO)</t>
        </is>
      </c>
      <c r="I5649" s="12" t="inlineStr">
        <is>
          <t>Control</t>
        </is>
      </c>
      <c r="J5649" s="12" t="inlineStr">
        <is>
          <t>ARMOR-X MC-HL 600 V control, Cu #14 AWG (Class I Div 2)</t>
        </is>
      </c>
      <c r="K5649" s="12" t="inlineStr">
        <is>
          <t>CTAX|7/C|14</t>
        </is>
      </c>
      <c r="L5649" s="12" t="inlineStr">
        <is>
          <t>7/C</t>
        </is>
      </c>
      <c r="M5649" s="12" t="inlineStr">
        <is>
          <t>14</t>
        </is>
      </c>
      <c r="N5649" s="12" t="n">
        <v>1</v>
      </c>
      <c r="O5649" s="12" t="n">
        <v>1</v>
      </c>
      <c r="P5649" s="12" t="n"/>
      <c r="Q5649" s="12" t="n"/>
      <c r="R5649" s="12" t="n"/>
      <c r="S5649" s="12" t="inlineStr">
        <is>
          <t>Duct bank</t>
        </is>
      </c>
      <c r="T5649" s="16" t="n">
        <v>50</v>
      </c>
      <c r="U5649" s="16" t="n">
        <v>32</v>
      </c>
      <c r="V5649" s="16">
        <f>ROUNDUP((T5649+U5649+2*'Read Me'!$B$13)*(1+'Read Me'!$B$12),-1)</f>
        <v/>
      </c>
      <c r="W5649" s="16">
        <f>V5649*N5649*O5649</f>
        <v/>
      </c>
      <c r="X5649" s="12">
        <f>IF(LEFT(I5649,2)="MV",2*N5649*IF(L5649="1/C",O5649,1),0)</f>
        <v/>
      </c>
      <c r="Y5649" s="12">
        <f>IF(OR(LEFT(K5649,4)="LVAX",LEFT(K5649,6)="MV15AX",LEFT(K5649,4)="CTAX",LEFT(K5649,2)="W|"),2*N5649*O5649,0)</f>
        <v/>
      </c>
      <c r="Z5649" s="12" t="inlineStr"/>
      <c r="AA5649" s="12">
        <f>N5649*O5649</f>
        <v/>
      </c>
    </row>
    <row r="5650">
      <c r="A5650" s="12" t="inlineStr">
        <is>
          <t>K-C-0055</t>
        </is>
      </c>
      <c r="B5650" s="12" t="inlineStr">
        <is>
          <t>K</t>
        </is>
      </c>
      <c r="C5650" s="12" t="inlineStr">
        <is>
          <t>Fuel supply (adjacent market)</t>
        </is>
      </c>
      <c r="D5650" s="12" t="inlineStr">
        <is>
          <t>Solenoid to JB JB-H2 26: H2 compress-SOL01: 2 x 2/C (field cables)</t>
        </is>
      </c>
      <c r="E5650" s="12" t="inlineStr"/>
      <c r="F5650" s="12" t="inlineStr">
        <is>
          <t>H2 26: H2 compressor 1 (40 ft ISO)</t>
        </is>
      </c>
      <c r="G5650" s="12" t="inlineStr">
        <is>
          <t>JB-H2 26: H2 compress-SOL01</t>
        </is>
      </c>
      <c r="H5650" s="12" t="inlineStr">
        <is>
          <t>H2 26: H2 compressor 1 (40 ft ISO)</t>
        </is>
      </c>
      <c r="I5650" s="12" t="inlineStr">
        <is>
          <t>Control</t>
        </is>
      </c>
      <c r="J5650" s="12" t="inlineStr">
        <is>
          <t>ARMOR-X MC-HL 600 V control, Cu #14 AWG (Class I Div 2)</t>
        </is>
      </c>
      <c r="K5650" s="12" t="inlineStr">
        <is>
          <t>CTAX|2/C|14</t>
        </is>
      </c>
      <c r="L5650" s="12" t="inlineStr">
        <is>
          <t>2/C</t>
        </is>
      </c>
      <c r="M5650" s="12" t="inlineStr">
        <is>
          <t>14</t>
        </is>
      </c>
      <c r="N5650" s="12" t="n">
        <v>2</v>
      </c>
      <c r="O5650" s="12" t="n">
        <v>1</v>
      </c>
      <c r="P5650" s="12" t="n"/>
      <c r="Q5650" s="12" t="n"/>
      <c r="R5650" s="12" t="n"/>
      <c r="S5650" s="12" t="inlineStr">
        <is>
          <t>Tray / conduit</t>
        </is>
      </c>
      <c r="T5650" s="16" t="n">
        <v>53</v>
      </c>
      <c r="U5650" s="16" t="n">
        <v>10</v>
      </c>
      <c r="V5650" s="16">
        <f>ROUNDUP((T5650+U5650+2*'Read Me'!$B$13)*(1+'Read Me'!$B$12),-1)</f>
        <v/>
      </c>
      <c r="W5650" s="16">
        <f>V5650*N5650*O5650</f>
        <v/>
      </c>
      <c r="X5650" s="12">
        <f>IF(LEFT(I5650,2)="MV",2*N5650*IF(L5650="1/C",O5650,1),0)</f>
        <v/>
      </c>
      <c r="Y5650" s="12">
        <f>IF(OR(LEFT(K5650,4)="LVAX",LEFT(K5650,6)="MV15AX",LEFT(K5650,4)="CTAX",LEFT(K5650,2)="W|"),2*N5650*O5650,0)</f>
        <v/>
      </c>
      <c r="Z5650" s="12" t="inlineStr">
        <is>
          <t>device-to-JB field wiring, one cable per device</t>
        </is>
      </c>
      <c r="AA5650" s="12">
        <f>N5650*O5650</f>
        <v/>
      </c>
    </row>
    <row r="5651">
      <c r="A5651" s="12" t="inlineStr">
        <is>
          <t>K-C-0056</t>
        </is>
      </c>
      <c r="B5651" s="12" t="inlineStr">
        <is>
          <t>K</t>
        </is>
      </c>
      <c r="C5651" s="12" t="inlineStr">
        <is>
          <t>Fuel supply (adjacent market)</t>
        </is>
      </c>
      <c r="D5651" s="12" t="inlineStr">
        <is>
          <t>Home run JB-H2 26: H2 compress-SOL01 to the control / marshalling room</t>
        </is>
      </c>
      <c r="E5651" s="12" t="inlineStr"/>
      <c r="F5651" s="12" t="inlineStr">
        <is>
          <t>H2 20: 13.8 kV e-house</t>
        </is>
      </c>
      <c r="G5651" s="12" t="inlineStr">
        <is>
          <t>JB-H2 26: H2 compress-SOL01</t>
        </is>
      </c>
      <c r="H5651" s="12" t="inlineStr">
        <is>
          <t>H2 26: H2 compressor 1 (40 ft ISO)</t>
        </is>
      </c>
      <c r="I5651" s="12" t="inlineStr">
        <is>
          <t>Control</t>
        </is>
      </c>
      <c r="J5651" s="12" t="inlineStr">
        <is>
          <t>ARMOR-X MC-HL 600 V control, Cu #14 AWG (Class I Div 2)</t>
        </is>
      </c>
      <c r="K5651" s="12" t="inlineStr">
        <is>
          <t>CTAX|25/C|14</t>
        </is>
      </c>
      <c r="L5651" s="12" t="inlineStr">
        <is>
          <t>25/C</t>
        </is>
      </c>
      <c r="M5651" s="12" t="inlineStr">
        <is>
          <t>14</t>
        </is>
      </c>
      <c r="N5651" s="12" t="n">
        <v>1</v>
      </c>
      <c r="O5651" s="12" t="n">
        <v>1</v>
      </c>
      <c r="P5651" s="12" t="n"/>
      <c r="Q5651" s="12" t="n"/>
      <c r="R5651" s="12" t="n"/>
      <c r="S5651" s="12" t="inlineStr">
        <is>
          <t>Duct bank</t>
        </is>
      </c>
      <c r="T5651" s="16" t="n">
        <v>50</v>
      </c>
      <c r="U5651" s="16" t="n">
        <v>32</v>
      </c>
      <c r="V5651" s="16">
        <f>ROUNDUP((T5651+U5651+2*'Read Me'!$B$13)*(1+'Read Me'!$B$12),-1)</f>
        <v/>
      </c>
      <c r="W5651" s="16">
        <f>V5651*N5651*O5651</f>
        <v/>
      </c>
      <c r="X5651" s="12">
        <f>IF(LEFT(I5651,2)="MV",2*N5651*IF(L5651="1/C",O5651,1),0)</f>
        <v/>
      </c>
      <c r="Y5651" s="12">
        <f>IF(OR(LEFT(K5651,4)="LVAX",LEFT(K5651,6)="MV15AX",LEFT(K5651,4)="CTAX",LEFT(K5651,2)="W|"),2*N5651*O5651,0)</f>
        <v/>
      </c>
      <c r="Z5651" s="12" t="inlineStr"/>
      <c r="AA5651" s="12">
        <f>N5651*O5651</f>
        <v/>
      </c>
    </row>
    <row r="5652">
      <c r="A5652" s="12" t="inlineStr">
        <is>
          <t>K-C-0057</t>
        </is>
      </c>
      <c r="B5652" s="12" t="inlineStr">
        <is>
          <t>K</t>
        </is>
      </c>
      <c r="C5652" s="12" t="inlineStr">
        <is>
          <t>Fuel supply (adjacent market)</t>
        </is>
      </c>
      <c r="D5652" s="12" t="inlineStr">
        <is>
          <t>Motor 1 of 1: control / local station</t>
        </is>
      </c>
      <c r="E5652" s="12" t="inlineStr"/>
      <c r="F5652" s="12" t="inlineStr">
        <is>
          <t>H2 20: 13.8 kV e-house</t>
        </is>
      </c>
      <c r="G5652" s="12" t="inlineStr"/>
      <c r="H5652" s="12" t="inlineStr">
        <is>
          <t>H2 26: H2 compressor 2 (40 ft ISO)</t>
        </is>
      </c>
      <c r="I5652" s="12" t="inlineStr">
        <is>
          <t>Control</t>
        </is>
      </c>
      <c r="J5652" s="12" t="inlineStr">
        <is>
          <t>ARMOR-X MC-HL 600 V control, Cu #14 AWG (Class I Div 2)</t>
        </is>
      </c>
      <c r="K5652" s="12" t="inlineStr">
        <is>
          <t>CTAX|7/C|14</t>
        </is>
      </c>
      <c r="L5652" s="12" t="inlineStr">
        <is>
          <t>7/C</t>
        </is>
      </c>
      <c r="M5652" s="12" t="inlineStr">
        <is>
          <t>14</t>
        </is>
      </c>
      <c r="N5652" s="12" t="n">
        <v>1</v>
      </c>
      <c r="O5652" s="12" t="n">
        <v>1</v>
      </c>
      <c r="P5652" s="12" t="n"/>
      <c r="Q5652" s="12" t="n"/>
      <c r="R5652" s="12" t="n"/>
      <c r="S5652" s="12" t="inlineStr">
        <is>
          <t>Duct bank</t>
        </is>
      </c>
      <c r="T5652" s="16" t="n">
        <v>50</v>
      </c>
      <c r="U5652" s="16" t="n">
        <v>47</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K-C-0058</t>
        </is>
      </c>
      <c r="B5653" s="12" t="inlineStr">
        <is>
          <t>K</t>
        </is>
      </c>
      <c r="C5653" s="12" t="inlineStr">
        <is>
          <t>Fuel supply (adjacent market)</t>
        </is>
      </c>
      <c r="D5653" s="12" t="inlineStr">
        <is>
          <t>Solenoid to JB JB-H2 26: H2 compress-SOL01: 2 x 2/C (field cables)</t>
        </is>
      </c>
      <c r="E5653" s="12" t="inlineStr"/>
      <c r="F5653" s="12" t="inlineStr">
        <is>
          <t>H2 26: H2 compressor 2 (40 ft ISO)</t>
        </is>
      </c>
      <c r="G5653" s="12" t="inlineStr">
        <is>
          <t>JB-H2 26: H2 compress-SOL01</t>
        </is>
      </c>
      <c r="H5653" s="12" t="inlineStr">
        <is>
          <t>H2 26: H2 compressor 2 (40 ft ISO)</t>
        </is>
      </c>
      <c r="I5653" s="12" t="inlineStr">
        <is>
          <t>Control</t>
        </is>
      </c>
      <c r="J5653" s="12" t="inlineStr">
        <is>
          <t>ARMOR-X MC-HL 600 V control, Cu #14 AWG (Class I Div 2)</t>
        </is>
      </c>
      <c r="K5653" s="12" t="inlineStr">
        <is>
          <t>CTAX|2/C|14</t>
        </is>
      </c>
      <c r="L5653" s="12" t="inlineStr">
        <is>
          <t>2/C</t>
        </is>
      </c>
      <c r="M5653" s="12" t="inlineStr">
        <is>
          <t>14</t>
        </is>
      </c>
      <c r="N5653" s="12" t="n">
        <v>2</v>
      </c>
      <c r="O5653" s="12" t="n">
        <v>1</v>
      </c>
      <c r="P5653" s="12" t="n"/>
      <c r="Q5653" s="12" t="n"/>
      <c r="R5653" s="12" t="n"/>
      <c r="S5653" s="12" t="inlineStr">
        <is>
          <t>Tray / conduit</t>
        </is>
      </c>
      <c r="T5653" s="16" t="n">
        <v>53</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K-C-0059</t>
        </is>
      </c>
      <c r="B5654" s="12" t="inlineStr">
        <is>
          <t>K</t>
        </is>
      </c>
      <c r="C5654" s="12" t="inlineStr">
        <is>
          <t>Fuel supply (adjacent market)</t>
        </is>
      </c>
      <c r="D5654" s="12" t="inlineStr">
        <is>
          <t>Home run JB-H2 26: H2 compress-SOL01 to the control / marshalling room</t>
        </is>
      </c>
      <c r="E5654" s="12" t="inlineStr"/>
      <c r="F5654" s="12" t="inlineStr">
        <is>
          <t>H2 20: 13.8 kV e-house</t>
        </is>
      </c>
      <c r="G5654" s="12" t="inlineStr">
        <is>
          <t>JB-H2 26: H2 compress-SOL01</t>
        </is>
      </c>
      <c r="H5654" s="12" t="inlineStr">
        <is>
          <t>H2 26: H2 compressor 2 (40 ft ISO)</t>
        </is>
      </c>
      <c r="I5654" s="12" t="inlineStr">
        <is>
          <t>Control</t>
        </is>
      </c>
      <c r="J5654" s="12" t="inlineStr">
        <is>
          <t>ARMOR-X MC-HL 600 V control, Cu #14 AWG (Class I Div 2)</t>
        </is>
      </c>
      <c r="K5654" s="12" t="inlineStr">
        <is>
          <t>CTAX|25/C|14</t>
        </is>
      </c>
      <c r="L5654" s="12" t="inlineStr">
        <is>
          <t>25/C</t>
        </is>
      </c>
      <c r="M5654" s="12" t="inlineStr">
        <is>
          <t>14</t>
        </is>
      </c>
      <c r="N5654" s="12" t="n">
        <v>1</v>
      </c>
      <c r="O5654" s="12" t="n">
        <v>1</v>
      </c>
      <c r="P5654" s="12" t="n"/>
      <c r="Q5654" s="12" t="n"/>
      <c r="R5654" s="12" t="n"/>
      <c r="S5654" s="12" t="inlineStr">
        <is>
          <t>Duct bank</t>
        </is>
      </c>
      <c r="T5654" s="16" t="n">
        <v>50</v>
      </c>
      <c r="U5654" s="16" t="n">
        <v>47</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K-C-0060</t>
        </is>
      </c>
      <c r="B5655" s="12" t="inlineStr">
        <is>
          <t>K</t>
        </is>
      </c>
      <c r="C5655" s="12" t="inlineStr">
        <is>
          <t>Fuel supply (adjacent market)</t>
        </is>
      </c>
      <c r="D5655" s="12" t="inlineStr">
        <is>
          <t>Motor 1 of 1: control / local station</t>
        </is>
      </c>
      <c r="E5655" s="12" t="inlineStr"/>
      <c r="F5655" s="12" t="inlineStr">
        <is>
          <t>H2 20: 13.8 kV e-house</t>
        </is>
      </c>
      <c r="G5655" s="12" t="inlineStr"/>
      <c r="H5655" s="12" t="inlineStr">
        <is>
          <t>H2 27: storage tube bank (~40 ft tubes)</t>
        </is>
      </c>
      <c r="I5655" s="12" t="inlineStr">
        <is>
          <t>Control</t>
        </is>
      </c>
      <c r="J5655" s="12" t="inlineStr">
        <is>
          <t>ARMOR-X MC-HL 600 V control, Cu #14 AWG (Class I Div 2)</t>
        </is>
      </c>
      <c r="K5655" s="12" t="inlineStr">
        <is>
          <t>CTAX|7/C|14</t>
        </is>
      </c>
      <c r="L5655" s="12" t="inlineStr">
        <is>
          <t>7/C</t>
        </is>
      </c>
      <c r="M5655" s="12" t="inlineStr">
        <is>
          <t>14</t>
        </is>
      </c>
      <c r="N5655" s="12" t="n">
        <v>1</v>
      </c>
      <c r="O5655" s="12" t="n">
        <v>1</v>
      </c>
      <c r="P5655" s="12" t="n"/>
      <c r="Q5655" s="12" t="n"/>
      <c r="R5655" s="12" t="n"/>
      <c r="S5655" s="12" t="inlineStr">
        <is>
          <t>Duct bank</t>
        </is>
      </c>
      <c r="T5655" s="16" t="n">
        <v>50</v>
      </c>
      <c r="U5655" s="16" t="n">
        <v>97</v>
      </c>
      <c r="V5655" s="16">
        <f>ROUNDUP((T5655+U5655+2*'Read Me'!$B$13)*(1+'Read Me'!$B$12),-1)</f>
        <v/>
      </c>
      <c r="W5655" s="16">
        <f>V5655*N5655*O5655</f>
        <v/>
      </c>
      <c r="X5655" s="12">
        <f>IF(LEFT(I5655,2)="MV",2*N5655*IF(L5655="1/C",O5655,1),0)</f>
        <v/>
      </c>
      <c r="Y5655" s="12">
        <f>IF(OR(LEFT(K5655,4)="LVAX",LEFT(K5655,6)="MV15AX",LEFT(K5655,4)="CTAX",LEFT(K5655,2)="W|"),2*N5655*O5655,0)</f>
        <v/>
      </c>
      <c r="Z5655" s="12" t="inlineStr"/>
      <c r="AA5655" s="12">
        <f>N5655*O5655</f>
        <v/>
      </c>
    </row>
    <row r="5656">
      <c r="A5656" s="12" t="inlineStr">
        <is>
          <t>K-C-0061</t>
        </is>
      </c>
      <c r="B5656" s="12" t="inlineStr">
        <is>
          <t>K</t>
        </is>
      </c>
      <c r="C5656" s="12" t="inlineStr">
        <is>
          <t>Fuel supply (adjacent market)</t>
        </is>
      </c>
      <c r="D5656" s="12" t="inlineStr">
        <is>
          <t>Solenoid to JB JB-H2 27: storage tub-SOL01: 2 x 2/C (field cables)</t>
        </is>
      </c>
      <c r="E5656" s="12" t="inlineStr"/>
      <c r="F5656" s="12" t="inlineStr">
        <is>
          <t>H2 27: storage tube bank (~40 ft tubes)</t>
        </is>
      </c>
      <c r="G5656" s="12" t="inlineStr">
        <is>
          <t>JB-H2 27: storage tub-SOL01</t>
        </is>
      </c>
      <c r="H5656" s="12" t="inlineStr">
        <is>
          <t>H2 27: storage tube bank (~40 ft tubes)</t>
        </is>
      </c>
      <c r="I5656" s="12" t="inlineStr">
        <is>
          <t>Control</t>
        </is>
      </c>
      <c r="J5656" s="12" t="inlineStr">
        <is>
          <t>ARMOR-X MC-HL 600 V control, Cu #14 AWG (Class I Div 2)</t>
        </is>
      </c>
      <c r="K5656" s="12" t="inlineStr">
        <is>
          <t>CTAX|2/C|14</t>
        </is>
      </c>
      <c r="L5656" s="12" t="inlineStr">
        <is>
          <t>2/C</t>
        </is>
      </c>
      <c r="M5656" s="12" t="inlineStr">
        <is>
          <t>14</t>
        </is>
      </c>
      <c r="N5656" s="12" t="n">
        <v>2</v>
      </c>
      <c r="O5656" s="12" t="n">
        <v>1</v>
      </c>
      <c r="P5656" s="12" t="n"/>
      <c r="Q5656" s="12" t="n"/>
      <c r="R5656" s="12" t="n"/>
      <c r="S5656" s="12" t="inlineStr">
        <is>
          <t>Tray / conduit</t>
        </is>
      </c>
      <c r="T5656" s="16" t="n">
        <v>54</v>
      </c>
      <c r="U5656" s="16" t="n">
        <v>10</v>
      </c>
      <c r="V5656" s="16">
        <f>ROUNDUP((T5656+U5656+2*'Read Me'!$B$13)*(1+'Read Me'!$B$12),-1)</f>
        <v/>
      </c>
      <c r="W5656" s="16">
        <f>V5656*N5656*O5656</f>
        <v/>
      </c>
      <c r="X5656" s="12">
        <f>IF(LEFT(I5656,2)="MV",2*N5656*IF(L5656="1/C",O5656,1),0)</f>
        <v/>
      </c>
      <c r="Y5656" s="12">
        <f>IF(OR(LEFT(K5656,4)="LVAX",LEFT(K5656,6)="MV15AX",LEFT(K5656,4)="CTAX",LEFT(K5656,2)="W|"),2*N5656*O5656,0)</f>
        <v/>
      </c>
      <c r="Z5656" s="12" t="inlineStr">
        <is>
          <t>device-to-JB field wiring, one cable per device</t>
        </is>
      </c>
      <c r="AA5656" s="12">
        <f>N5656*O5656</f>
        <v/>
      </c>
    </row>
    <row r="5657">
      <c r="A5657" s="12" t="inlineStr">
        <is>
          <t>K-C-0062</t>
        </is>
      </c>
      <c r="B5657" s="12" t="inlineStr">
        <is>
          <t>K</t>
        </is>
      </c>
      <c r="C5657" s="12" t="inlineStr">
        <is>
          <t>Fuel supply (adjacent market)</t>
        </is>
      </c>
      <c r="D5657" s="12" t="inlineStr">
        <is>
          <t>Home run JB-H2 27: storage tub-SOL01 to the control / marshalling room</t>
        </is>
      </c>
      <c r="E5657" s="12" t="inlineStr"/>
      <c r="F5657" s="12" t="inlineStr">
        <is>
          <t>H2 20: 13.8 kV e-house</t>
        </is>
      </c>
      <c r="G5657" s="12" t="inlineStr">
        <is>
          <t>JB-H2 27: storage tub-SOL01</t>
        </is>
      </c>
      <c r="H5657" s="12" t="inlineStr">
        <is>
          <t>H2 27: storage tube bank (~40 ft tubes)</t>
        </is>
      </c>
      <c r="I5657" s="12" t="inlineStr">
        <is>
          <t>Control</t>
        </is>
      </c>
      <c r="J5657" s="12" t="inlineStr">
        <is>
          <t>ARMOR-X MC-HL 600 V control, Cu #14 AWG (Class I Div 2)</t>
        </is>
      </c>
      <c r="K5657" s="12" t="inlineStr">
        <is>
          <t>CTAX|25/C|14</t>
        </is>
      </c>
      <c r="L5657" s="12" t="inlineStr">
        <is>
          <t>25/C</t>
        </is>
      </c>
      <c r="M5657" s="12" t="inlineStr">
        <is>
          <t>14</t>
        </is>
      </c>
      <c r="N5657" s="12" t="n">
        <v>1</v>
      </c>
      <c r="O5657" s="12" t="n">
        <v>1</v>
      </c>
      <c r="P5657" s="12" t="n"/>
      <c r="Q5657" s="12" t="n"/>
      <c r="R5657" s="12" t="n"/>
      <c r="S5657" s="12" t="inlineStr">
        <is>
          <t>Duct bank</t>
        </is>
      </c>
      <c r="T5657" s="16" t="n">
        <v>50</v>
      </c>
      <c r="U5657" s="16" t="n">
        <v>97</v>
      </c>
      <c r="V5657" s="16">
        <f>ROUNDUP((T5657+U5657+2*'Read Me'!$B$13)*(1+'Read Me'!$B$12),-1)</f>
        <v/>
      </c>
      <c r="W5657" s="16">
        <f>V5657*N5657*O5657</f>
        <v/>
      </c>
      <c r="X5657" s="12">
        <f>IF(LEFT(I5657,2)="MV",2*N5657*IF(L5657="1/C",O5657,1),0)</f>
        <v/>
      </c>
      <c r="Y5657" s="12">
        <f>IF(OR(LEFT(K5657,4)="LVAX",LEFT(K5657,6)="MV15AX",LEFT(K5657,4)="CTAX",LEFT(K5657,2)="W|"),2*N5657*O5657,0)</f>
        <v/>
      </c>
      <c r="Z5657" s="12" t="inlineStr"/>
      <c r="AA5657" s="12">
        <f>N5657*O5657</f>
        <v/>
      </c>
    </row>
    <row r="5658">
      <c r="A5658" s="12" t="inlineStr">
        <is>
          <t>K-C-0063</t>
        </is>
      </c>
      <c r="B5658" s="12" t="inlineStr">
        <is>
          <t>K</t>
        </is>
      </c>
      <c r="C5658" s="12" t="inlineStr">
        <is>
          <t>Fuel supply (adjacent market)</t>
        </is>
      </c>
      <c r="D5658" s="12" t="inlineStr">
        <is>
          <t>Motor 1 of 1: control / local station</t>
        </is>
      </c>
      <c r="E5658" s="12" t="inlineStr"/>
      <c r="F5658" s="12" t="inlineStr">
        <is>
          <t>H2 20: 13.8 kV e-house</t>
        </is>
      </c>
      <c r="G5658" s="12" t="inlineStr"/>
      <c r="H5658" s="12" t="inlineStr">
        <is>
          <t>H2 27: storage tube bank (~40 ft tubes)</t>
        </is>
      </c>
      <c r="I5658" s="12" t="inlineStr">
        <is>
          <t>Control</t>
        </is>
      </c>
      <c r="J5658" s="12" t="inlineStr">
        <is>
          <t>ARMOR-X MC-HL 600 V control, Cu #14 AWG (Class I Div 2)</t>
        </is>
      </c>
      <c r="K5658" s="12" t="inlineStr">
        <is>
          <t>CTAX|7/C|14</t>
        </is>
      </c>
      <c r="L5658" s="12" t="inlineStr">
        <is>
          <t>7/C</t>
        </is>
      </c>
      <c r="M5658" s="12" t="inlineStr">
        <is>
          <t>14</t>
        </is>
      </c>
      <c r="N5658" s="12" t="n">
        <v>1</v>
      </c>
      <c r="O5658" s="12" t="n">
        <v>1</v>
      </c>
      <c r="P5658" s="12" t="n"/>
      <c r="Q5658" s="12" t="n"/>
      <c r="R5658" s="12" t="n"/>
      <c r="S5658" s="12" t="inlineStr">
        <is>
          <t>Duct bank</t>
        </is>
      </c>
      <c r="T5658" s="16" t="n">
        <v>50</v>
      </c>
      <c r="U5658" s="16" t="n">
        <v>117</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K-C-0064</t>
        </is>
      </c>
      <c r="B5659" s="12" t="inlineStr">
        <is>
          <t>K</t>
        </is>
      </c>
      <c r="C5659" s="12" t="inlineStr">
        <is>
          <t>Fuel supply (adjacent market)</t>
        </is>
      </c>
      <c r="D5659" s="12" t="inlineStr">
        <is>
          <t>Solenoid to JB JB-H2 27: storage tub-SOL01: 2 x 2/C (field cables)</t>
        </is>
      </c>
      <c r="E5659" s="12" t="inlineStr"/>
      <c r="F5659" s="12" t="inlineStr">
        <is>
          <t>H2 27: storage tube bank (~40 ft tubes)</t>
        </is>
      </c>
      <c r="G5659" s="12" t="inlineStr">
        <is>
          <t>JB-H2 27: storage tub-SOL01</t>
        </is>
      </c>
      <c r="H5659" s="12" t="inlineStr">
        <is>
          <t>H2 27: storage tube bank (~40 ft tubes)</t>
        </is>
      </c>
      <c r="I5659" s="12" t="inlineStr">
        <is>
          <t>Control</t>
        </is>
      </c>
      <c r="J5659" s="12" t="inlineStr">
        <is>
          <t>ARMOR-X MC-HL 600 V control, Cu #14 AWG (Class I Div 2)</t>
        </is>
      </c>
      <c r="K5659" s="12" t="inlineStr">
        <is>
          <t>CTAX|2/C|14</t>
        </is>
      </c>
      <c r="L5659" s="12" t="inlineStr">
        <is>
          <t>2/C</t>
        </is>
      </c>
      <c r="M5659" s="12" t="inlineStr">
        <is>
          <t>14</t>
        </is>
      </c>
      <c r="N5659" s="12" t="n">
        <v>2</v>
      </c>
      <c r="O5659" s="12" t="n">
        <v>1</v>
      </c>
      <c r="P5659" s="12" t="n"/>
      <c r="Q5659" s="12" t="n"/>
      <c r="R5659" s="12" t="n"/>
      <c r="S5659" s="12" t="inlineStr">
        <is>
          <t>Tray / conduit</t>
        </is>
      </c>
      <c r="T5659" s="16" t="n">
        <v>54</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K-C-0065</t>
        </is>
      </c>
      <c r="B5660" s="12" t="inlineStr">
        <is>
          <t>K</t>
        </is>
      </c>
      <c r="C5660" s="12" t="inlineStr">
        <is>
          <t>Fuel supply (adjacent market)</t>
        </is>
      </c>
      <c r="D5660" s="12" t="inlineStr">
        <is>
          <t>Home run JB-H2 27: storage tub-SOL01 to the control / marshalling room</t>
        </is>
      </c>
      <c r="E5660" s="12" t="inlineStr"/>
      <c r="F5660" s="12" t="inlineStr">
        <is>
          <t>H2 20: 13.8 kV e-house</t>
        </is>
      </c>
      <c r="G5660" s="12" t="inlineStr">
        <is>
          <t>JB-H2 27: storage tub-SOL01</t>
        </is>
      </c>
      <c r="H5660" s="12" t="inlineStr">
        <is>
          <t>H2 27: storage tube bank (~40 ft tubes)</t>
        </is>
      </c>
      <c r="I5660" s="12" t="inlineStr">
        <is>
          <t>Control</t>
        </is>
      </c>
      <c r="J5660" s="12" t="inlineStr">
        <is>
          <t>ARMOR-X MC-HL 600 V control, Cu #14 AWG (Class I Div 2)</t>
        </is>
      </c>
      <c r="K5660" s="12" t="inlineStr">
        <is>
          <t>CTAX|25/C|14</t>
        </is>
      </c>
      <c r="L5660" s="12" t="inlineStr">
        <is>
          <t>25/C</t>
        </is>
      </c>
      <c r="M5660" s="12" t="inlineStr">
        <is>
          <t>14</t>
        </is>
      </c>
      <c r="N5660" s="12" t="n">
        <v>1</v>
      </c>
      <c r="O5660" s="12" t="n">
        <v>1</v>
      </c>
      <c r="P5660" s="12" t="n"/>
      <c r="Q5660" s="12" t="n"/>
      <c r="R5660" s="12" t="n"/>
      <c r="S5660" s="12" t="inlineStr">
        <is>
          <t>Duct bank</t>
        </is>
      </c>
      <c r="T5660" s="16" t="n">
        <v>50</v>
      </c>
      <c r="U5660" s="16" t="n">
        <v>117</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K-C-0066</t>
        </is>
      </c>
      <c r="B5661" s="12" t="inlineStr">
        <is>
          <t>K</t>
        </is>
      </c>
      <c r="C5661" s="12" t="inlineStr">
        <is>
          <t>Fuel supply (adjacent market)</t>
        </is>
      </c>
      <c r="D5661" s="12" t="inlineStr">
        <is>
          <t>Motor 1 of 1: control / local station</t>
        </is>
      </c>
      <c r="E5661" s="12" t="inlineStr"/>
      <c r="F5661" s="12" t="inlineStr">
        <is>
          <t>H2 20: 13.8 kV e-house</t>
        </is>
      </c>
      <c r="G5661" s="12" t="inlineStr"/>
      <c r="H5661" s="12" t="inlineStr">
        <is>
          <t>H2 27: storage tube bank (~40 ft tubes)</t>
        </is>
      </c>
      <c r="I5661" s="12" t="inlineStr">
        <is>
          <t>Control</t>
        </is>
      </c>
      <c r="J5661" s="12" t="inlineStr">
        <is>
          <t>ARMOR-X MC-HL 600 V control, Cu #14 AWG (Class I Div 2)</t>
        </is>
      </c>
      <c r="K5661" s="12" t="inlineStr">
        <is>
          <t>CTAX|7/C|14</t>
        </is>
      </c>
      <c r="L5661" s="12" t="inlineStr">
        <is>
          <t>7/C</t>
        </is>
      </c>
      <c r="M5661" s="12" t="inlineStr">
        <is>
          <t>14</t>
        </is>
      </c>
      <c r="N5661" s="12" t="n">
        <v>1</v>
      </c>
      <c r="O5661" s="12" t="n">
        <v>1</v>
      </c>
      <c r="P5661" s="12" t="n"/>
      <c r="Q5661" s="12" t="n"/>
      <c r="R5661" s="12" t="n"/>
      <c r="S5661" s="12" t="inlineStr">
        <is>
          <t>Duct bank</t>
        </is>
      </c>
      <c r="T5661" s="16" t="n">
        <v>50</v>
      </c>
      <c r="U5661" s="16" t="n">
        <v>97</v>
      </c>
      <c r="V5661" s="16">
        <f>ROUNDUP((T5661+U5661+2*'Read Me'!$B$13)*(1+'Read Me'!$B$12),-1)</f>
        <v/>
      </c>
      <c r="W5661" s="16">
        <f>V5661*N5661*O5661</f>
        <v/>
      </c>
      <c r="X5661" s="12">
        <f>IF(LEFT(I5661,2)="MV",2*N5661*IF(L5661="1/C",O5661,1),0)</f>
        <v/>
      </c>
      <c r="Y5661" s="12">
        <f>IF(OR(LEFT(K5661,4)="LVAX",LEFT(K5661,6)="MV15AX",LEFT(K5661,4)="CTAX",LEFT(K5661,2)="W|"),2*N5661*O5661,0)</f>
        <v/>
      </c>
      <c r="Z5661" s="12" t="inlineStr"/>
      <c r="AA5661" s="12">
        <f>N5661*O5661</f>
        <v/>
      </c>
    </row>
    <row r="5662">
      <c r="A5662" s="12" t="inlineStr">
        <is>
          <t>K-C-0067</t>
        </is>
      </c>
      <c r="B5662" s="12" t="inlineStr">
        <is>
          <t>K</t>
        </is>
      </c>
      <c r="C5662" s="12" t="inlineStr">
        <is>
          <t>Fuel supply (adjacent market)</t>
        </is>
      </c>
      <c r="D5662" s="12" t="inlineStr">
        <is>
          <t>Solenoid to JB JB-H2 27: storage tub-SOL01: 2 x 2/C (field cables)</t>
        </is>
      </c>
      <c r="E5662" s="12" t="inlineStr"/>
      <c r="F5662" s="12" t="inlineStr">
        <is>
          <t>H2 27: storage tube bank (~40 ft tubes)</t>
        </is>
      </c>
      <c r="G5662" s="12" t="inlineStr">
        <is>
          <t>JB-H2 27: storage tub-SOL01</t>
        </is>
      </c>
      <c r="H5662" s="12" t="inlineStr">
        <is>
          <t>H2 27: storage tube bank (~40 ft tubes)</t>
        </is>
      </c>
      <c r="I5662" s="12" t="inlineStr">
        <is>
          <t>Control</t>
        </is>
      </c>
      <c r="J5662" s="12" t="inlineStr">
        <is>
          <t>ARMOR-X MC-HL 600 V control, Cu #14 AWG (Class I Div 2)</t>
        </is>
      </c>
      <c r="K5662" s="12" t="inlineStr">
        <is>
          <t>CTAX|2/C|14</t>
        </is>
      </c>
      <c r="L5662" s="12" t="inlineStr">
        <is>
          <t>2/C</t>
        </is>
      </c>
      <c r="M5662" s="12" t="inlineStr">
        <is>
          <t>14</t>
        </is>
      </c>
      <c r="N5662" s="12" t="n">
        <v>2</v>
      </c>
      <c r="O5662" s="12" t="n">
        <v>1</v>
      </c>
      <c r="P5662" s="12" t="n"/>
      <c r="Q5662" s="12" t="n"/>
      <c r="R5662" s="12" t="n"/>
      <c r="S5662" s="12" t="inlineStr">
        <is>
          <t>Tray / conduit</t>
        </is>
      </c>
      <c r="T5662" s="16" t="n">
        <v>54</v>
      </c>
      <c r="U5662" s="16" t="n">
        <v>10</v>
      </c>
      <c r="V5662" s="16">
        <f>ROUNDUP((T5662+U5662+2*'Read Me'!$B$13)*(1+'Read Me'!$B$12),-1)</f>
        <v/>
      </c>
      <c r="W5662" s="16">
        <f>V5662*N5662*O5662</f>
        <v/>
      </c>
      <c r="X5662" s="12">
        <f>IF(LEFT(I5662,2)="MV",2*N5662*IF(L5662="1/C",O5662,1),0)</f>
        <v/>
      </c>
      <c r="Y5662" s="12">
        <f>IF(OR(LEFT(K5662,4)="LVAX",LEFT(K5662,6)="MV15AX",LEFT(K5662,4)="CTAX",LEFT(K5662,2)="W|"),2*N5662*O5662,0)</f>
        <v/>
      </c>
      <c r="Z5662" s="12" t="inlineStr">
        <is>
          <t>device-to-JB field wiring, one cable per device</t>
        </is>
      </c>
      <c r="AA5662" s="12">
        <f>N5662*O5662</f>
        <v/>
      </c>
    </row>
    <row r="5663">
      <c r="A5663" s="12" t="inlineStr">
        <is>
          <t>K-C-0068</t>
        </is>
      </c>
      <c r="B5663" s="12" t="inlineStr">
        <is>
          <t>K</t>
        </is>
      </c>
      <c r="C5663" s="12" t="inlineStr">
        <is>
          <t>Fuel supply (adjacent market)</t>
        </is>
      </c>
      <c r="D5663" s="12" t="inlineStr">
        <is>
          <t>Home run JB-H2 27: storage tub-SOL01 to the control / marshalling room</t>
        </is>
      </c>
      <c r="E5663" s="12" t="inlineStr"/>
      <c r="F5663" s="12" t="inlineStr">
        <is>
          <t>H2 20: 13.8 kV e-house</t>
        </is>
      </c>
      <c r="G5663" s="12" t="inlineStr">
        <is>
          <t>JB-H2 27: storage tub-SOL01</t>
        </is>
      </c>
      <c r="H5663" s="12" t="inlineStr">
        <is>
          <t>H2 27: storage tube bank (~40 ft tubes)</t>
        </is>
      </c>
      <c r="I5663" s="12" t="inlineStr">
        <is>
          <t>Control</t>
        </is>
      </c>
      <c r="J5663" s="12" t="inlineStr">
        <is>
          <t>ARMOR-X MC-HL 600 V control, Cu #14 AWG (Class I Div 2)</t>
        </is>
      </c>
      <c r="K5663" s="12" t="inlineStr">
        <is>
          <t>CTAX|25/C|14</t>
        </is>
      </c>
      <c r="L5663" s="12" t="inlineStr">
        <is>
          <t>25/C</t>
        </is>
      </c>
      <c r="M5663" s="12" t="inlineStr">
        <is>
          <t>14</t>
        </is>
      </c>
      <c r="N5663" s="12" t="n">
        <v>1</v>
      </c>
      <c r="O5663" s="12" t="n">
        <v>1</v>
      </c>
      <c r="P5663" s="12" t="n"/>
      <c r="Q5663" s="12" t="n"/>
      <c r="R5663" s="12" t="n"/>
      <c r="S5663" s="12" t="inlineStr">
        <is>
          <t>Duct bank</t>
        </is>
      </c>
      <c r="T5663" s="16" t="n">
        <v>50</v>
      </c>
      <c r="U5663" s="16" t="n">
        <v>97</v>
      </c>
      <c r="V5663" s="16">
        <f>ROUNDUP((T5663+U5663+2*'Read Me'!$B$13)*(1+'Read Me'!$B$12),-1)</f>
        <v/>
      </c>
      <c r="W5663" s="16">
        <f>V5663*N5663*O5663</f>
        <v/>
      </c>
      <c r="X5663" s="12">
        <f>IF(LEFT(I5663,2)="MV",2*N5663*IF(L5663="1/C",O5663,1),0)</f>
        <v/>
      </c>
      <c r="Y5663" s="12">
        <f>IF(OR(LEFT(K5663,4)="LVAX",LEFT(K5663,6)="MV15AX",LEFT(K5663,4)="CTAX",LEFT(K5663,2)="W|"),2*N5663*O5663,0)</f>
        <v/>
      </c>
      <c r="Z5663" s="12" t="inlineStr"/>
      <c r="AA5663" s="12">
        <f>N5663*O5663</f>
        <v/>
      </c>
    </row>
    <row r="5664">
      <c r="A5664" s="12" t="inlineStr">
        <is>
          <t>K-C-0069</t>
        </is>
      </c>
      <c r="B5664" s="12" t="inlineStr">
        <is>
          <t>K</t>
        </is>
      </c>
      <c r="C5664" s="12" t="inlineStr">
        <is>
          <t>Fuel supply (adjacent market)</t>
        </is>
      </c>
      <c r="D5664" s="12" t="inlineStr">
        <is>
          <t>Motor 1 of 1: control / local station</t>
        </is>
      </c>
      <c r="E5664" s="12" t="inlineStr"/>
      <c r="F5664" s="12" t="inlineStr">
        <is>
          <t>H2 20: 13.8 kV e-house</t>
        </is>
      </c>
      <c r="G5664" s="12" t="inlineStr"/>
      <c r="H5664" s="12" t="inlineStr">
        <is>
          <t>H2 27: storage tube bank (~40 ft tubes)</t>
        </is>
      </c>
      <c r="I5664" s="12" t="inlineStr">
        <is>
          <t>Control</t>
        </is>
      </c>
      <c r="J5664" s="12" t="inlineStr">
        <is>
          <t>ARMOR-X MC-HL 600 V control, Cu #14 AWG (Class I Div 2)</t>
        </is>
      </c>
      <c r="K5664" s="12" t="inlineStr">
        <is>
          <t>CTAX|7/C|14</t>
        </is>
      </c>
      <c r="L5664" s="12" t="inlineStr">
        <is>
          <t>7/C</t>
        </is>
      </c>
      <c r="M5664" s="12" t="inlineStr">
        <is>
          <t>14</t>
        </is>
      </c>
      <c r="N5664" s="12" t="n">
        <v>1</v>
      </c>
      <c r="O5664" s="12" t="n">
        <v>1</v>
      </c>
      <c r="P5664" s="12" t="n"/>
      <c r="Q5664" s="12" t="n"/>
      <c r="R5664" s="12" t="n"/>
      <c r="S5664" s="12" t="inlineStr">
        <is>
          <t>Duct bank</t>
        </is>
      </c>
      <c r="T5664" s="16" t="n">
        <v>50</v>
      </c>
      <c r="U5664" s="16" t="n">
        <v>117</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K-C-0070</t>
        </is>
      </c>
      <c r="B5665" s="12" t="inlineStr">
        <is>
          <t>K</t>
        </is>
      </c>
      <c r="C5665" s="12" t="inlineStr">
        <is>
          <t>Fuel supply (adjacent market)</t>
        </is>
      </c>
      <c r="D5665" s="12" t="inlineStr">
        <is>
          <t>Solenoid to JB JB-H2 27: storage tub-SOL01: 2 x 2/C (field cables)</t>
        </is>
      </c>
      <c r="E5665" s="12" t="inlineStr"/>
      <c r="F5665" s="12" t="inlineStr">
        <is>
          <t>H2 27: storage tube bank (~40 ft tubes)</t>
        </is>
      </c>
      <c r="G5665" s="12" t="inlineStr">
        <is>
          <t>JB-H2 27: storage tub-SOL01</t>
        </is>
      </c>
      <c r="H5665" s="12" t="inlineStr">
        <is>
          <t>H2 27: storage tube bank (~40 ft tubes)</t>
        </is>
      </c>
      <c r="I5665" s="12" t="inlineStr">
        <is>
          <t>Control</t>
        </is>
      </c>
      <c r="J5665" s="12" t="inlineStr">
        <is>
          <t>ARMOR-X MC-HL 600 V control, Cu #14 AWG (Class I Div 2)</t>
        </is>
      </c>
      <c r="K5665" s="12" t="inlineStr">
        <is>
          <t>CTAX|2/C|14</t>
        </is>
      </c>
      <c r="L5665" s="12" t="inlineStr">
        <is>
          <t>2/C</t>
        </is>
      </c>
      <c r="M5665" s="12" t="inlineStr">
        <is>
          <t>14</t>
        </is>
      </c>
      <c r="N5665" s="12" t="n">
        <v>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K-C-0071</t>
        </is>
      </c>
      <c r="B5666" s="12" t="inlineStr">
        <is>
          <t>K</t>
        </is>
      </c>
      <c r="C5666" s="12" t="inlineStr">
        <is>
          <t>Fuel supply (adjacent market)</t>
        </is>
      </c>
      <c r="D5666" s="12" t="inlineStr">
        <is>
          <t>Home run JB-H2 27: storage tub-SOL01 to the control / marshalling room</t>
        </is>
      </c>
      <c r="E5666" s="12" t="inlineStr"/>
      <c r="F5666" s="12" t="inlineStr">
        <is>
          <t>H2 20: 13.8 kV e-house</t>
        </is>
      </c>
      <c r="G5666" s="12" t="inlineStr">
        <is>
          <t>JB-H2 27: storage tub-SOL01</t>
        </is>
      </c>
      <c r="H5666" s="12" t="inlineStr">
        <is>
          <t>H2 27: storage tube bank (~40 ft tubes)</t>
        </is>
      </c>
      <c r="I5666" s="12" t="inlineStr">
        <is>
          <t>Control</t>
        </is>
      </c>
      <c r="J5666" s="12" t="inlineStr">
        <is>
          <t>ARMOR-X MC-HL 600 V control, Cu #14 AWG (Class I Div 2)</t>
        </is>
      </c>
      <c r="K5666" s="12" t="inlineStr">
        <is>
          <t>CTAX|25/C|14</t>
        </is>
      </c>
      <c r="L5666" s="12" t="inlineStr">
        <is>
          <t>25/C</t>
        </is>
      </c>
      <c r="M5666" s="12" t="inlineStr">
        <is>
          <t>14</t>
        </is>
      </c>
      <c r="N5666" s="12" t="n">
        <v>1</v>
      </c>
      <c r="O5666" s="12" t="n">
        <v>1</v>
      </c>
      <c r="P5666" s="12" t="n"/>
      <c r="Q5666" s="12" t="n"/>
      <c r="R5666" s="12" t="n"/>
      <c r="S5666" s="12" t="inlineStr">
        <is>
          <t>Duct bank</t>
        </is>
      </c>
      <c r="T5666" s="16" t="n">
        <v>50</v>
      </c>
      <c r="U5666" s="16" t="n">
        <v>117</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K-C-0072</t>
        </is>
      </c>
      <c r="B5667" s="12" t="inlineStr">
        <is>
          <t>K</t>
        </is>
      </c>
      <c r="C5667" s="12" t="inlineStr">
        <is>
          <t>Fuel supply (adjacent market)</t>
        </is>
      </c>
      <c r="D5667" s="12" t="inlineStr">
        <is>
          <t>Motor 1 of 1: control / local station</t>
        </is>
      </c>
      <c r="E5667" s="12" t="inlineStr"/>
      <c r="F5667" s="12" t="inlineStr">
        <is>
          <t>H2 20: 13.8 kV e-house</t>
        </is>
      </c>
      <c r="G5667" s="12" t="inlineStr"/>
      <c r="H5667" s="12" t="inlineStr">
        <is>
          <t>H2 28: N2 purge supply</t>
        </is>
      </c>
      <c r="I5667" s="12" t="inlineStr">
        <is>
          <t>Control</t>
        </is>
      </c>
      <c r="J5667" s="12" t="inlineStr">
        <is>
          <t>ARMOR-X MC-HL 600 V control, Cu #14 AWG (Class I Div 2)</t>
        </is>
      </c>
      <c r="K5667" s="12" t="inlineStr">
        <is>
          <t>CTAX|7/C|14</t>
        </is>
      </c>
      <c r="L5667" s="12" t="inlineStr">
        <is>
          <t>7/C</t>
        </is>
      </c>
      <c r="M5667" s="12" t="inlineStr">
        <is>
          <t>14</t>
        </is>
      </c>
      <c r="N5667" s="12" t="n">
        <v>1</v>
      </c>
      <c r="O5667" s="12" t="n">
        <v>1</v>
      </c>
      <c r="P5667" s="12" t="n"/>
      <c r="Q5667" s="12" t="n"/>
      <c r="R5667" s="12" t="n"/>
      <c r="S5667" s="12" t="inlineStr">
        <is>
          <t>Duct bank</t>
        </is>
      </c>
      <c r="T5667" s="16" t="n">
        <v>53</v>
      </c>
      <c r="U5667" s="16" t="n">
        <v>36</v>
      </c>
      <c r="V5667" s="16">
        <f>ROUNDUP((T5667+U5667+2*'Read Me'!$B$13)*(1+'Read Me'!$B$12),-1)</f>
        <v/>
      </c>
      <c r="W5667" s="16">
        <f>V5667*N5667*O5667</f>
        <v/>
      </c>
      <c r="X5667" s="12">
        <f>IF(LEFT(I5667,2)="MV",2*N5667*IF(L5667="1/C",O5667,1),0)</f>
        <v/>
      </c>
      <c r="Y5667" s="12">
        <f>IF(OR(LEFT(K5667,4)="LVAX",LEFT(K5667,6)="MV15AX",LEFT(K5667,4)="CTAX",LEFT(K5667,2)="W|"),2*N5667*O5667,0)</f>
        <v/>
      </c>
      <c r="Z5667" s="12" t="inlineStr"/>
      <c r="AA5667" s="12">
        <f>N5667*O5667</f>
        <v/>
      </c>
    </row>
    <row r="5668">
      <c r="A5668" s="12" t="inlineStr">
        <is>
          <t>K-C-0073</t>
        </is>
      </c>
      <c r="B5668" s="12" t="inlineStr">
        <is>
          <t>K</t>
        </is>
      </c>
      <c r="C5668" s="12" t="inlineStr">
        <is>
          <t>Fuel supply (adjacent market)</t>
        </is>
      </c>
      <c r="D5668" s="12" t="inlineStr">
        <is>
          <t>Solenoid to JB JB-H2 28: N2 purge su-SOL01: 2 x 2/C (field cables)</t>
        </is>
      </c>
      <c r="E5668" s="12" t="inlineStr"/>
      <c r="F5668" s="12" t="inlineStr">
        <is>
          <t>H2 28: N2 purge supply</t>
        </is>
      </c>
      <c r="G5668" s="12" t="inlineStr">
        <is>
          <t>JB-H2 28: N2 purge su-SOL01</t>
        </is>
      </c>
      <c r="H5668" s="12" t="inlineStr">
        <is>
          <t>H2 28: N2 purge supply</t>
        </is>
      </c>
      <c r="I5668" s="12" t="inlineStr">
        <is>
          <t>Control</t>
        </is>
      </c>
      <c r="J5668" s="12" t="inlineStr">
        <is>
          <t>ARMOR-X MC-HL 600 V control, Cu #14 AWG (Class I Div 2)</t>
        </is>
      </c>
      <c r="K5668" s="12" t="inlineStr">
        <is>
          <t>CTAX|2/C|14</t>
        </is>
      </c>
      <c r="L5668" s="12" t="inlineStr">
        <is>
          <t>2/C</t>
        </is>
      </c>
      <c r="M5668" s="12" t="inlineStr">
        <is>
          <t>14</t>
        </is>
      </c>
      <c r="N5668" s="12" t="n">
        <v>2</v>
      </c>
      <c r="O5668" s="12" t="n">
        <v>1</v>
      </c>
      <c r="P5668" s="12" t="n"/>
      <c r="Q5668" s="12" t="n"/>
      <c r="R5668" s="12" t="n"/>
      <c r="S5668" s="12" t="inlineStr">
        <is>
          <t>Tray / conduit</t>
        </is>
      </c>
      <c r="T5668" s="16" t="n">
        <v>56</v>
      </c>
      <c r="U5668" s="16" t="n">
        <v>10</v>
      </c>
      <c r="V5668" s="16">
        <f>ROUNDUP((T5668+U5668+2*'Read Me'!$B$13)*(1+'Read Me'!$B$12),-1)</f>
        <v/>
      </c>
      <c r="W5668" s="16">
        <f>V5668*N5668*O5668</f>
        <v/>
      </c>
      <c r="X5668" s="12">
        <f>IF(LEFT(I5668,2)="MV",2*N5668*IF(L5668="1/C",O5668,1),0)</f>
        <v/>
      </c>
      <c r="Y5668" s="12">
        <f>IF(OR(LEFT(K5668,4)="LVAX",LEFT(K5668,6)="MV15AX",LEFT(K5668,4)="CTAX",LEFT(K5668,2)="W|"),2*N5668*O5668,0)</f>
        <v/>
      </c>
      <c r="Z5668" s="12" t="inlineStr">
        <is>
          <t>device-to-JB field wiring, one cable per device</t>
        </is>
      </c>
      <c r="AA5668" s="12">
        <f>N5668*O5668</f>
        <v/>
      </c>
    </row>
    <row r="5669">
      <c r="A5669" s="12" t="inlineStr">
        <is>
          <t>K-C-0074</t>
        </is>
      </c>
      <c r="B5669" s="12" t="inlineStr">
        <is>
          <t>K</t>
        </is>
      </c>
      <c r="C5669" s="12" t="inlineStr">
        <is>
          <t>Fuel supply (adjacent market)</t>
        </is>
      </c>
      <c r="D5669" s="12" t="inlineStr">
        <is>
          <t>Home run JB-H2 28: N2 purge su-SOL01 to the control / marshalling room</t>
        </is>
      </c>
      <c r="E5669" s="12" t="inlineStr"/>
      <c r="F5669" s="12" t="inlineStr">
        <is>
          <t>H2 20: 13.8 kV e-house</t>
        </is>
      </c>
      <c r="G5669" s="12" t="inlineStr">
        <is>
          <t>JB-H2 28: N2 purge su-SOL01</t>
        </is>
      </c>
      <c r="H5669" s="12" t="inlineStr">
        <is>
          <t>H2 28: N2 purge supply</t>
        </is>
      </c>
      <c r="I5669" s="12" t="inlineStr">
        <is>
          <t>Control</t>
        </is>
      </c>
      <c r="J5669" s="12" t="inlineStr">
        <is>
          <t>ARMOR-X MC-HL 600 V control, Cu #14 AWG (Class I Div 2)</t>
        </is>
      </c>
      <c r="K5669" s="12" t="inlineStr">
        <is>
          <t>CTAX|25/C|14</t>
        </is>
      </c>
      <c r="L5669" s="12" t="inlineStr">
        <is>
          <t>25/C</t>
        </is>
      </c>
      <c r="M5669" s="12" t="inlineStr">
        <is>
          <t>14</t>
        </is>
      </c>
      <c r="N5669" s="12" t="n">
        <v>1</v>
      </c>
      <c r="O5669" s="12" t="n">
        <v>1</v>
      </c>
      <c r="P5669" s="12" t="n"/>
      <c r="Q5669" s="12" t="n"/>
      <c r="R5669" s="12" t="n"/>
      <c r="S5669" s="12" t="inlineStr">
        <is>
          <t>Duct bank</t>
        </is>
      </c>
      <c r="T5669" s="16" t="n">
        <v>53</v>
      </c>
      <c r="U5669" s="16" t="n">
        <v>36</v>
      </c>
      <c r="V5669" s="16">
        <f>ROUNDUP((T5669+U5669+2*'Read Me'!$B$13)*(1+'Read Me'!$B$12),-1)</f>
        <v/>
      </c>
      <c r="W5669" s="16">
        <f>V5669*N5669*O5669</f>
        <v/>
      </c>
      <c r="X5669" s="12">
        <f>IF(LEFT(I5669,2)="MV",2*N5669*IF(L5669="1/C",O5669,1),0)</f>
        <v/>
      </c>
      <c r="Y5669" s="12">
        <f>IF(OR(LEFT(K5669,4)="LVAX",LEFT(K5669,6)="MV15AX",LEFT(K5669,4)="CTAX",LEFT(K5669,2)="W|"),2*N5669*O5669,0)</f>
        <v/>
      </c>
      <c r="Z5669" s="12" t="inlineStr"/>
      <c r="AA5669" s="12">
        <f>N5669*O5669</f>
        <v/>
      </c>
    </row>
    <row r="5670">
      <c r="A5670" s="12" t="inlineStr">
        <is>
          <t>K-C-0075</t>
        </is>
      </c>
      <c r="B5670" s="12" t="inlineStr">
        <is>
          <t>K</t>
        </is>
      </c>
      <c r="C5670" s="12" t="inlineStr">
        <is>
          <t>Fuel supply (adjacent market)</t>
        </is>
      </c>
      <c r="D5670" s="12" t="inlineStr">
        <is>
          <t>Motor 1 of 1: control / local station</t>
        </is>
      </c>
      <c r="E5670" s="12" t="inlineStr"/>
      <c r="F5670" s="12" t="inlineStr">
        <is>
          <t>H2 20: 13.8 kV e-house</t>
        </is>
      </c>
      <c r="G5670" s="12" t="inlineStr"/>
      <c r="H5670" s="12" t="inlineStr">
        <is>
          <t>H2 29: vent stack</t>
        </is>
      </c>
      <c r="I5670" s="12" t="inlineStr">
        <is>
          <t>Control</t>
        </is>
      </c>
      <c r="J5670" s="12" t="inlineStr">
        <is>
          <t>ARMOR-X MC-HL 600 V control, Cu #14 AWG (Class I Div 2)</t>
        </is>
      </c>
      <c r="K5670" s="12" t="inlineStr">
        <is>
          <t>CTAX|7/C|14</t>
        </is>
      </c>
      <c r="L5670" s="12" t="inlineStr">
        <is>
          <t>7/C</t>
        </is>
      </c>
      <c r="M5670" s="12" t="inlineStr">
        <is>
          <t>14</t>
        </is>
      </c>
      <c r="N5670" s="12" t="n">
        <v>1</v>
      </c>
      <c r="O5670" s="12" t="n">
        <v>1</v>
      </c>
      <c r="P5670" s="12" t="n"/>
      <c r="Q5670" s="12" t="n"/>
      <c r="R5670" s="12" t="n"/>
      <c r="S5670" s="12" t="inlineStr">
        <is>
          <t>Duct bank</t>
        </is>
      </c>
      <c r="T5670" s="16" t="n">
        <v>55</v>
      </c>
      <c r="U5670" s="16" t="n">
        <v>205</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K-C-0076</t>
        </is>
      </c>
      <c r="B5671" s="12" t="inlineStr">
        <is>
          <t>K</t>
        </is>
      </c>
      <c r="C5671" s="12" t="inlineStr">
        <is>
          <t>Fuel supply (adjacent market)</t>
        </is>
      </c>
      <c r="D5671" s="12" t="inlineStr">
        <is>
          <t>Solenoid to JB JB-H2 29: vent stack-SOL01: 2 x 2/C (field cables)</t>
        </is>
      </c>
      <c r="E5671" s="12" t="inlineStr"/>
      <c r="F5671" s="12" t="inlineStr">
        <is>
          <t>H2 29: vent stack</t>
        </is>
      </c>
      <c r="G5671" s="12" t="inlineStr">
        <is>
          <t>JB-H2 29: vent stack-SOL01</t>
        </is>
      </c>
      <c r="H5671" s="12" t="inlineStr">
        <is>
          <t>H2 29: vent stack</t>
        </is>
      </c>
      <c r="I5671" s="12" t="inlineStr">
        <is>
          <t>Control</t>
        </is>
      </c>
      <c r="J5671" s="12" t="inlineStr">
        <is>
          <t>ARMOR-X MC-HL 600 V control, Cu #14 AWG (Class I Div 2)</t>
        </is>
      </c>
      <c r="K5671" s="12" t="inlineStr">
        <is>
          <t>CTAX|2/C|14</t>
        </is>
      </c>
      <c r="L5671" s="12" t="inlineStr">
        <is>
          <t>2/C</t>
        </is>
      </c>
      <c r="M5671" s="12" t="inlineStr">
        <is>
          <t>14</t>
        </is>
      </c>
      <c r="N5671" s="12" t="n">
        <v>2</v>
      </c>
      <c r="O5671" s="12" t="n">
        <v>1</v>
      </c>
      <c r="P5671" s="12" t="n"/>
      <c r="Q5671" s="12" t="n"/>
      <c r="R5671" s="12" t="n"/>
      <c r="S5671" s="12" t="inlineStr">
        <is>
          <t>Tray / conduit</t>
        </is>
      </c>
      <c r="T5671" s="16" t="n">
        <v>45</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K-C-0077</t>
        </is>
      </c>
      <c r="B5672" s="12" t="inlineStr">
        <is>
          <t>K</t>
        </is>
      </c>
      <c r="C5672" s="12" t="inlineStr">
        <is>
          <t>Fuel supply (adjacent market)</t>
        </is>
      </c>
      <c r="D5672" s="12" t="inlineStr">
        <is>
          <t>Home run JB-H2 29: vent stack-SOL01 to the control / marshalling room</t>
        </is>
      </c>
      <c r="E5672" s="12" t="inlineStr"/>
      <c r="F5672" s="12" t="inlineStr">
        <is>
          <t>H2 20: 13.8 kV e-house</t>
        </is>
      </c>
      <c r="G5672" s="12" t="inlineStr">
        <is>
          <t>JB-H2 29: vent stack-SOL01</t>
        </is>
      </c>
      <c r="H5672" s="12" t="inlineStr">
        <is>
          <t>H2 29: vent stack</t>
        </is>
      </c>
      <c r="I5672" s="12" t="inlineStr">
        <is>
          <t>Control</t>
        </is>
      </c>
      <c r="J5672" s="12" t="inlineStr">
        <is>
          <t>ARMOR-X MC-HL 600 V control, Cu #14 AWG (Class I Div 2)</t>
        </is>
      </c>
      <c r="K5672" s="12" t="inlineStr">
        <is>
          <t>CTAX|25/C|14</t>
        </is>
      </c>
      <c r="L5672" s="12" t="inlineStr">
        <is>
          <t>25/C</t>
        </is>
      </c>
      <c r="M5672" s="12" t="inlineStr">
        <is>
          <t>14</t>
        </is>
      </c>
      <c r="N5672" s="12" t="n">
        <v>1</v>
      </c>
      <c r="O5672" s="12" t="n">
        <v>1</v>
      </c>
      <c r="P5672" s="12" t="n"/>
      <c r="Q5672" s="12" t="n"/>
      <c r="R5672" s="12" t="n"/>
      <c r="S5672" s="12" t="inlineStr">
        <is>
          <t>Duct bank</t>
        </is>
      </c>
      <c r="T5672" s="16" t="n">
        <v>55</v>
      </c>
      <c r="U5672" s="16" t="n">
        <v>205</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K-C-0078</t>
        </is>
      </c>
      <c r="B5673" s="12" t="inlineStr">
        <is>
          <t>K</t>
        </is>
      </c>
      <c r="C5673" s="12" t="inlineStr">
        <is>
          <t>Fuel supply (adjacent market)</t>
        </is>
      </c>
      <c r="D5673" s="12" t="inlineStr">
        <is>
          <t>Motor 1 of 1: control / local station</t>
        </is>
      </c>
      <c r="E5673" s="12" t="inlineStr"/>
      <c r="F5673" s="12" t="inlineStr">
        <is>
          <t>LNG 17: LNG e-house (13.8 kV / 480 V)</t>
        </is>
      </c>
      <c r="G5673" s="12" t="inlineStr"/>
      <c r="H5673" s="12" t="inlineStr">
        <is>
          <t>H2 30: H2 / gas blending station (plant gas yard)</t>
        </is>
      </c>
      <c r="I5673" s="12" t="inlineStr">
        <is>
          <t>Control</t>
        </is>
      </c>
      <c r="J5673" s="12" t="inlineStr">
        <is>
          <t>ARMOR-X MC-HL 600 V control, Cu #14 AWG (Class I Div 2)</t>
        </is>
      </c>
      <c r="K5673" s="12" t="inlineStr">
        <is>
          <t>CTAX|7/C|14</t>
        </is>
      </c>
      <c r="L5673" s="12" t="inlineStr">
        <is>
          <t>7/C</t>
        </is>
      </c>
      <c r="M5673" s="12" t="inlineStr">
        <is>
          <t>14</t>
        </is>
      </c>
      <c r="N5673" s="12" t="n">
        <v>1</v>
      </c>
      <c r="O5673" s="12" t="n">
        <v>1</v>
      </c>
      <c r="P5673" s="12" t="n"/>
      <c r="Q5673" s="12" t="n"/>
      <c r="R5673" s="12" t="n"/>
      <c r="S5673" s="12" t="inlineStr">
        <is>
          <t>Duct bank</t>
        </is>
      </c>
      <c r="T5673" s="16" t="n">
        <v>994</v>
      </c>
      <c r="U5673" s="16" t="n">
        <v>114</v>
      </c>
      <c r="V5673" s="16">
        <f>ROUNDUP((T5673+U5673+2*'Read Me'!$B$13)*(1+'Read Me'!$B$12),-1)</f>
        <v/>
      </c>
      <c r="W5673" s="16">
        <f>V5673*N5673*O5673</f>
        <v/>
      </c>
      <c r="X5673" s="12">
        <f>IF(LEFT(I5673,2)="MV",2*N5673*IF(L5673="1/C",O5673,1),0)</f>
        <v/>
      </c>
      <c r="Y5673" s="12">
        <f>IF(OR(LEFT(K5673,4)="LVAX",LEFT(K5673,6)="MV15AX",LEFT(K5673,4)="CTAX",LEFT(K5673,2)="W|"),2*N5673*O5673,0)</f>
        <v/>
      </c>
      <c r="Z5673" s="12" t="inlineStr"/>
      <c r="AA5673" s="12">
        <f>N5673*O5673</f>
        <v/>
      </c>
    </row>
    <row r="5674">
      <c r="A5674" s="12" t="inlineStr">
        <is>
          <t>K-C-0079</t>
        </is>
      </c>
      <c r="B5674" s="12" t="inlineStr">
        <is>
          <t>K</t>
        </is>
      </c>
      <c r="C5674" s="12" t="inlineStr">
        <is>
          <t>Fuel supply (adjacent market)</t>
        </is>
      </c>
      <c r="D5674" s="12" t="inlineStr">
        <is>
          <t>Solenoid to JB JB-H2 30: H2 / gas bl-SOL01: 2 x 2/C (field cables)</t>
        </is>
      </c>
      <c r="E5674" s="12" t="inlineStr"/>
      <c r="F5674" s="12" t="inlineStr">
        <is>
          <t>H2 30: H2 / gas blending station (plant gas yard)</t>
        </is>
      </c>
      <c r="G5674" s="12" t="inlineStr">
        <is>
          <t>JB-H2 30: H2 / gas bl-SOL01</t>
        </is>
      </c>
      <c r="H5674" s="12" t="inlineStr">
        <is>
          <t>H2 30: H2 / gas blending station (plant gas yard)</t>
        </is>
      </c>
      <c r="I5674" s="12" t="inlineStr">
        <is>
          <t>Control</t>
        </is>
      </c>
      <c r="J5674" s="12" t="inlineStr">
        <is>
          <t>ARMOR-X MC-HL 600 V control, Cu #14 AWG (Class I Div 2)</t>
        </is>
      </c>
      <c r="K5674" s="12" t="inlineStr">
        <is>
          <t>CTAX|2/C|14</t>
        </is>
      </c>
      <c r="L5674" s="12" t="inlineStr">
        <is>
          <t>2/C</t>
        </is>
      </c>
      <c r="M5674" s="12" t="inlineStr">
        <is>
          <t>14</t>
        </is>
      </c>
      <c r="N5674" s="12" t="n">
        <v>2</v>
      </c>
      <c r="O5674" s="12" t="n">
        <v>1</v>
      </c>
      <c r="P5674" s="12" t="n"/>
      <c r="Q5674" s="12" t="n"/>
      <c r="R5674" s="12" t="n"/>
      <c r="S5674" s="12" t="inlineStr">
        <is>
          <t>Tray / conduit</t>
        </is>
      </c>
      <c r="T5674" s="16" t="n">
        <v>129</v>
      </c>
      <c r="U5674" s="16" t="n">
        <v>10</v>
      </c>
      <c r="V5674" s="16">
        <f>ROUNDUP((T5674+U5674+2*'Read Me'!$B$13)*(1+'Read Me'!$B$12),-1)</f>
        <v/>
      </c>
      <c r="W5674" s="16">
        <f>V5674*N5674*O5674</f>
        <v/>
      </c>
      <c r="X5674" s="12">
        <f>IF(LEFT(I5674,2)="MV",2*N5674*IF(L5674="1/C",O5674,1),0)</f>
        <v/>
      </c>
      <c r="Y5674" s="12">
        <f>IF(OR(LEFT(K5674,4)="LVAX",LEFT(K5674,6)="MV15AX",LEFT(K5674,4)="CTAX",LEFT(K5674,2)="W|"),2*N5674*O5674,0)</f>
        <v/>
      </c>
      <c r="Z5674" s="12" t="inlineStr">
        <is>
          <t>device-to-JB field wiring, one cable per device</t>
        </is>
      </c>
      <c r="AA5674" s="12">
        <f>N5674*O5674</f>
        <v/>
      </c>
    </row>
    <row r="5675">
      <c r="A5675" s="12" t="inlineStr">
        <is>
          <t>K-C-0080</t>
        </is>
      </c>
      <c r="B5675" s="12" t="inlineStr">
        <is>
          <t>K</t>
        </is>
      </c>
      <c r="C5675" s="12" t="inlineStr">
        <is>
          <t>Fuel supply (adjacent market)</t>
        </is>
      </c>
      <c r="D5675" s="12" t="inlineStr">
        <is>
          <t>Home run JB-H2 30: H2 / gas bl-SOL01 to the control / marshalling room</t>
        </is>
      </c>
      <c r="E5675" s="12" t="inlineStr"/>
      <c r="F5675" s="12" t="inlineStr">
        <is>
          <t>LNG 17: LNG e-house (13.8 kV / 480 V)</t>
        </is>
      </c>
      <c r="G5675" s="12" t="inlineStr">
        <is>
          <t>JB-H2 30: H2 / gas bl-SOL01</t>
        </is>
      </c>
      <c r="H5675" s="12" t="inlineStr">
        <is>
          <t>H2 30: H2 / gas blending station (plant gas yard)</t>
        </is>
      </c>
      <c r="I5675" s="12" t="inlineStr">
        <is>
          <t>Control</t>
        </is>
      </c>
      <c r="J5675" s="12" t="inlineStr">
        <is>
          <t>ARMOR-X MC-HL 600 V control, Cu #14 AWG (Class I Div 2)</t>
        </is>
      </c>
      <c r="K5675" s="12" t="inlineStr">
        <is>
          <t>CTAX|25/C|14</t>
        </is>
      </c>
      <c r="L5675" s="12" t="inlineStr">
        <is>
          <t>25/C</t>
        </is>
      </c>
      <c r="M5675" s="12" t="inlineStr">
        <is>
          <t>14</t>
        </is>
      </c>
      <c r="N5675" s="12" t="n">
        <v>1</v>
      </c>
      <c r="O5675" s="12" t="n">
        <v>1</v>
      </c>
      <c r="P5675" s="12" t="n"/>
      <c r="Q5675" s="12" t="n"/>
      <c r="R5675" s="12" t="n"/>
      <c r="S5675" s="12" t="inlineStr">
        <is>
          <t>Duct bank</t>
        </is>
      </c>
      <c r="T5675" s="16" t="n">
        <v>994</v>
      </c>
      <c r="U5675" s="16" t="n">
        <v>114</v>
      </c>
      <c r="V5675" s="16">
        <f>ROUNDUP((T5675+U5675+2*'Read Me'!$B$13)*(1+'Read Me'!$B$12),-1)</f>
        <v/>
      </c>
      <c r="W5675" s="16">
        <f>V5675*N5675*O5675</f>
        <v/>
      </c>
      <c r="X5675" s="12">
        <f>IF(LEFT(I5675,2)="MV",2*N5675*IF(L5675="1/C",O5675,1),0)</f>
        <v/>
      </c>
      <c r="Y5675" s="12">
        <f>IF(OR(LEFT(K5675,4)="LVAX",LEFT(K5675,6)="MV15AX",LEFT(K5675,4)="CTAX",LEFT(K5675,2)="W|"),2*N5675*O5675,0)</f>
        <v/>
      </c>
      <c r="Z5675" s="12" t="inlineStr"/>
      <c r="AA5675" s="12">
        <f>N5675*O5675</f>
        <v/>
      </c>
    </row>
    <row r="5676">
      <c r="A5676" s="12" t="inlineStr">
        <is>
          <t>K-C-0081</t>
        </is>
      </c>
      <c r="B5676" s="12" t="inlineStr">
        <is>
          <t>K</t>
        </is>
      </c>
      <c r="C5676" s="12" t="inlineStr">
        <is>
          <t>Fuel supply (adjacent market)</t>
        </is>
      </c>
      <c r="D5676" s="12" t="inlineStr">
        <is>
          <t>Motor 1 of 2: control / local station</t>
        </is>
      </c>
      <c r="E5676" s="12" t="inlineStr"/>
      <c r="F5676" s="12" t="inlineStr">
        <is>
          <t>H2 20: 13.8 kV e-house</t>
        </is>
      </c>
      <c r="G5676" s="12" t="inlineStr"/>
      <c r="H5676" s="12" t="inlineStr">
        <is>
          <t>H2 pipe track and cable trench, hall -&gt; dryer / compressors (N2, instr</t>
        </is>
      </c>
      <c r="I5676" s="12" t="inlineStr">
        <is>
          <t>Control</t>
        </is>
      </c>
      <c r="J5676" s="12" t="inlineStr">
        <is>
          <t>ARMOR-X MC-HL 600 V control, Cu #14 AWG (Class I Div 2)</t>
        </is>
      </c>
      <c r="K5676" s="12" t="inlineStr">
        <is>
          <t>CTAX|7/C|14</t>
        </is>
      </c>
      <c r="L5676" s="12" t="inlineStr">
        <is>
          <t>7/C</t>
        </is>
      </c>
      <c r="M5676" s="12" t="inlineStr">
        <is>
          <t>14</t>
        </is>
      </c>
      <c r="N5676" s="12" t="n">
        <v>1</v>
      </c>
      <c r="O5676" s="12" t="n">
        <v>1</v>
      </c>
      <c r="P5676" s="12" t="n"/>
      <c r="Q5676" s="12" t="n"/>
      <c r="R5676" s="12" t="n"/>
      <c r="S5676" s="12" t="inlineStr">
        <is>
          <t>Duct bank</t>
        </is>
      </c>
      <c r="T5676" s="16" t="n">
        <v>53</v>
      </c>
      <c r="U5676" s="16" t="n">
        <v>62</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K-C-0082</t>
        </is>
      </c>
      <c r="B5677" s="12" t="inlineStr">
        <is>
          <t>K</t>
        </is>
      </c>
      <c r="C5677" s="12" t="inlineStr">
        <is>
          <t>Fuel supply (adjacent market)</t>
        </is>
      </c>
      <c r="D5677" s="12" t="inlineStr">
        <is>
          <t>Motor 2 of 2: control / local station</t>
        </is>
      </c>
      <c r="E5677" s="12" t="inlineStr"/>
      <c r="F5677" s="12" t="inlineStr">
        <is>
          <t>H2 20: 13.8 kV e-house</t>
        </is>
      </c>
      <c r="G5677" s="12" t="inlineStr"/>
      <c r="H5677" s="12" t="inlineStr">
        <is>
          <t>H2 pipe track and cable trench, hall -&gt; dryer / compressors (N2, instr</t>
        </is>
      </c>
      <c r="I5677" s="12" t="inlineStr">
        <is>
          <t>Control</t>
        </is>
      </c>
      <c r="J5677" s="12" t="inlineStr">
        <is>
          <t>ARMOR-X MC-HL 600 V control, Cu #14 AWG (Class I Div 2)</t>
        </is>
      </c>
      <c r="K5677" s="12" t="inlineStr">
        <is>
          <t>CTAX|7/C|14</t>
        </is>
      </c>
      <c r="L5677" s="12" t="inlineStr">
        <is>
          <t>7/C</t>
        </is>
      </c>
      <c r="M5677" s="12" t="inlineStr">
        <is>
          <t>14</t>
        </is>
      </c>
      <c r="N5677" s="12" t="n">
        <v>1</v>
      </c>
      <c r="O5677" s="12" t="n">
        <v>1</v>
      </c>
      <c r="P5677" s="12" t="n"/>
      <c r="Q5677" s="12" t="n"/>
      <c r="R5677" s="12" t="n"/>
      <c r="S5677" s="12" t="inlineStr">
        <is>
          <t>Duct bank</t>
        </is>
      </c>
      <c r="T5677" s="16" t="n">
        <v>53</v>
      </c>
      <c r="U5677" s="16" t="n">
        <v>62</v>
      </c>
      <c r="V5677" s="16">
        <f>ROUNDUP((T5677+U5677+2*'Read Me'!$B$13)*(1+'Read Me'!$B$12),-1)</f>
        <v/>
      </c>
      <c r="W5677" s="16">
        <f>V5677*N5677*O5677</f>
        <v/>
      </c>
      <c r="X5677" s="12">
        <f>IF(LEFT(I5677,2)="MV",2*N5677*IF(L5677="1/C",O5677,1),0)</f>
        <v/>
      </c>
      <c r="Y5677" s="12">
        <f>IF(OR(LEFT(K5677,4)="LVAX",LEFT(K5677,6)="MV15AX",LEFT(K5677,4)="CTAX",LEFT(K5677,2)="W|"),2*N5677*O5677,0)</f>
        <v/>
      </c>
      <c r="Z5677" s="12" t="inlineStr"/>
      <c r="AA5677" s="12">
        <f>N5677*O5677</f>
        <v/>
      </c>
    </row>
    <row r="5678">
      <c r="A5678" s="12" t="inlineStr">
        <is>
          <t>K-C-0083</t>
        </is>
      </c>
      <c r="B5678" s="12" t="inlineStr">
        <is>
          <t>K</t>
        </is>
      </c>
      <c r="C5678" s="12" t="inlineStr">
        <is>
          <t>Fuel supply (adjacent market)</t>
        </is>
      </c>
      <c r="D5678" s="12" t="inlineStr">
        <is>
          <t>Control</t>
        </is>
      </c>
      <c r="E5678" s="12" t="inlineStr"/>
      <c r="F5678" s="12" t="inlineStr">
        <is>
          <t>H2 20: 13.8 kV e-house</t>
        </is>
      </c>
      <c r="G5678" s="12" t="inlineStr">
        <is>
          <t>H2-ST</t>
        </is>
      </c>
      <c r="H5678" s="12" t="inlineStr">
        <is>
          <t>H2 storage tube banks x4</t>
        </is>
      </c>
      <c r="I5678" s="12" t="inlineStr">
        <is>
          <t>Control</t>
        </is>
      </c>
      <c r="J5678" s="12" t="inlineStr">
        <is>
          <t>ARMOR-X MC-HL 600 V control, Cu #14 AWG (Class I Div 2)</t>
        </is>
      </c>
      <c r="K5678" s="12" t="inlineStr">
        <is>
          <t>CTAX|7/C|14</t>
        </is>
      </c>
      <c r="L5678" s="12" t="inlineStr">
        <is>
          <t>7/C</t>
        </is>
      </c>
      <c r="M5678" s="12" t="inlineStr">
        <is>
          <t>14</t>
        </is>
      </c>
      <c r="N5678" s="12" t="n">
        <v>1</v>
      </c>
      <c r="O5678" s="12" t="n">
        <v>1</v>
      </c>
      <c r="P5678" s="12" t="n"/>
      <c r="Q5678" s="12" t="n"/>
      <c r="R5678" s="12" t="n"/>
      <c r="S5678" s="12" t="inlineStr">
        <is>
          <t>Duct bank</t>
        </is>
      </c>
      <c r="T5678" s="16" t="n">
        <v>50</v>
      </c>
      <c r="U5678" s="16" t="n">
        <v>92</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K-C-0084</t>
        </is>
      </c>
      <c r="B5679" s="12" t="inlineStr">
        <is>
          <t>K</t>
        </is>
      </c>
      <c r="C5679" s="12" t="inlineStr">
        <is>
          <t>Fuel supply (adjacent market)</t>
        </is>
      </c>
      <c r="D5679" s="12" t="inlineStr">
        <is>
          <t>Motor 1 of 1: control / local station</t>
        </is>
      </c>
      <c r="E5679" s="12" t="inlineStr"/>
      <c r="F5679" s="12" t="inlineStr">
        <is>
          <t>LNG 17: LNG e-house (13.8 kV / 480 V)</t>
        </is>
      </c>
      <c r="G5679" s="12" t="inlineStr"/>
      <c r="H5679" s="12" t="inlineStr">
        <is>
          <t>LNG 10: truck unloading bay 1</t>
        </is>
      </c>
      <c r="I5679" s="12" t="inlineStr">
        <is>
          <t>Control</t>
        </is>
      </c>
      <c r="J5679" s="12" t="inlineStr">
        <is>
          <t>ARMOR-X MC-HL 600 V control, Cu #14 AWG (Class I Div 2)</t>
        </is>
      </c>
      <c r="K5679" s="12" t="inlineStr">
        <is>
          <t>CTAX|7/C|14</t>
        </is>
      </c>
      <c r="L5679" s="12" t="inlineStr">
        <is>
          <t>7/C</t>
        </is>
      </c>
      <c r="M5679" s="12" t="inlineStr">
        <is>
          <t>14</t>
        </is>
      </c>
      <c r="N5679" s="12" t="n">
        <v>1</v>
      </c>
      <c r="O5679" s="12" t="n">
        <v>1</v>
      </c>
      <c r="P5679" s="12" t="n"/>
      <c r="Q5679" s="12" t="n"/>
      <c r="R5679" s="12" t="n"/>
      <c r="S5679" s="12" t="inlineStr">
        <is>
          <t>Duct bank</t>
        </is>
      </c>
      <c r="T5679" s="16" t="n">
        <v>237</v>
      </c>
      <c r="U5679" s="16" t="n">
        <v>61</v>
      </c>
      <c r="V5679" s="16">
        <f>ROUNDUP((T5679+U5679+2*'Read Me'!$B$13)*(1+'Read Me'!$B$12),-1)</f>
        <v/>
      </c>
      <c r="W5679" s="16">
        <f>V5679*N5679*O5679</f>
        <v/>
      </c>
      <c r="X5679" s="12">
        <f>IF(LEFT(I5679,2)="MV",2*N5679*IF(L5679="1/C",O5679,1),0)</f>
        <v/>
      </c>
      <c r="Y5679" s="12">
        <f>IF(OR(LEFT(K5679,4)="LVAX",LEFT(K5679,6)="MV15AX",LEFT(K5679,4)="CTAX",LEFT(K5679,2)="W|"),2*N5679*O5679,0)</f>
        <v/>
      </c>
      <c r="Z5679" s="12" t="inlineStr"/>
      <c r="AA5679" s="12">
        <f>N5679*O5679</f>
        <v/>
      </c>
    </row>
    <row r="5680">
      <c r="A5680" s="12" t="inlineStr">
        <is>
          <t>K-C-0085</t>
        </is>
      </c>
      <c r="B5680" s="12" t="inlineStr">
        <is>
          <t>K</t>
        </is>
      </c>
      <c r="C5680" s="12" t="inlineStr">
        <is>
          <t>Fuel supply (adjacent market)</t>
        </is>
      </c>
      <c r="D5680" s="12" t="inlineStr">
        <is>
          <t>Solenoid to JB JB-LNG 10: truck unlo-SOL01: 2 x 2/C (field cables)</t>
        </is>
      </c>
      <c r="E5680" s="12" t="inlineStr"/>
      <c r="F5680" s="12" t="inlineStr">
        <is>
          <t>LNG 10: truck unloading bay 1</t>
        </is>
      </c>
      <c r="G5680" s="12" t="inlineStr">
        <is>
          <t>JB-LNG 10: truck unlo-SOL01</t>
        </is>
      </c>
      <c r="H5680" s="12" t="inlineStr">
        <is>
          <t>LNG 10: truck unloading bay 1</t>
        </is>
      </c>
      <c r="I5680" s="12" t="inlineStr">
        <is>
          <t>Control</t>
        </is>
      </c>
      <c r="J5680" s="12" t="inlineStr">
        <is>
          <t>ARMOR-X MC-HL 600 V control, Cu #14 AWG (Class I Div 2)</t>
        </is>
      </c>
      <c r="K5680" s="12" t="inlineStr">
        <is>
          <t>CTAX|2/C|14</t>
        </is>
      </c>
      <c r="L5680" s="12" t="inlineStr">
        <is>
          <t>2/C</t>
        </is>
      </c>
      <c r="M5680" s="12" t="inlineStr">
        <is>
          <t>14</t>
        </is>
      </c>
      <c r="N5680" s="12" t="n">
        <v>2</v>
      </c>
      <c r="O5680" s="12" t="n">
        <v>1</v>
      </c>
      <c r="P5680" s="12" t="n"/>
      <c r="Q5680" s="12" t="n"/>
      <c r="R5680" s="12" t="n"/>
      <c r="S5680" s="12" t="inlineStr">
        <is>
          <t>Tray / conduit</t>
        </is>
      </c>
      <c r="T5680" s="16" t="n">
        <v>72</v>
      </c>
      <c r="U5680" s="16" t="n">
        <v>10</v>
      </c>
      <c r="V5680" s="16">
        <f>ROUNDUP((T5680+U5680+2*'Read Me'!$B$13)*(1+'Read Me'!$B$12),-1)</f>
        <v/>
      </c>
      <c r="W5680" s="16">
        <f>V5680*N5680*O5680</f>
        <v/>
      </c>
      <c r="X5680" s="12">
        <f>IF(LEFT(I5680,2)="MV",2*N5680*IF(L5680="1/C",O5680,1),0)</f>
        <v/>
      </c>
      <c r="Y5680" s="12">
        <f>IF(OR(LEFT(K5680,4)="LVAX",LEFT(K5680,6)="MV15AX",LEFT(K5680,4)="CTAX",LEFT(K5680,2)="W|"),2*N5680*O5680,0)</f>
        <v/>
      </c>
      <c r="Z5680" s="12" t="inlineStr">
        <is>
          <t>device-to-JB field wiring, one cable per device</t>
        </is>
      </c>
      <c r="AA5680" s="12">
        <f>N5680*O5680</f>
        <v/>
      </c>
    </row>
    <row r="5681">
      <c r="A5681" s="12" t="inlineStr">
        <is>
          <t>K-C-0086</t>
        </is>
      </c>
      <c r="B5681" s="12" t="inlineStr">
        <is>
          <t>K</t>
        </is>
      </c>
      <c r="C5681" s="12" t="inlineStr">
        <is>
          <t>Fuel supply (adjacent market)</t>
        </is>
      </c>
      <c r="D5681" s="12" t="inlineStr">
        <is>
          <t>Home run JB-LNG 10: truck unlo-SOL01 to the control / marshalling room</t>
        </is>
      </c>
      <c r="E5681" s="12" t="inlineStr"/>
      <c r="F5681" s="12" t="inlineStr">
        <is>
          <t>LNG 17: LNG e-house (13.8 kV / 480 V)</t>
        </is>
      </c>
      <c r="G5681" s="12" t="inlineStr">
        <is>
          <t>JB-LNG 10: truck unlo-SOL01</t>
        </is>
      </c>
      <c r="H5681" s="12" t="inlineStr">
        <is>
          <t>LNG 10: truck unloading bay 1</t>
        </is>
      </c>
      <c r="I5681" s="12" t="inlineStr">
        <is>
          <t>Control</t>
        </is>
      </c>
      <c r="J5681" s="12" t="inlineStr">
        <is>
          <t>ARMOR-X MC-HL 600 V control, Cu #14 AWG (Class I Div 2)</t>
        </is>
      </c>
      <c r="K5681" s="12" t="inlineStr">
        <is>
          <t>CTAX|25/C|14</t>
        </is>
      </c>
      <c r="L5681" s="12" t="inlineStr">
        <is>
          <t>25/C</t>
        </is>
      </c>
      <c r="M5681" s="12" t="inlineStr">
        <is>
          <t>14</t>
        </is>
      </c>
      <c r="N5681" s="12" t="n">
        <v>1</v>
      </c>
      <c r="O5681" s="12" t="n">
        <v>1</v>
      </c>
      <c r="P5681" s="12" t="n"/>
      <c r="Q5681" s="12" t="n"/>
      <c r="R5681" s="12" t="n"/>
      <c r="S5681" s="12" t="inlineStr">
        <is>
          <t>Duct bank</t>
        </is>
      </c>
      <c r="T5681" s="16" t="n">
        <v>237</v>
      </c>
      <c r="U5681" s="16" t="n">
        <v>61</v>
      </c>
      <c r="V5681" s="16">
        <f>ROUNDUP((T5681+U5681+2*'Read Me'!$B$13)*(1+'Read Me'!$B$12),-1)</f>
        <v/>
      </c>
      <c r="W5681" s="16">
        <f>V5681*N5681*O5681</f>
        <v/>
      </c>
      <c r="X5681" s="12">
        <f>IF(LEFT(I5681,2)="MV",2*N5681*IF(L5681="1/C",O5681,1),0)</f>
        <v/>
      </c>
      <c r="Y5681" s="12">
        <f>IF(OR(LEFT(K5681,4)="LVAX",LEFT(K5681,6)="MV15AX",LEFT(K5681,4)="CTAX",LEFT(K5681,2)="W|"),2*N5681*O5681,0)</f>
        <v/>
      </c>
      <c r="Z5681" s="12" t="inlineStr"/>
      <c r="AA5681" s="12">
        <f>N5681*O5681</f>
        <v/>
      </c>
    </row>
    <row r="5682">
      <c r="A5682" s="12" t="inlineStr">
        <is>
          <t>K-C-0087</t>
        </is>
      </c>
      <c r="B5682" s="12" t="inlineStr">
        <is>
          <t>K</t>
        </is>
      </c>
      <c r="C5682" s="12" t="inlineStr">
        <is>
          <t>Fuel supply (adjacent market)</t>
        </is>
      </c>
      <c r="D5682" s="12" t="inlineStr">
        <is>
          <t>Motor 1 of 1: control / local station</t>
        </is>
      </c>
      <c r="E5682" s="12" t="inlineStr"/>
      <c r="F5682" s="12" t="inlineStr">
        <is>
          <t>LNG 17: LNG e-house (13.8 kV / 480 V)</t>
        </is>
      </c>
      <c r="G5682" s="12" t="inlineStr"/>
      <c r="H5682" s="12" t="inlineStr">
        <is>
          <t>LNG 10: truck unloading bay 2</t>
        </is>
      </c>
      <c r="I5682" s="12" t="inlineStr">
        <is>
          <t>Control</t>
        </is>
      </c>
      <c r="J5682" s="12" t="inlineStr">
        <is>
          <t>ARMOR-X MC-HL 600 V control, Cu #14 AWG (Class I Div 2)</t>
        </is>
      </c>
      <c r="K5682" s="12" t="inlineStr">
        <is>
          <t>CTAX|7/C|14</t>
        </is>
      </c>
      <c r="L5682" s="12" t="inlineStr">
        <is>
          <t>7/C</t>
        </is>
      </c>
      <c r="M5682" s="12" t="inlineStr">
        <is>
          <t>14</t>
        </is>
      </c>
      <c r="N5682" s="12" t="n">
        <v>1</v>
      </c>
      <c r="O5682" s="12" t="n">
        <v>1</v>
      </c>
      <c r="P5682" s="12" t="n"/>
      <c r="Q5682" s="12" t="n"/>
      <c r="R5682" s="12" t="n"/>
      <c r="S5682" s="12" t="inlineStr">
        <is>
          <t>Duct bank</t>
        </is>
      </c>
      <c r="T5682" s="16" t="n">
        <v>147</v>
      </c>
      <c r="U5682" s="16" t="n">
        <v>66</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K-C-0088</t>
        </is>
      </c>
      <c r="B5683" s="12" t="inlineStr">
        <is>
          <t>K</t>
        </is>
      </c>
      <c r="C5683" s="12" t="inlineStr">
        <is>
          <t>Fuel supply (adjacent market)</t>
        </is>
      </c>
      <c r="D5683" s="12" t="inlineStr">
        <is>
          <t>Solenoid to JB JB-LNG 10: truck unlo-SOL01: 2 x 2/C (field cables)</t>
        </is>
      </c>
      <c r="E5683" s="12" t="inlineStr"/>
      <c r="F5683" s="12" t="inlineStr">
        <is>
          <t>LNG 10: truck unloading bay 2</t>
        </is>
      </c>
      <c r="G5683" s="12" t="inlineStr">
        <is>
          <t>JB-LNG 10: truck unlo-SOL01</t>
        </is>
      </c>
      <c r="H5683" s="12" t="inlineStr">
        <is>
          <t>LNG 10: truck unloading bay 2</t>
        </is>
      </c>
      <c r="I5683" s="12" t="inlineStr">
        <is>
          <t>Control</t>
        </is>
      </c>
      <c r="J5683" s="12" t="inlineStr">
        <is>
          <t>ARMOR-X MC-HL 600 V control, Cu #14 AWG (Class I Div 2)</t>
        </is>
      </c>
      <c r="K5683" s="12" t="inlineStr">
        <is>
          <t>CTAX|2/C|14</t>
        </is>
      </c>
      <c r="L5683" s="12" t="inlineStr">
        <is>
          <t>2/C</t>
        </is>
      </c>
      <c r="M5683" s="12" t="inlineStr">
        <is>
          <t>14</t>
        </is>
      </c>
      <c r="N5683" s="12" t="n">
        <v>2</v>
      </c>
      <c r="O5683" s="12" t="n">
        <v>1</v>
      </c>
      <c r="P5683" s="12" t="n"/>
      <c r="Q5683" s="12" t="n"/>
      <c r="R5683" s="12" t="n"/>
      <c r="S5683" s="12" t="inlineStr">
        <is>
          <t>Tray / conduit</t>
        </is>
      </c>
      <c r="T5683" s="16" t="n">
        <v>72</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K-C-0089</t>
        </is>
      </c>
      <c r="B5684" s="12" t="inlineStr">
        <is>
          <t>K</t>
        </is>
      </c>
      <c r="C5684" s="12" t="inlineStr">
        <is>
          <t>Fuel supply (adjacent market)</t>
        </is>
      </c>
      <c r="D5684" s="12" t="inlineStr">
        <is>
          <t>Home run JB-LNG 10: truck unlo-SOL01 to the control / marshalling room</t>
        </is>
      </c>
      <c r="E5684" s="12" t="inlineStr"/>
      <c r="F5684" s="12" t="inlineStr">
        <is>
          <t>LNG 17: LNG e-house (13.8 kV / 480 V)</t>
        </is>
      </c>
      <c r="G5684" s="12" t="inlineStr">
        <is>
          <t>JB-LNG 10: truck unlo-SOL01</t>
        </is>
      </c>
      <c r="H5684" s="12" t="inlineStr">
        <is>
          <t>LNG 10: truck unloading bay 2</t>
        </is>
      </c>
      <c r="I5684" s="12" t="inlineStr">
        <is>
          <t>Control</t>
        </is>
      </c>
      <c r="J5684" s="12" t="inlineStr">
        <is>
          <t>ARMOR-X MC-HL 600 V control, Cu #14 AWG (Class I Div 2)</t>
        </is>
      </c>
      <c r="K5684" s="12" t="inlineStr">
        <is>
          <t>CTAX|25/C|14</t>
        </is>
      </c>
      <c r="L5684" s="12" t="inlineStr">
        <is>
          <t>25/C</t>
        </is>
      </c>
      <c r="M5684" s="12" t="inlineStr">
        <is>
          <t>14</t>
        </is>
      </c>
      <c r="N5684" s="12" t="n">
        <v>1</v>
      </c>
      <c r="O5684" s="12" t="n">
        <v>1</v>
      </c>
      <c r="P5684" s="12" t="n"/>
      <c r="Q5684" s="12" t="n"/>
      <c r="R5684" s="12" t="n"/>
      <c r="S5684" s="12" t="inlineStr">
        <is>
          <t>Duct bank</t>
        </is>
      </c>
      <c r="T5684" s="16" t="n">
        <v>147</v>
      </c>
      <c r="U5684" s="16" t="n">
        <v>66</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K-C-0090</t>
        </is>
      </c>
      <c r="B5685" s="12" t="inlineStr">
        <is>
          <t>K</t>
        </is>
      </c>
      <c r="C5685" s="12" t="inlineStr">
        <is>
          <t>Fuel supply (adjacent market)</t>
        </is>
      </c>
      <c r="D5685" s="12" t="inlineStr">
        <is>
          <t>Motor 1 of 1: control / local station</t>
        </is>
      </c>
      <c r="E5685" s="12" t="inlineStr"/>
      <c r="F5685" s="12" t="inlineStr">
        <is>
          <t>LNG 17: LNG e-house (13.8 kV / 480 V)</t>
        </is>
      </c>
      <c r="G5685" s="12" t="inlineStr"/>
      <c r="H5685" s="12" t="inlineStr">
        <is>
          <t>LNG 10: unloading skid</t>
        </is>
      </c>
      <c r="I5685" s="12" t="inlineStr">
        <is>
          <t>Control</t>
        </is>
      </c>
      <c r="J5685" s="12" t="inlineStr">
        <is>
          <t>ARMOR-X MC-HL 600 V control, Cu #14 AWG (Class I Div 2)</t>
        </is>
      </c>
      <c r="K5685" s="12" t="inlineStr">
        <is>
          <t>CTAX|7/C|14</t>
        </is>
      </c>
      <c r="L5685" s="12" t="inlineStr">
        <is>
          <t>7/C</t>
        </is>
      </c>
      <c r="M5685" s="12" t="inlineStr">
        <is>
          <t>14</t>
        </is>
      </c>
      <c r="N5685" s="12" t="n">
        <v>1</v>
      </c>
      <c r="O5685" s="12" t="n">
        <v>1</v>
      </c>
      <c r="P5685" s="12" t="n"/>
      <c r="Q5685" s="12" t="n"/>
      <c r="R5685" s="12" t="n"/>
      <c r="S5685" s="12" t="inlineStr">
        <is>
          <t>Duct bank</t>
        </is>
      </c>
      <c r="T5685" s="16" t="n">
        <v>237</v>
      </c>
      <c r="U5685" s="16" t="n">
        <v>32</v>
      </c>
      <c r="V5685" s="16">
        <f>ROUNDUP((T5685+U5685+2*'Read Me'!$B$13)*(1+'Read Me'!$B$12),-1)</f>
        <v/>
      </c>
      <c r="W5685" s="16">
        <f>V5685*N5685*O5685</f>
        <v/>
      </c>
      <c r="X5685" s="12">
        <f>IF(LEFT(I5685,2)="MV",2*N5685*IF(L5685="1/C",O5685,1),0)</f>
        <v/>
      </c>
      <c r="Y5685" s="12">
        <f>IF(OR(LEFT(K5685,4)="LVAX",LEFT(K5685,6)="MV15AX",LEFT(K5685,4)="CTAX",LEFT(K5685,2)="W|"),2*N5685*O5685,0)</f>
        <v/>
      </c>
      <c r="Z5685" s="12" t="inlineStr"/>
      <c r="AA5685" s="12">
        <f>N5685*O5685</f>
        <v/>
      </c>
    </row>
    <row r="5686">
      <c r="A5686" s="12" t="inlineStr">
        <is>
          <t>K-C-0091</t>
        </is>
      </c>
      <c r="B5686" s="12" t="inlineStr">
        <is>
          <t>K</t>
        </is>
      </c>
      <c r="C5686" s="12" t="inlineStr">
        <is>
          <t>Fuel supply (adjacent market)</t>
        </is>
      </c>
      <c r="D5686" s="12" t="inlineStr">
        <is>
          <t>Solenoid to JB JB-LNG 10: unloading -SOL01: 2 x 2/C (field cables)</t>
        </is>
      </c>
      <c r="E5686" s="12" t="inlineStr"/>
      <c r="F5686" s="12" t="inlineStr">
        <is>
          <t>LNG 10: unloading skid</t>
        </is>
      </c>
      <c r="G5686" s="12" t="inlineStr">
        <is>
          <t>JB-LNG 10: unloading -SOL01</t>
        </is>
      </c>
      <c r="H5686" s="12" t="inlineStr">
        <is>
          <t>LNG 10: unloading skid</t>
        </is>
      </c>
      <c r="I5686" s="12" t="inlineStr">
        <is>
          <t>Control</t>
        </is>
      </c>
      <c r="J5686" s="12" t="inlineStr">
        <is>
          <t>ARMOR-X MC-HL 600 V control, Cu #14 AWG (Class I Div 2)</t>
        </is>
      </c>
      <c r="K5686" s="12" t="inlineStr">
        <is>
          <t>CTAX|2/C|14</t>
        </is>
      </c>
      <c r="L5686" s="12" t="inlineStr">
        <is>
          <t>2/C</t>
        </is>
      </c>
      <c r="M5686" s="12" t="inlineStr">
        <is>
          <t>14</t>
        </is>
      </c>
      <c r="N5686" s="12" t="n">
        <v>2</v>
      </c>
      <c r="O5686" s="12" t="n">
        <v>1</v>
      </c>
      <c r="P5686" s="12" t="n"/>
      <c r="Q5686" s="12" t="n"/>
      <c r="R5686" s="12" t="n"/>
      <c r="S5686" s="12" t="inlineStr">
        <is>
          <t>Tray / conduit</t>
        </is>
      </c>
      <c r="T5686" s="16" t="n">
        <v>54</v>
      </c>
      <c r="U5686" s="16" t="n">
        <v>10</v>
      </c>
      <c r="V5686" s="16">
        <f>ROUNDUP((T5686+U5686+2*'Read Me'!$B$13)*(1+'Read Me'!$B$12),-1)</f>
        <v/>
      </c>
      <c r="W5686" s="16">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K-C-0092</t>
        </is>
      </c>
      <c r="B5687" s="12" t="inlineStr">
        <is>
          <t>K</t>
        </is>
      </c>
      <c r="C5687" s="12" t="inlineStr">
        <is>
          <t>Fuel supply (adjacent market)</t>
        </is>
      </c>
      <c r="D5687" s="12" t="inlineStr">
        <is>
          <t>Home run JB-LNG 10: unloading -SOL01 to the control / marshalling room</t>
        </is>
      </c>
      <c r="E5687" s="12" t="inlineStr"/>
      <c r="F5687" s="12" t="inlineStr">
        <is>
          <t>LNG 17: LNG e-house (13.8 kV / 480 V)</t>
        </is>
      </c>
      <c r="G5687" s="12" t="inlineStr">
        <is>
          <t>JB-LNG 10: unloading -SOL01</t>
        </is>
      </c>
      <c r="H5687" s="12" t="inlineStr">
        <is>
          <t>LNG 10: unloading skid</t>
        </is>
      </c>
      <c r="I5687" s="12" t="inlineStr">
        <is>
          <t>Control</t>
        </is>
      </c>
      <c r="J5687" s="12" t="inlineStr">
        <is>
          <t>ARMOR-X MC-HL 600 V control, Cu #14 AWG (Class I Div 2)</t>
        </is>
      </c>
      <c r="K5687" s="12" t="inlineStr">
        <is>
          <t>CTAX|25/C|14</t>
        </is>
      </c>
      <c r="L5687" s="12" t="inlineStr">
        <is>
          <t>25/C</t>
        </is>
      </c>
      <c r="M5687" s="12" t="inlineStr">
        <is>
          <t>14</t>
        </is>
      </c>
      <c r="N5687" s="12" t="n">
        <v>1</v>
      </c>
      <c r="O5687" s="12" t="n">
        <v>1</v>
      </c>
      <c r="P5687" s="12" t="n"/>
      <c r="Q5687" s="12" t="n"/>
      <c r="R5687" s="12" t="n"/>
      <c r="S5687" s="12" t="inlineStr">
        <is>
          <t>Duct bank</t>
        </is>
      </c>
      <c r="T5687" s="16" t="n">
        <v>237</v>
      </c>
      <c r="U5687" s="16" t="n">
        <v>32</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K-C-0093</t>
        </is>
      </c>
      <c r="B5688" s="12" t="inlineStr">
        <is>
          <t>K</t>
        </is>
      </c>
      <c r="C5688" s="12" t="inlineStr">
        <is>
          <t>Fuel supply (adjacent market)</t>
        </is>
      </c>
      <c r="D5688" s="12" t="inlineStr">
        <is>
          <t>Motor 1 of 1: control / local station</t>
        </is>
      </c>
      <c r="E5688" s="12" t="inlineStr"/>
      <c r="F5688" s="12" t="inlineStr">
        <is>
          <t>LNG 17: LNG e-house (13.8 kV / 480 V)</t>
        </is>
      </c>
      <c r="G5688" s="12" t="inlineStr"/>
      <c r="H5688" s="12" t="inlineStr">
        <is>
          <t>LNG 12: spill impoundment (NFPA 59A, to verify)</t>
        </is>
      </c>
      <c r="I5688" s="12" t="inlineStr">
        <is>
          <t>Control</t>
        </is>
      </c>
      <c r="J5688" s="12" t="inlineStr">
        <is>
          <t>ARMOR-X MC-HL 600 V control, Cu #14 AWG (Class I Div 2)</t>
        </is>
      </c>
      <c r="K5688" s="12" t="inlineStr">
        <is>
          <t>CTAX|7/C|14</t>
        </is>
      </c>
      <c r="L5688" s="12" t="inlineStr">
        <is>
          <t>7/C</t>
        </is>
      </c>
      <c r="M5688" s="12" t="inlineStr">
        <is>
          <t>14</t>
        </is>
      </c>
      <c r="N5688" s="12" t="n">
        <v>1</v>
      </c>
      <c r="O5688" s="12" t="n">
        <v>1</v>
      </c>
      <c r="P5688" s="12" t="n"/>
      <c r="Q5688" s="12" t="n"/>
      <c r="R5688" s="12" t="n"/>
      <c r="S5688" s="12" t="inlineStr">
        <is>
          <t>Duct bank</t>
        </is>
      </c>
      <c r="T5688" s="16" t="n">
        <v>230</v>
      </c>
      <c r="U5688" s="16" t="n">
        <v>32</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K-C-0094</t>
        </is>
      </c>
      <c r="B5689" s="12" t="inlineStr">
        <is>
          <t>K</t>
        </is>
      </c>
      <c r="C5689" s="12" t="inlineStr">
        <is>
          <t>Fuel supply (adjacent market)</t>
        </is>
      </c>
      <c r="D5689" s="12" t="inlineStr">
        <is>
          <t>Solenoid to JB JB-LNG 12: spill impo-SOL01: 2 x 2/C (field cables)</t>
        </is>
      </c>
      <c r="E5689" s="12" t="inlineStr"/>
      <c r="F5689" s="12" t="inlineStr">
        <is>
          <t>LNG 12: spill impoundment (NFPA 59A, to verify)</t>
        </is>
      </c>
      <c r="G5689" s="12" t="inlineStr">
        <is>
          <t>JB-LNG 12: spill impo-SOL01</t>
        </is>
      </c>
      <c r="H5689" s="12" t="inlineStr">
        <is>
          <t>LNG 12: spill impoundment (NFPA 59A, to verify)</t>
        </is>
      </c>
      <c r="I5689" s="12" t="inlineStr">
        <is>
          <t>Control</t>
        </is>
      </c>
      <c r="J5689" s="12" t="inlineStr">
        <is>
          <t>ARMOR-X MC-HL 600 V control, Cu #14 AWG (Class I Div 2)</t>
        </is>
      </c>
      <c r="K5689" s="12" t="inlineStr">
        <is>
          <t>CTAX|2/C|14</t>
        </is>
      </c>
      <c r="L5689" s="12" t="inlineStr">
        <is>
          <t>2/C</t>
        </is>
      </c>
      <c r="M5689" s="12" t="inlineStr">
        <is>
          <t>14</t>
        </is>
      </c>
      <c r="N5689" s="12" t="n">
        <v>2</v>
      </c>
      <c r="O5689" s="12" t="n">
        <v>1</v>
      </c>
      <c r="P5689" s="12" t="n"/>
      <c r="Q5689" s="12" t="n"/>
      <c r="R5689" s="12" t="n"/>
      <c r="S5689" s="12" t="inlineStr">
        <is>
          <t>Tray / conduit</t>
        </is>
      </c>
      <c r="T5689" s="16" t="n">
        <v>170</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K-C-0095</t>
        </is>
      </c>
      <c r="B5690" s="12" t="inlineStr">
        <is>
          <t>K</t>
        </is>
      </c>
      <c r="C5690" s="12" t="inlineStr">
        <is>
          <t>Fuel supply (adjacent market)</t>
        </is>
      </c>
      <c r="D5690" s="12" t="inlineStr">
        <is>
          <t>Home run JB-LNG 12: spill impo-SOL01 to the control / marshalling room</t>
        </is>
      </c>
      <c r="E5690" s="12" t="inlineStr"/>
      <c r="F5690" s="12" t="inlineStr">
        <is>
          <t>LNG 17: LNG e-house (13.8 kV / 480 V)</t>
        </is>
      </c>
      <c r="G5690" s="12" t="inlineStr">
        <is>
          <t>JB-LNG 12: spill impo-SOL01</t>
        </is>
      </c>
      <c r="H5690" s="12" t="inlineStr">
        <is>
          <t>LNG 12: spill impoundment (NFPA 59A, to verify)</t>
        </is>
      </c>
      <c r="I5690" s="12" t="inlineStr">
        <is>
          <t>Control</t>
        </is>
      </c>
      <c r="J5690" s="12" t="inlineStr">
        <is>
          <t>ARMOR-X MC-HL 600 V control, Cu #14 AWG (Class I Div 2)</t>
        </is>
      </c>
      <c r="K5690" s="12" t="inlineStr">
        <is>
          <t>CTAX|25/C|14</t>
        </is>
      </c>
      <c r="L5690" s="12" t="inlineStr">
        <is>
          <t>25/C</t>
        </is>
      </c>
      <c r="M5690" s="12" t="inlineStr">
        <is>
          <t>14</t>
        </is>
      </c>
      <c r="N5690" s="12" t="n">
        <v>1</v>
      </c>
      <c r="O5690" s="12" t="n">
        <v>1</v>
      </c>
      <c r="P5690" s="12" t="n"/>
      <c r="Q5690" s="12" t="n"/>
      <c r="R5690" s="12" t="n"/>
      <c r="S5690" s="12" t="inlineStr">
        <is>
          <t>Duct bank</t>
        </is>
      </c>
      <c r="T5690" s="16" t="n">
        <v>230</v>
      </c>
      <c r="U5690" s="16" t="n">
        <v>32</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K-C-0096</t>
        </is>
      </c>
      <c r="B5691" s="12" t="inlineStr">
        <is>
          <t>K</t>
        </is>
      </c>
      <c r="C5691" s="12" t="inlineStr">
        <is>
          <t>Fuel supply (adjacent market)</t>
        </is>
      </c>
      <c r="D5691" s="12" t="inlineStr">
        <is>
          <t>Motor 1 of 1: control / local station</t>
        </is>
      </c>
      <c r="E5691" s="12" t="inlineStr"/>
      <c r="F5691" s="12" t="inlineStr">
        <is>
          <t>LNG 17: LNG e-house (13.8 kV / 480 V)</t>
        </is>
      </c>
      <c r="G5691" s="12" t="inlineStr"/>
      <c r="H5691" s="12" t="inlineStr">
        <is>
          <t>LNG 13: send-out pumps 2 x 100%</t>
        </is>
      </c>
      <c r="I5691" s="12" t="inlineStr">
        <is>
          <t>Control</t>
        </is>
      </c>
      <c r="J5691" s="12" t="inlineStr">
        <is>
          <t>ARMOR-X MC-HL 600 V control, Cu #14 AWG (Class I Div 2)</t>
        </is>
      </c>
      <c r="K5691" s="12" t="inlineStr">
        <is>
          <t>CTAX|7/C|14</t>
        </is>
      </c>
      <c r="L5691" s="12" t="inlineStr">
        <is>
          <t>7/C</t>
        </is>
      </c>
      <c r="M5691" s="12" t="inlineStr">
        <is>
          <t>14</t>
        </is>
      </c>
      <c r="N5691" s="12" t="n">
        <v>1</v>
      </c>
      <c r="O5691" s="12" t="n">
        <v>1</v>
      </c>
      <c r="P5691" s="12" t="n"/>
      <c r="Q5691" s="12" t="n"/>
      <c r="R5691" s="12" t="n"/>
      <c r="S5691" s="12" t="inlineStr">
        <is>
          <t>Duct bank</t>
        </is>
      </c>
      <c r="T5691" s="16" t="n">
        <v>110</v>
      </c>
      <c r="U5691" s="16" t="n">
        <v>32</v>
      </c>
      <c r="V5691" s="16">
        <f>ROUNDUP((T5691+U5691+2*'Read Me'!$B$13)*(1+'Read Me'!$B$12),-1)</f>
        <v/>
      </c>
      <c r="W5691" s="16">
        <f>V5691*N5691*O5691</f>
        <v/>
      </c>
      <c r="X5691" s="12">
        <f>IF(LEFT(I5691,2)="MV",2*N5691*IF(L5691="1/C",O5691,1),0)</f>
        <v/>
      </c>
      <c r="Y5691" s="12">
        <f>IF(OR(LEFT(K5691,4)="LVAX",LEFT(K5691,6)="MV15AX",LEFT(K5691,4)="CTAX",LEFT(K5691,2)="W|"),2*N5691*O5691,0)</f>
        <v/>
      </c>
      <c r="Z5691" s="12" t="inlineStr"/>
      <c r="AA5691" s="12">
        <f>N5691*O5691</f>
        <v/>
      </c>
    </row>
    <row r="5692">
      <c r="A5692" s="12" t="inlineStr">
        <is>
          <t>K-C-0097</t>
        </is>
      </c>
      <c r="B5692" s="12" t="inlineStr">
        <is>
          <t>K</t>
        </is>
      </c>
      <c r="C5692" s="12" t="inlineStr">
        <is>
          <t>Fuel supply (adjacent market)</t>
        </is>
      </c>
      <c r="D5692" s="12" t="inlineStr">
        <is>
          <t>Solenoid to JB JB-LNG 13: send-out p-SOL01: 2 x 2/C (field cables)</t>
        </is>
      </c>
      <c r="E5692" s="12" t="inlineStr"/>
      <c r="F5692" s="12" t="inlineStr">
        <is>
          <t>LNG 13: send-out pumps 2 x 100%</t>
        </is>
      </c>
      <c r="G5692" s="12" t="inlineStr">
        <is>
          <t>JB-LNG 13: send-out p-SOL01</t>
        </is>
      </c>
      <c r="H5692" s="12" t="inlineStr">
        <is>
          <t>LNG 13: send-out pumps 2 x 100%</t>
        </is>
      </c>
      <c r="I5692" s="12" t="inlineStr">
        <is>
          <t>Control</t>
        </is>
      </c>
      <c r="J5692" s="12" t="inlineStr">
        <is>
          <t>ARMOR-X MC-HL 600 V control, Cu #14 AWG (Class I Div 2)</t>
        </is>
      </c>
      <c r="K5692" s="12" t="inlineStr">
        <is>
          <t>CTAX|2/C|14</t>
        </is>
      </c>
      <c r="L5692" s="12" t="inlineStr">
        <is>
          <t>2/C</t>
        </is>
      </c>
      <c r="M5692" s="12" t="inlineStr">
        <is>
          <t>14</t>
        </is>
      </c>
      <c r="N5692" s="12" t="n">
        <v>2</v>
      </c>
      <c r="O5692" s="12" t="n">
        <v>1</v>
      </c>
      <c r="P5692" s="12" t="n"/>
      <c r="Q5692" s="12" t="n"/>
      <c r="R5692" s="12" t="n"/>
      <c r="S5692" s="12" t="inlineStr">
        <is>
          <t>Tray / conduit</t>
        </is>
      </c>
      <c r="T5692" s="16" t="n">
        <v>63</v>
      </c>
      <c r="U5692" s="16" t="n">
        <v>10</v>
      </c>
      <c r="V5692" s="16">
        <f>ROUNDUP((T5692+U5692+2*'Read Me'!$B$13)*(1+'Read Me'!$B$12),-1)</f>
        <v/>
      </c>
      <c r="W5692" s="16">
        <f>V5692*N5692*O5692</f>
        <v/>
      </c>
      <c r="X5692" s="12">
        <f>IF(LEFT(I5692,2)="MV",2*N5692*IF(L5692="1/C",O5692,1),0)</f>
        <v/>
      </c>
      <c r="Y5692" s="12">
        <f>IF(OR(LEFT(K5692,4)="LVAX",LEFT(K5692,6)="MV15AX",LEFT(K5692,4)="CTAX",LEFT(K5692,2)="W|"),2*N5692*O5692,0)</f>
        <v/>
      </c>
      <c r="Z5692" s="12" t="inlineStr">
        <is>
          <t>device-to-JB field wiring, one cable per device</t>
        </is>
      </c>
      <c r="AA5692" s="12">
        <f>N5692*O5692</f>
        <v/>
      </c>
    </row>
    <row r="5693">
      <c r="A5693" s="12" t="inlineStr">
        <is>
          <t>K-C-0098</t>
        </is>
      </c>
      <c r="B5693" s="12" t="inlineStr">
        <is>
          <t>K</t>
        </is>
      </c>
      <c r="C5693" s="12" t="inlineStr">
        <is>
          <t>Fuel supply (adjacent market)</t>
        </is>
      </c>
      <c r="D5693" s="12" t="inlineStr">
        <is>
          <t>Home run JB-LNG 13: send-out p-SOL01 to the control / marshalling room</t>
        </is>
      </c>
      <c r="E5693" s="12" t="inlineStr"/>
      <c r="F5693" s="12" t="inlineStr">
        <is>
          <t>LNG 17: LNG e-house (13.8 kV / 480 V)</t>
        </is>
      </c>
      <c r="G5693" s="12" t="inlineStr">
        <is>
          <t>JB-LNG 13: send-out p-SOL01</t>
        </is>
      </c>
      <c r="H5693" s="12" t="inlineStr">
        <is>
          <t>LNG 13: send-out pumps 2 x 100%</t>
        </is>
      </c>
      <c r="I5693" s="12" t="inlineStr">
        <is>
          <t>Control</t>
        </is>
      </c>
      <c r="J5693" s="12" t="inlineStr">
        <is>
          <t>ARMOR-X MC-HL 600 V control, Cu #14 AWG (Class I Div 2)</t>
        </is>
      </c>
      <c r="K5693" s="12" t="inlineStr">
        <is>
          <t>CTAX|25/C|14</t>
        </is>
      </c>
      <c r="L5693" s="12" t="inlineStr">
        <is>
          <t>25/C</t>
        </is>
      </c>
      <c r="M5693" s="12" t="inlineStr">
        <is>
          <t>14</t>
        </is>
      </c>
      <c r="N5693" s="12" t="n">
        <v>1</v>
      </c>
      <c r="O5693" s="12" t="n">
        <v>1</v>
      </c>
      <c r="P5693" s="12" t="n"/>
      <c r="Q5693" s="12" t="n"/>
      <c r="R5693" s="12" t="n"/>
      <c r="S5693" s="12" t="inlineStr">
        <is>
          <t>Duct bank</t>
        </is>
      </c>
      <c r="T5693" s="16" t="n">
        <v>110</v>
      </c>
      <c r="U5693" s="16" t="n">
        <v>32</v>
      </c>
      <c r="V5693" s="16">
        <f>ROUNDUP((T5693+U5693+2*'Read Me'!$B$13)*(1+'Read Me'!$B$12),-1)</f>
        <v/>
      </c>
      <c r="W5693" s="16">
        <f>V5693*N5693*O5693</f>
        <v/>
      </c>
      <c r="X5693" s="12">
        <f>IF(LEFT(I5693,2)="MV",2*N5693*IF(L5693="1/C",O5693,1),0)</f>
        <v/>
      </c>
      <c r="Y5693" s="12">
        <f>IF(OR(LEFT(K5693,4)="LVAX",LEFT(K5693,6)="MV15AX",LEFT(K5693,4)="CTAX",LEFT(K5693,2)="W|"),2*N5693*O5693,0)</f>
        <v/>
      </c>
      <c r="Z5693" s="12" t="inlineStr"/>
      <c r="AA5693" s="12">
        <f>N5693*O5693</f>
        <v/>
      </c>
    </row>
    <row r="5694">
      <c r="A5694" s="12" t="inlineStr">
        <is>
          <t>K-C-0099</t>
        </is>
      </c>
      <c r="B5694" s="12" t="inlineStr">
        <is>
          <t>K</t>
        </is>
      </c>
      <c r="C5694" s="12" t="inlineStr">
        <is>
          <t>Fuel supply (adjacent market)</t>
        </is>
      </c>
      <c r="D5694" s="12" t="inlineStr">
        <is>
          <t>Motor 1 of 1: control / local station</t>
        </is>
      </c>
      <c r="E5694" s="12" t="inlineStr"/>
      <c r="F5694" s="12" t="inlineStr">
        <is>
          <t>LNG 17: LNG e-house (13.8 kV / 480 V)</t>
        </is>
      </c>
      <c r="G5694" s="12" t="inlineStr"/>
      <c r="H5694" s="12" t="inlineStr">
        <is>
          <t>LNG 14: vaporizers + glycol heater</t>
        </is>
      </c>
      <c r="I5694" s="12" t="inlineStr">
        <is>
          <t>Control</t>
        </is>
      </c>
      <c r="J5694" s="12" t="inlineStr">
        <is>
          <t>ARMOR-X MC-HL 600 V control, Cu #14 AWG (Class I Div 2)</t>
        </is>
      </c>
      <c r="K5694" s="12" t="inlineStr">
        <is>
          <t>CTAX|7/C|14</t>
        </is>
      </c>
      <c r="L5694" s="12" t="inlineStr">
        <is>
          <t>7/C</t>
        </is>
      </c>
      <c r="M5694" s="12" t="inlineStr">
        <is>
          <t>14</t>
        </is>
      </c>
      <c r="N5694" s="12" t="n">
        <v>1</v>
      </c>
      <c r="O5694" s="12" t="n">
        <v>1</v>
      </c>
      <c r="P5694" s="12" t="n"/>
      <c r="Q5694" s="12" t="n"/>
      <c r="R5694" s="12" t="n"/>
      <c r="S5694" s="12" t="inlineStr">
        <is>
          <t>Duct bank</t>
        </is>
      </c>
      <c r="T5694" s="16" t="n">
        <v>259</v>
      </c>
      <c r="U5694" s="16" t="n">
        <v>32</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K-C-0100</t>
        </is>
      </c>
      <c r="B5695" s="12" t="inlineStr">
        <is>
          <t>K</t>
        </is>
      </c>
      <c r="C5695" s="12" t="inlineStr">
        <is>
          <t>Fuel supply (adjacent market)</t>
        </is>
      </c>
      <c r="D5695" s="12" t="inlineStr">
        <is>
          <t>Solenoid to JB JB-LNG 14: vaporizers-SOL01: 2 x 2/C (field cables)</t>
        </is>
      </c>
      <c r="E5695" s="12" t="inlineStr"/>
      <c r="F5695" s="12" t="inlineStr">
        <is>
          <t>LNG 14: vaporizers + glycol heater</t>
        </is>
      </c>
      <c r="G5695" s="12" t="inlineStr">
        <is>
          <t>JB-LNG 14: vaporizers-SOL01</t>
        </is>
      </c>
      <c r="H5695" s="12" t="inlineStr">
        <is>
          <t>LNG 14: vaporizers + glycol heater</t>
        </is>
      </c>
      <c r="I5695" s="12" t="inlineStr">
        <is>
          <t>Control</t>
        </is>
      </c>
      <c r="J5695" s="12" t="inlineStr">
        <is>
          <t>ARMOR-X MC-HL 600 V control, Cu #14 AWG (Class I Div 2)</t>
        </is>
      </c>
      <c r="K5695" s="12" t="inlineStr">
        <is>
          <t>CTAX|2/C|14</t>
        </is>
      </c>
      <c r="L5695" s="12" t="inlineStr">
        <is>
          <t>2/C</t>
        </is>
      </c>
      <c r="M5695" s="12" t="inlineStr">
        <is>
          <t>14</t>
        </is>
      </c>
      <c r="N5695" s="12" t="n">
        <v>2</v>
      </c>
      <c r="O5695" s="12" t="n">
        <v>1</v>
      </c>
      <c r="P5695" s="12" t="n"/>
      <c r="Q5695" s="12" t="n"/>
      <c r="R5695" s="12" t="n"/>
      <c r="S5695" s="12" t="inlineStr">
        <is>
          <t>Tray / conduit</t>
        </is>
      </c>
      <c r="T5695" s="16" t="n">
        <v>122</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K-C-0101</t>
        </is>
      </c>
      <c r="B5696" s="12" t="inlineStr">
        <is>
          <t>K</t>
        </is>
      </c>
      <c r="C5696" s="12" t="inlineStr">
        <is>
          <t>Fuel supply (adjacent market)</t>
        </is>
      </c>
      <c r="D5696" s="12" t="inlineStr">
        <is>
          <t>Home run JB-LNG 14: vaporizers-SOL01 to the control / marshalling room</t>
        </is>
      </c>
      <c r="E5696" s="12" t="inlineStr"/>
      <c r="F5696" s="12" t="inlineStr">
        <is>
          <t>LNG 17: LNG e-house (13.8 kV / 480 V)</t>
        </is>
      </c>
      <c r="G5696" s="12" t="inlineStr">
        <is>
          <t>JB-LNG 14: vaporizers-SOL01</t>
        </is>
      </c>
      <c r="H5696" s="12" t="inlineStr">
        <is>
          <t>LNG 14: vaporizers + glycol heater</t>
        </is>
      </c>
      <c r="I5696" s="12" t="inlineStr">
        <is>
          <t>Control</t>
        </is>
      </c>
      <c r="J5696" s="12" t="inlineStr">
        <is>
          <t>ARMOR-X MC-HL 600 V control, Cu #14 AWG (Class I Div 2)</t>
        </is>
      </c>
      <c r="K5696" s="12" t="inlineStr">
        <is>
          <t>CTAX|25/C|14</t>
        </is>
      </c>
      <c r="L5696" s="12" t="inlineStr">
        <is>
          <t>25/C</t>
        </is>
      </c>
      <c r="M5696" s="12" t="inlineStr">
        <is>
          <t>14</t>
        </is>
      </c>
      <c r="N5696" s="12" t="n">
        <v>1</v>
      </c>
      <c r="O5696" s="12" t="n">
        <v>1</v>
      </c>
      <c r="P5696" s="12" t="n"/>
      <c r="Q5696" s="12" t="n"/>
      <c r="R5696" s="12" t="n"/>
      <c r="S5696" s="12" t="inlineStr">
        <is>
          <t>Duct bank</t>
        </is>
      </c>
      <c r="T5696" s="16" t="n">
        <v>259</v>
      </c>
      <c r="U5696" s="16" t="n">
        <v>32</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K-C-0102</t>
        </is>
      </c>
      <c r="B5697" s="12" t="inlineStr">
        <is>
          <t>K</t>
        </is>
      </c>
      <c r="C5697" s="12" t="inlineStr">
        <is>
          <t>Fuel supply (adjacent market)</t>
        </is>
      </c>
      <c r="D5697" s="12" t="inlineStr">
        <is>
          <t>Motor 1 of 1: control / local station</t>
        </is>
      </c>
      <c r="E5697" s="12" t="inlineStr"/>
      <c r="F5697" s="12" t="inlineStr">
        <is>
          <t>LNG 17: LNG e-house (13.8 kV / 480 V)</t>
        </is>
      </c>
      <c r="G5697" s="12" t="inlineStr"/>
      <c r="H5697" s="12" t="inlineStr">
        <is>
          <t>LNG 15: boil-off gas compressor</t>
        </is>
      </c>
      <c r="I5697" s="12" t="inlineStr">
        <is>
          <t>Control</t>
        </is>
      </c>
      <c r="J5697" s="12" t="inlineStr">
        <is>
          <t>ARMOR-X MC-HL 600 V control, Cu #14 AWG (Class I Div 2)</t>
        </is>
      </c>
      <c r="K5697" s="12" t="inlineStr">
        <is>
          <t>CTAX|7/C|14</t>
        </is>
      </c>
      <c r="L5697" s="12" t="inlineStr">
        <is>
          <t>7/C</t>
        </is>
      </c>
      <c r="M5697" s="12" t="inlineStr">
        <is>
          <t>14</t>
        </is>
      </c>
      <c r="N5697" s="12" t="n">
        <v>1</v>
      </c>
      <c r="O5697" s="12" t="n">
        <v>1</v>
      </c>
      <c r="P5697" s="12" t="n"/>
      <c r="Q5697" s="12" t="n"/>
      <c r="R5697" s="12" t="n"/>
      <c r="S5697" s="12" t="inlineStr">
        <is>
          <t>Duct bank</t>
        </is>
      </c>
      <c r="T5697" s="16" t="n">
        <v>25</v>
      </c>
      <c r="U5697" s="16" t="n">
        <v>54</v>
      </c>
      <c r="V5697" s="16">
        <f>ROUNDUP((T5697+U5697+2*'Read Me'!$B$13)*(1+'Read Me'!$B$12),-1)</f>
        <v/>
      </c>
      <c r="W5697" s="16">
        <f>V5697*N5697*O5697</f>
        <v/>
      </c>
      <c r="X5697" s="12">
        <f>IF(LEFT(I5697,2)="MV",2*N5697*IF(L5697="1/C",O5697,1),0)</f>
        <v/>
      </c>
      <c r="Y5697" s="12">
        <f>IF(OR(LEFT(K5697,4)="LVAX",LEFT(K5697,6)="MV15AX",LEFT(K5697,4)="CTAX",LEFT(K5697,2)="W|"),2*N5697*O5697,0)</f>
        <v/>
      </c>
      <c r="Z5697" s="12" t="inlineStr"/>
      <c r="AA5697" s="12">
        <f>N5697*O5697</f>
        <v/>
      </c>
    </row>
    <row r="5698">
      <c r="A5698" s="12" t="inlineStr">
        <is>
          <t>K-C-0103</t>
        </is>
      </c>
      <c r="B5698" s="12" t="inlineStr">
        <is>
          <t>K</t>
        </is>
      </c>
      <c r="C5698" s="12" t="inlineStr">
        <is>
          <t>Fuel supply (adjacent market)</t>
        </is>
      </c>
      <c r="D5698" s="12" t="inlineStr">
        <is>
          <t>Solenoid to JB JB-LNG 15: boil-off g-SOL01: 2 x 2/C (field cables)</t>
        </is>
      </c>
      <c r="E5698" s="12" t="inlineStr"/>
      <c r="F5698" s="12" t="inlineStr">
        <is>
          <t>LNG 15: boil-off gas compressor</t>
        </is>
      </c>
      <c r="G5698" s="12" t="inlineStr">
        <is>
          <t>JB-LNG 15: boil-off g-SOL01</t>
        </is>
      </c>
      <c r="H5698" s="12" t="inlineStr">
        <is>
          <t>LNG 15: boil-off gas compressor</t>
        </is>
      </c>
      <c r="I5698" s="12" t="inlineStr">
        <is>
          <t>Control</t>
        </is>
      </c>
      <c r="J5698" s="12" t="inlineStr">
        <is>
          <t>ARMOR-X MC-HL 600 V control, Cu #14 AWG (Class I Div 2)</t>
        </is>
      </c>
      <c r="K5698" s="12" t="inlineStr">
        <is>
          <t>CTAX|2/C|14</t>
        </is>
      </c>
      <c r="L5698" s="12" t="inlineStr">
        <is>
          <t>2/C</t>
        </is>
      </c>
      <c r="M5698" s="12" t="inlineStr">
        <is>
          <t>14</t>
        </is>
      </c>
      <c r="N5698" s="12" t="n">
        <v>2</v>
      </c>
      <c r="O5698" s="12" t="n">
        <v>1</v>
      </c>
      <c r="P5698" s="12" t="n"/>
      <c r="Q5698" s="12" t="n"/>
      <c r="R5698" s="12" t="n"/>
      <c r="S5698" s="12" t="inlineStr">
        <is>
          <t>Tray / conduit</t>
        </is>
      </c>
      <c r="T5698" s="16" t="n">
        <v>67</v>
      </c>
      <c r="U5698" s="16" t="n">
        <v>10</v>
      </c>
      <c r="V5698" s="16">
        <f>ROUNDUP((T5698+U5698+2*'Read Me'!$B$13)*(1+'Read Me'!$B$12),-1)</f>
        <v/>
      </c>
      <c r="W5698" s="16">
        <f>V5698*N5698*O5698</f>
        <v/>
      </c>
      <c r="X5698" s="12">
        <f>IF(LEFT(I5698,2)="MV",2*N5698*IF(L5698="1/C",O5698,1),0)</f>
        <v/>
      </c>
      <c r="Y5698" s="12">
        <f>IF(OR(LEFT(K5698,4)="LVAX",LEFT(K5698,6)="MV15AX",LEFT(K5698,4)="CTAX",LEFT(K5698,2)="W|"),2*N5698*O5698,0)</f>
        <v/>
      </c>
      <c r="Z5698" s="12" t="inlineStr">
        <is>
          <t>device-to-JB field wiring, one cable per device</t>
        </is>
      </c>
      <c r="AA5698" s="12">
        <f>N5698*O5698</f>
        <v/>
      </c>
    </row>
    <row r="5699">
      <c r="A5699" s="12" t="inlineStr">
        <is>
          <t>K-C-0104</t>
        </is>
      </c>
      <c r="B5699" s="12" t="inlineStr">
        <is>
          <t>K</t>
        </is>
      </c>
      <c r="C5699" s="12" t="inlineStr">
        <is>
          <t>Fuel supply (adjacent market)</t>
        </is>
      </c>
      <c r="D5699" s="12" t="inlineStr">
        <is>
          <t>Home run JB-LNG 15: boil-off g-SOL01 to the control / marshalling room</t>
        </is>
      </c>
      <c r="E5699" s="12" t="inlineStr"/>
      <c r="F5699" s="12" t="inlineStr">
        <is>
          <t>LNG 17: LNG e-house (13.8 kV / 480 V)</t>
        </is>
      </c>
      <c r="G5699" s="12" t="inlineStr">
        <is>
          <t>JB-LNG 15: boil-off g-SOL01</t>
        </is>
      </c>
      <c r="H5699" s="12" t="inlineStr">
        <is>
          <t>LNG 15: boil-off gas compressor</t>
        </is>
      </c>
      <c r="I5699" s="12" t="inlineStr">
        <is>
          <t>Control</t>
        </is>
      </c>
      <c r="J5699" s="12" t="inlineStr">
        <is>
          <t>ARMOR-X MC-HL 600 V control, Cu #14 AWG (Class I Div 2)</t>
        </is>
      </c>
      <c r="K5699" s="12" t="inlineStr">
        <is>
          <t>CTAX|25/C|14</t>
        </is>
      </c>
      <c r="L5699" s="12" t="inlineStr">
        <is>
          <t>25/C</t>
        </is>
      </c>
      <c r="M5699" s="12" t="inlineStr">
        <is>
          <t>14</t>
        </is>
      </c>
      <c r="N5699" s="12" t="n">
        <v>1</v>
      </c>
      <c r="O5699" s="12" t="n">
        <v>1</v>
      </c>
      <c r="P5699" s="12" t="n"/>
      <c r="Q5699" s="12" t="n"/>
      <c r="R5699" s="12" t="n"/>
      <c r="S5699" s="12" t="inlineStr">
        <is>
          <t>Duct bank</t>
        </is>
      </c>
      <c r="T5699" s="16" t="n">
        <v>25</v>
      </c>
      <c r="U5699" s="16" t="n">
        <v>54</v>
      </c>
      <c r="V5699" s="16">
        <f>ROUNDUP((T5699+U5699+2*'Read Me'!$B$13)*(1+'Read Me'!$B$12),-1)</f>
        <v/>
      </c>
      <c r="W5699" s="16">
        <f>V5699*N5699*O5699</f>
        <v/>
      </c>
      <c r="X5699" s="12">
        <f>IF(LEFT(I5699,2)="MV",2*N5699*IF(L5699="1/C",O5699,1),0)</f>
        <v/>
      </c>
      <c r="Y5699" s="12">
        <f>IF(OR(LEFT(K5699,4)="LVAX",LEFT(K5699,6)="MV15AX",LEFT(K5699,4)="CTAX",LEFT(K5699,2)="W|"),2*N5699*O5699,0)</f>
        <v/>
      </c>
      <c r="Z5699" s="12" t="inlineStr"/>
      <c r="AA5699" s="12">
        <f>N5699*O5699</f>
        <v/>
      </c>
    </row>
    <row r="5700">
      <c r="A5700" s="12" t="inlineStr">
        <is>
          <t>K-C-0105</t>
        </is>
      </c>
      <c r="B5700" s="12" t="inlineStr">
        <is>
          <t>K</t>
        </is>
      </c>
      <c r="C5700" s="12" t="inlineStr">
        <is>
          <t>Fuel supply (adjacent market)</t>
        </is>
      </c>
      <c r="D5700" s="12" t="inlineStr">
        <is>
          <t>Motor 1 of 1: control / local station</t>
        </is>
      </c>
      <c r="E5700" s="12" t="inlineStr"/>
      <c r="F5700" s="12" t="inlineStr">
        <is>
          <t>LNG 17: LNG e-house (13.8 kV / 480 V)</t>
        </is>
      </c>
      <c r="G5700" s="12" t="inlineStr"/>
      <c r="H5700" s="12" t="inlineStr">
        <is>
          <t>LNG 16: send-out metering + pressure control</t>
        </is>
      </c>
      <c r="I5700" s="12" t="inlineStr">
        <is>
          <t>Control</t>
        </is>
      </c>
      <c r="J5700" s="12" t="inlineStr">
        <is>
          <t>ARMOR-X MC-HL 600 V control, Cu #14 AWG (Class I Div 2)</t>
        </is>
      </c>
      <c r="K5700" s="12" t="inlineStr">
        <is>
          <t>CTAX|7/C|14</t>
        </is>
      </c>
      <c r="L5700" s="12" t="inlineStr">
        <is>
          <t>7/C</t>
        </is>
      </c>
      <c r="M5700" s="12" t="inlineStr">
        <is>
          <t>14</t>
        </is>
      </c>
      <c r="N5700" s="12" t="n">
        <v>1</v>
      </c>
      <c r="O5700" s="12" t="n">
        <v>1</v>
      </c>
      <c r="P5700" s="12" t="n"/>
      <c r="Q5700" s="12" t="n"/>
      <c r="R5700" s="12" t="n"/>
      <c r="S5700" s="12" t="inlineStr">
        <is>
          <t>Duct bank</t>
        </is>
      </c>
      <c r="T5700" s="16" t="n">
        <v>20</v>
      </c>
      <c r="U5700" s="16" t="n">
        <v>32</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K-C-0106</t>
        </is>
      </c>
      <c r="B5701" s="12" t="inlineStr">
        <is>
          <t>K</t>
        </is>
      </c>
      <c r="C5701" s="12" t="inlineStr">
        <is>
          <t>Fuel supply (adjacent market)</t>
        </is>
      </c>
      <c r="D5701" s="12" t="inlineStr">
        <is>
          <t>Solenoid to JB JB-LNG 16: send-out m-SOL01: 2 x 2/C (field cables)</t>
        </is>
      </c>
      <c r="E5701" s="12" t="inlineStr"/>
      <c r="F5701" s="12" t="inlineStr">
        <is>
          <t>LNG 16: send-out metering + pressure control</t>
        </is>
      </c>
      <c r="G5701" s="12" t="inlineStr">
        <is>
          <t>JB-LNG 16: send-out m-SOL01</t>
        </is>
      </c>
      <c r="H5701" s="12" t="inlineStr">
        <is>
          <t>LNG 16: send-out metering + pressure control</t>
        </is>
      </c>
      <c r="I5701" s="12" t="inlineStr">
        <is>
          <t>Control</t>
        </is>
      </c>
      <c r="J5701" s="12" t="inlineStr">
        <is>
          <t>ARMOR-X MC-HL 600 V control, Cu #14 AWG (Class I Div 2)</t>
        </is>
      </c>
      <c r="K5701" s="12" t="inlineStr">
        <is>
          <t>CTAX|2/C|14</t>
        </is>
      </c>
      <c r="L5701" s="12" t="inlineStr">
        <is>
          <t>2/C</t>
        </is>
      </c>
      <c r="M5701" s="12" t="inlineStr">
        <is>
          <t>14</t>
        </is>
      </c>
      <c r="N5701" s="12" t="n">
        <v>2</v>
      </c>
      <c r="O5701" s="12" t="n">
        <v>1</v>
      </c>
      <c r="P5701" s="12" t="n"/>
      <c r="Q5701" s="12" t="n"/>
      <c r="R5701" s="12" t="n"/>
      <c r="S5701" s="12" t="inlineStr">
        <is>
          <t>Tray / conduit</t>
        </is>
      </c>
      <c r="T5701" s="16" t="n">
        <v>74</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K-C-0107</t>
        </is>
      </c>
      <c r="B5702" s="12" t="inlineStr">
        <is>
          <t>K</t>
        </is>
      </c>
      <c r="C5702" s="12" t="inlineStr">
        <is>
          <t>Fuel supply (adjacent market)</t>
        </is>
      </c>
      <c r="D5702" s="12" t="inlineStr">
        <is>
          <t>Home run JB-LNG 16: send-out m-SOL01 to the control / marshalling room</t>
        </is>
      </c>
      <c r="E5702" s="12" t="inlineStr"/>
      <c r="F5702" s="12" t="inlineStr">
        <is>
          <t>LNG 17: LNG e-house (13.8 kV / 480 V)</t>
        </is>
      </c>
      <c r="G5702" s="12" t="inlineStr">
        <is>
          <t>JB-LNG 16: send-out m-SOL01</t>
        </is>
      </c>
      <c r="H5702" s="12" t="inlineStr">
        <is>
          <t>LNG 16: send-out metering + pressure control</t>
        </is>
      </c>
      <c r="I5702" s="12" t="inlineStr">
        <is>
          <t>Control</t>
        </is>
      </c>
      <c r="J5702" s="12" t="inlineStr">
        <is>
          <t>ARMOR-X MC-HL 600 V control, Cu #14 AWG (Class I Div 2)</t>
        </is>
      </c>
      <c r="K5702" s="12" t="inlineStr">
        <is>
          <t>CTAX|25/C|14</t>
        </is>
      </c>
      <c r="L5702" s="12" t="inlineStr">
        <is>
          <t>25/C</t>
        </is>
      </c>
      <c r="M5702" s="12" t="inlineStr">
        <is>
          <t>14</t>
        </is>
      </c>
      <c r="N5702" s="12" t="n">
        <v>1</v>
      </c>
      <c r="O5702" s="12" t="n">
        <v>1</v>
      </c>
      <c r="P5702" s="12" t="n"/>
      <c r="Q5702" s="12" t="n"/>
      <c r="R5702" s="12" t="n"/>
      <c r="S5702" s="12" t="inlineStr">
        <is>
          <t>Duct bank</t>
        </is>
      </c>
      <c r="T5702" s="16" t="n">
        <v>20</v>
      </c>
      <c r="U5702" s="16" t="n">
        <v>32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K-C-0108</t>
        </is>
      </c>
      <c r="B5703" s="12" t="inlineStr">
        <is>
          <t>K</t>
        </is>
      </c>
      <c r="C5703" s="12" t="inlineStr">
        <is>
          <t>Fuel supply (adjacent market)</t>
        </is>
      </c>
      <c r="D5703" s="12" t="inlineStr">
        <is>
          <t>Motor 1 of 1: control / local station</t>
        </is>
      </c>
      <c r="E5703" s="12" t="inlineStr"/>
      <c r="F5703" s="12" t="inlineStr">
        <is>
          <t>LNG 17: LNG e-house (13.8 kV / 480 V)</t>
        </is>
      </c>
      <c r="G5703" s="12" t="inlineStr"/>
      <c r="H5703" s="12" t="inlineStr">
        <is>
          <t>LNG 17: LNG e-house (13.8 kV / 480 V)</t>
        </is>
      </c>
      <c r="I5703" s="12" t="inlineStr">
        <is>
          <t>Control</t>
        </is>
      </c>
      <c r="J5703" s="12" t="inlineStr">
        <is>
          <t>ARMOR-X MC-HL 600 V control, Cu #14 AWG (Class I Div 2)</t>
        </is>
      </c>
      <c r="K5703" s="12" t="inlineStr">
        <is>
          <t>CTAX|7/C|14</t>
        </is>
      </c>
      <c r="L5703" s="12" t="inlineStr">
        <is>
          <t>7/C</t>
        </is>
      </c>
      <c r="M5703" s="12" t="inlineStr">
        <is>
          <t>14</t>
        </is>
      </c>
      <c r="N5703" s="12" t="n">
        <v>1</v>
      </c>
      <c r="O5703" s="12" t="n">
        <v>1</v>
      </c>
      <c r="P5703" s="12" t="n"/>
      <c r="Q5703" s="12" t="n"/>
      <c r="R5703" s="12" t="n"/>
      <c r="S5703" s="12" t="inlineStr">
        <is>
          <t>Tray</t>
        </is>
      </c>
      <c r="T5703" s="16" t="n">
        <v>0</v>
      </c>
      <c r="U5703" s="16" t="n">
        <v>32</v>
      </c>
      <c r="V5703" s="16">
        <f>ROUNDUP((T5703+U5703+2*'Read Me'!$B$13)*(1+'Read Me'!$B$12),-1)</f>
        <v/>
      </c>
      <c r="W5703" s="16">
        <f>V5703*N5703*O5703</f>
        <v/>
      </c>
      <c r="X5703" s="12">
        <f>IF(LEFT(I5703,2)="MV",2*N5703*IF(L5703="1/C",O5703,1),0)</f>
        <v/>
      </c>
      <c r="Y5703" s="12">
        <f>IF(OR(LEFT(K5703,4)="LVAX",LEFT(K5703,6)="MV15AX",LEFT(K5703,4)="CTAX",LEFT(K5703,2)="W|"),2*N5703*O5703,0)</f>
        <v/>
      </c>
      <c r="Z5703" s="12" t="inlineStr"/>
      <c r="AA5703" s="12">
        <f>N5703*O5703</f>
        <v/>
      </c>
    </row>
    <row r="5704">
      <c r="A5704" s="12" t="inlineStr">
        <is>
          <t>K-C-0109</t>
        </is>
      </c>
      <c r="B5704" s="12" t="inlineStr">
        <is>
          <t>K</t>
        </is>
      </c>
      <c r="C5704" s="12" t="inlineStr">
        <is>
          <t>Fuel supply (adjacent market)</t>
        </is>
      </c>
      <c r="D5704" s="12" t="inlineStr">
        <is>
          <t>Solenoid to JB JB-LNG 17: LNG e-hous-SOL01: 2 x 2/C (field cables)</t>
        </is>
      </c>
      <c r="E5704" s="12" t="inlineStr"/>
      <c r="F5704" s="12" t="inlineStr">
        <is>
          <t>LNG 17: LNG e-house (13.8 kV / 480 V)</t>
        </is>
      </c>
      <c r="G5704" s="12" t="inlineStr">
        <is>
          <t>JB-LNG 17: LNG e-hous-SOL01</t>
        </is>
      </c>
      <c r="H5704" s="12" t="inlineStr">
        <is>
          <t>LNG 17: LNG e-house (13.8 kV / 480 V)</t>
        </is>
      </c>
      <c r="I5704" s="12" t="inlineStr">
        <is>
          <t>Control</t>
        </is>
      </c>
      <c r="J5704" s="12" t="inlineStr">
        <is>
          <t>ARMOR-X MC-HL 600 V control, Cu #14 AWG (Class I Div 2)</t>
        </is>
      </c>
      <c r="K5704" s="12" t="inlineStr">
        <is>
          <t>CTAX|2/C|14</t>
        </is>
      </c>
      <c r="L5704" s="12" t="inlineStr">
        <is>
          <t>2/C</t>
        </is>
      </c>
      <c r="M5704" s="12" t="inlineStr">
        <is>
          <t>14</t>
        </is>
      </c>
      <c r="N5704" s="12" t="n">
        <v>2</v>
      </c>
      <c r="O5704" s="12" t="n">
        <v>1</v>
      </c>
      <c r="P5704" s="12" t="n"/>
      <c r="Q5704" s="12" t="n"/>
      <c r="R5704" s="12" t="n"/>
      <c r="S5704" s="12" t="inlineStr">
        <is>
          <t>Tray / conduit</t>
        </is>
      </c>
      <c r="T5704" s="16" t="n">
        <v>58</v>
      </c>
      <c r="U5704" s="16" t="n">
        <v>10</v>
      </c>
      <c r="V5704" s="16">
        <f>ROUNDUP((T5704+U5704+2*'Read Me'!$B$13)*(1+'Read Me'!$B$12),-1)</f>
        <v/>
      </c>
      <c r="W5704" s="16">
        <f>V5704*N5704*O5704</f>
        <v/>
      </c>
      <c r="X5704" s="12">
        <f>IF(LEFT(I5704,2)="MV",2*N5704*IF(L5704="1/C",O5704,1),0)</f>
        <v/>
      </c>
      <c r="Y5704" s="12">
        <f>IF(OR(LEFT(K5704,4)="LVAX",LEFT(K5704,6)="MV15AX",LEFT(K5704,4)="CTAX",LEFT(K5704,2)="W|"),2*N5704*O5704,0)</f>
        <v/>
      </c>
      <c r="Z5704" s="12" t="inlineStr">
        <is>
          <t>device-to-JB field wiring, one cable per device</t>
        </is>
      </c>
      <c r="AA5704" s="12">
        <f>N5704*O5704</f>
        <v/>
      </c>
    </row>
    <row r="5705">
      <c r="A5705" s="12" t="inlineStr">
        <is>
          <t>K-C-0110</t>
        </is>
      </c>
      <c r="B5705" s="12" t="inlineStr">
        <is>
          <t>K</t>
        </is>
      </c>
      <c r="C5705" s="12" t="inlineStr">
        <is>
          <t>Fuel supply (adjacent market)</t>
        </is>
      </c>
      <c r="D5705" s="12" t="inlineStr">
        <is>
          <t>Home run JB-LNG 17: LNG e-hous-SOL01 to the control / marshalling room</t>
        </is>
      </c>
      <c r="E5705" s="12" t="inlineStr"/>
      <c r="F5705" s="12" t="inlineStr">
        <is>
          <t>LNG 17: LNG e-house (13.8 kV / 480 V)</t>
        </is>
      </c>
      <c r="G5705" s="12" t="inlineStr">
        <is>
          <t>JB-LNG 17: LNG e-hous-SOL01</t>
        </is>
      </c>
      <c r="H5705" s="12" t="inlineStr">
        <is>
          <t>LNG 17: LNG e-house (13.8 kV / 480 V)</t>
        </is>
      </c>
      <c r="I5705" s="12" t="inlineStr">
        <is>
          <t>Control</t>
        </is>
      </c>
      <c r="J5705" s="12" t="inlineStr">
        <is>
          <t>ARMOR-X MC-HL 600 V control, Cu #14 AWG (Class I Div 2)</t>
        </is>
      </c>
      <c r="K5705" s="12" t="inlineStr">
        <is>
          <t>CTAX|25/C|14</t>
        </is>
      </c>
      <c r="L5705" s="12" t="inlineStr">
        <is>
          <t>25/C</t>
        </is>
      </c>
      <c r="M5705" s="12" t="inlineStr">
        <is>
          <t>14</t>
        </is>
      </c>
      <c r="N5705" s="12" t="n">
        <v>1</v>
      </c>
      <c r="O5705" s="12" t="n">
        <v>1</v>
      </c>
      <c r="P5705" s="12" t="n"/>
      <c r="Q5705" s="12" t="n"/>
      <c r="R5705" s="12" t="n"/>
      <c r="S5705" s="12" t="inlineStr">
        <is>
          <t>Tray</t>
        </is>
      </c>
      <c r="T5705" s="16" t="n">
        <v>0</v>
      </c>
      <c r="U5705" s="16" t="n">
        <v>32</v>
      </c>
      <c r="V5705" s="16">
        <f>ROUNDUP((T5705+U5705+2*'Read Me'!$B$13)*(1+'Read Me'!$B$12),-1)</f>
        <v/>
      </c>
      <c r="W5705" s="16">
        <f>V5705*N5705*O5705</f>
        <v/>
      </c>
      <c r="X5705" s="12">
        <f>IF(LEFT(I5705,2)="MV",2*N5705*IF(L5705="1/C",O5705,1),0)</f>
        <v/>
      </c>
      <c r="Y5705" s="12">
        <f>IF(OR(LEFT(K5705,4)="LVAX",LEFT(K5705,6)="MV15AX",LEFT(K5705,4)="CTAX",LEFT(K5705,2)="W|"),2*N5705*O5705,0)</f>
        <v/>
      </c>
      <c r="Z5705" s="12" t="inlineStr"/>
      <c r="AA5705" s="12">
        <f>N5705*O5705</f>
        <v/>
      </c>
    </row>
    <row r="5706">
      <c r="A5706" s="12" t="inlineStr">
        <is>
          <t>K-C-0111</t>
        </is>
      </c>
      <c r="B5706" s="12" t="inlineStr">
        <is>
          <t>K</t>
        </is>
      </c>
      <c r="C5706" s="12" t="inlineStr">
        <is>
          <t>Fuel supply (adjacent market)</t>
        </is>
      </c>
      <c r="D5706" s="12" t="inlineStr">
        <is>
          <t>Motor 1 of 1: control / local station</t>
        </is>
      </c>
      <c r="E5706" s="12" t="inlineStr"/>
      <c r="F5706" s="12" t="inlineStr">
        <is>
          <t>LNG 17: LNG e-house (13.8 kV / 480 V)</t>
        </is>
      </c>
      <c r="G5706" s="12" t="inlineStr"/>
      <c r="H5706" s="12" t="inlineStr">
        <is>
          <t>LNG 18: vent stack</t>
        </is>
      </c>
      <c r="I5706" s="12" t="inlineStr">
        <is>
          <t>Control</t>
        </is>
      </c>
      <c r="J5706" s="12" t="inlineStr">
        <is>
          <t>ARMOR-X MC-HL 600 V control, Cu #14 AWG (Class I Div 2)</t>
        </is>
      </c>
      <c r="K5706" s="12" t="inlineStr">
        <is>
          <t>CTAX|7/C|14</t>
        </is>
      </c>
      <c r="L5706" s="12" t="inlineStr">
        <is>
          <t>7/C</t>
        </is>
      </c>
      <c r="M5706" s="12" t="inlineStr">
        <is>
          <t>14</t>
        </is>
      </c>
      <c r="N5706" s="12" t="n">
        <v>1</v>
      </c>
      <c r="O5706" s="12" t="n">
        <v>1</v>
      </c>
      <c r="P5706" s="12" t="n"/>
      <c r="Q5706" s="12" t="n"/>
      <c r="R5706" s="12" t="n"/>
      <c r="S5706" s="12" t="inlineStr">
        <is>
          <t>Duct bank</t>
        </is>
      </c>
      <c r="T5706" s="16" t="n">
        <v>25</v>
      </c>
      <c r="U5706" s="16" t="n">
        <v>117</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K-C-0112</t>
        </is>
      </c>
      <c r="B5707" s="12" t="inlineStr">
        <is>
          <t>K</t>
        </is>
      </c>
      <c r="C5707" s="12" t="inlineStr">
        <is>
          <t>Fuel supply (adjacent market)</t>
        </is>
      </c>
      <c r="D5707" s="12" t="inlineStr">
        <is>
          <t>Solenoid to JB JB-LNG 18: vent stack-SOL01: 2 x 2/C (field cables)</t>
        </is>
      </c>
      <c r="E5707" s="12" t="inlineStr"/>
      <c r="F5707" s="12" t="inlineStr">
        <is>
          <t>LNG 18: vent stack</t>
        </is>
      </c>
      <c r="G5707" s="12" t="inlineStr">
        <is>
          <t>JB-LNG 18: vent stack-SOL01</t>
        </is>
      </c>
      <c r="H5707" s="12" t="inlineStr">
        <is>
          <t>LNG 18: vent stack</t>
        </is>
      </c>
      <c r="I5707" s="12" t="inlineStr">
        <is>
          <t>Control</t>
        </is>
      </c>
      <c r="J5707" s="12" t="inlineStr">
        <is>
          <t>ARMOR-X MC-HL 600 V control, Cu #14 AWG (Class I Div 2)</t>
        </is>
      </c>
      <c r="K5707" s="12" t="inlineStr">
        <is>
          <t>CTAX|2/C|14</t>
        </is>
      </c>
      <c r="L5707" s="12" t="inlineStr">
        <is>
          <t>2/C</t>
        </is>
      </c>
      <c r="M5707" s="12" t="inlineStr">
        <is>
          <t>14</t>
        </is>
      </c>
      <c r="N5707" s="12" t="n">
        <v>2</v>
      </c>
      <c r="O5707" s="12" t="n">
        <v>1</v>
      </c>
      <c r="P5707" s="12" t="n"/>
      <c r="Q5707" s="12" t="n"/>
      <c r="R5707" s="12" t="n"/>
      <c r="S5707" s="12" t="inlineStr">
        <is>
          <t>Tray / conduit</t>
        </is>
      </c>
      <c r="T5707" s="16" t="n">
        <v>55</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K-C-0113</t>
        </is>
      </c>
      <c r="B5708" s="12" t="inlineStr">
        <is>
          <t>K</t>
        </is>
      </c>
      <c r="C5708" s="12" t="inlineStr">
        <is>
          <t>Fuel supply (adjacent market)</t>
        </is>
      </c>
      <c r="D5708" s="12" t="inlineStr">
        <is>
          <t>Home run JB-LNG 18: vent stack-SOL01 to the control / marshalling room</t>
        </is>
      </c>
      <c r="E5708" s="12" t="inlineStr"/>
      <c r="F5708" s="12" t="inlineStr">
        <is>
          <t>LNG 17: LNG e-house (13.8 kV / 480 V)</t>
        </is>
      </c>
      <c r="G5708" s="12" t="inlineStr">
        <is>
          <t>JB-LNG 18: vent stack-SOL01</t>
        </is>
      </c>
      <c r="H5708" s="12" t="inlineStr">
        <is>
          <t>LNG 18: vent stack</t>
        </is>
      </c>
      <c r="I5708" s="12" t="inlineStr">
        <is>
          <t>Control</t>
        </is>
      </c>
      <c r="J5708" s="12" t="inlineStr">
        <is>
          <t>ARMOR-X MC-HL 600 V control, Cu #14 AWG (Class I Div 2)</t>
        </is>
      </c>
      <c r="K5708" s="12" t="inlineStr">
        <is>
          <t>CTAX|25/C|14</t>
        </is>
      </c>
      <c r="L5708" s="12" t="inlineStr">
        <is>
          <t>25/C</t>
        </is>
      </c>
      <c r="M5708" s="12" t="inlineStr">
        <is>
          <t>14</t>
        </is>
      </c>
      <c r="N5708" s="12" t="n">
        <v>1</v>
      </c>
      <c r="O5708" s="12" t="n">
        <v>1</v>
      </c>
      <c r="P5708" s="12" t="n"/>
      <c r="Q5708" s="12" t="n"/>
      <c r="R5708" s="12" t="n"/>
      <c r="S5708" s="12" t="inlineStr">
        <is>
          <t>Duct bank</t>
        </is>
      </c>
      <c r="T5708" s="16" t="n">
        <v>25</v>
      </c>
      <c r="U5708" s="16" t="n">
        <v>117</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K-C-0114</t>
        </is>
      </c>
      <c r="B5709" s="12" t="inlineStr">
        <is>
          <t>K</t>
        </is>
      </c>
      <c r="C5709" s="12" t="inlineStr">
        <is>
          <t>Fuel supply (adjacent market)</t>
        </is>
      </c>
      <c r="D5709" s="12" t="inlineStr">
        <is>
          <t>Solenoid to JB JB-M&amp;R 2: insulating -SOL01: 4 x 2/C (field cables)</t>
        </is>
      </c>
      <c r="E5709" s="12" t="inlineStr"/>
      <c r="F5709" s="12" t="inlineStr">
        <is>
          <t>M&amp;R 2: insulating joint + ESD valve</t>
        </is>
      </c>
      <c r="G5709" s="12" t="inlineStr">
        <is>
          <t>JB-M&amp;R 2: insulating -SOL01</t>
        </is>
      </c>
      <c r="H5709" s="12" t="inlineStr">
        <is>
          <t>M&amp;R 2: insulating joint + ESD valve</t>
        </is>
      </c>
      <c r="I5709" s="12" t="inlineStr">
        <is>
          <t>Control</t>
        </is>
      </c>
      <c r="J5709" s="12" t="inlineStr">
        <is>
          <t>ARMOR-X MC-HL 600 V control, Cu #14 AWG (Class I Div 2)</t>
        </is>
      </c>
      <c r="K5709" s="12" t="inlineStr">
        <is>
          <t>CTAX|2/C|14</t>
        </is>
      </c>
      <c r="L5709" s="12" t="inlineStr">
        <is>
          <t>2/C</t>
        </is>
      </c>
      <c r="M5709" s="12" t="inlineStr">
        <is>
          <t>14</t>
        </is>
      </c>
      <c r="N5709" s="12" t="n">
        <v>4</v>
      </c>
      <c r="O5709" s="12" t="n">
        <v>1</v>
      </c>
      <c r="P5709" s="12" t="n"/>
      <c r="Q5709" s="12" t="n"/>
      <c r="R5709" s="12" t="n"/>
      <c r="S5709" s="12" t="inlineStr">
        <is>
          <t>Tray / conduit</t>
        </is>
      </c>
      <c r="T5709" s="16" t="n">
        <v>40</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K-C-0115</t>
        </is>
      </c>
      <c r="B5710" s="12" t="inlineStr">
        <is>
          <t>K</t>
        </is>
      </c>
      <c r="C5710" s="12" t="inlineStr">
        <is>
          <t>Fuel supply (adjacent market)</t>
        </is>
      </c>
      <c r="D5710" s="12" t="inlineStr">
        <is>
          <t>Home run JB-M&amp;R 2: insulating -SOL01 to the control / marshalling room</t>
        </is>
      </c>
      <c r="E5710" s="12" t="inlineStr"/>
      <c r="F5710" s="12" t="inlineStr">
        <is>
          <t>LNG 17: LNG e-house (13.8 kV / 480 V)</t>
        </is>
      </c>
      <c r="G5710" s="12" t="inlineStr">
        <is>
          <t>JB-M&amp;R 2: insulating -SOL01</t>
        </is>
      </c>
      <c r="H5710" s="12" t="inlineStr">
        <is>
          <t>M&amp;R 2: insulating joint + ESD valve</t>
        </is>
      </c>
      <c r="I5710" s="12" t="inlineStr">
        <is>
          <t>Control</t>
        </is>
      </c>
      <c r="J5710" s="12" t="inlineStr">
        <is>
          <t>ARMOR-X MC-HL 600 V control, Cu #14 AWG (Class I Div 2)</t>
        </is>
      </c>
      <c r="K5710" s="12" t="inlineStr">
        <is>
          <t>CTAX|25/C|14</t>
        </is>
      </c>
      <c r="L5710" s="12" t="inlineStr">
        <is>
          <t>25/C</t>
        </is>
      </c>
      <c r="M5710" s="12" t="inlineStr">
        <is>
          <t>14</t>
        </is>
      </c>
      <c r="N5710" s="12" t="n">
        <v>1</v>
      </c>
      <c r="O5710" s="12" t="n">
        <v>1</v>
      </c>
      <c r="P5710" s="12" t="n"/>
      <c r="Q5710" s="12" t="n"/>
      <c r="R5710" s="12" t="n"/>
      <c r="S5710" s="12" t="inlineStr">
        <is>
          <t>Duct bank</t>
        </is>
      </c>
      <c r="T5710" s="16" t="n">
        <v>758</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K-C-0116</t>
        </is>
      </c>
      <c r="B5711" s="12" t="inlineStr">
        <is>
          <t>K</t>
        </is>
      </c>
      <c r="C5711" s="12" t="inlineStr">
        <is>
          <t>Fuel supply (adjacent market)</t>
        </is>
      </c>
      <c r="D5711" s="12" t="inlineStr">
        <is>
          <t>Solenoid to JB JB-M&amp;R 3: horizontal -SOL01: 4 x 2/C (field cables)</t>
        </is>
      </c>
      <c r="E5711" s="12" t="inlineStr"/>
      <c r="F5711" s="12" t="inlineStr">
        <is>
          <t>M&amp;R 3: horizontal filter-separator</t>
        </is>
      </c>
      <c r="G5711" s="12" t="inlineStr">
        <is>
          <t>JB-M&amp;R 3: horizontal -SOL01</t>
        </is>
      </c>
      <c r="H5711" s="12" t="inlineStr">
        <is>
          <t>M&amp;R 3: horizontal filter-separator</t>
        </is>
      </c>
      <c r="I5711" s="12" t="inlineStr">
        <is>
          <t>Control</t>
        </is>
      </c>
      <c r="J5711" s="12" t="inlineStr">
        <is>
          <t>ARMOR-X MC-HL 600 V control, Cu #14 AWG (Class I Div 2)</t>
        </is>
      </c>
      <c r="K5711" s="12" t="inlineStr">
        <is>
          <t>CTAX|2/C|14</t>
        </is>
      </c>
      <c r="L5711" s="12" t="inlineStr">
        <is>
          <t>2/C</t>
        </is>
      </c>
      <c r="M5711" s="12" t="inlineStr">
        <is>
          <t>14</t>
        </is>
      </c>
      <c r="N5711" s="12" t="n">
        <v>4</v>
      </c>
      <c r="O5711" s="12" t="n">
        <v>1</v>
      </c>
      <c r="P5711" s="12" t="n"/>
      <c r="Q5711" s="12" t="n"/>
      <c r="R5711" s="12" t="n"/>
      <c r="S5711" s="12" t="inlineStr">
        <is>
          <t>Tray / conduit</t>
        </is>
      </c>
      <c r="T5711" s="16" t="n">
        <v>53</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K-C-0117</t>
        </is>
      </c>
      <c r="B5712" s="12" t="inlineStr">
        <is>
          <t>K</t>
        </is>
      </c>
      <c r="C5712" s="12" t="inlineStr">
        <is>
          <t>Fuel supply (adjacent market)</t>
        </is>
      </c>
      <c r="D5712" s="12" t="inlineStr">
        <is>
          <t>Home run JB-M&amp;R 3: horizontal -SOL01 to the control / marshalling room</t>
        </is>
      </c>
      <c r="E5712" s="12" t="inlineStr"/>
      <c r="F5712" s="12" t="inlineStr">
        <is>
          <t>LNG 17: LNG e-house (13.8 kV / 480 V)</t>
        </is>
      </c>
      <c r="G5712" s="12" t="inlineStr">
        <is>
          <t>JB-M&amp;R 3: horizontal -SOL01</t>
        </is>
      </c>
      <c r="H5712" s="12" t="inlineStr">
        <is>
          <t>M&amp;R 3: horizontal filter-separator</t>
        </is>
      </c>
      <c r="I5712" s="12" t="inlineStr">
        <is>
          <t>Control</t>
        </is>
      </c>
      <c r="J5712" s="12" t="inlineStr">
        <is>
          <t>ARMOR-X MC-HL 600 V control, Cu #14 AWG (Class I Div 2)</t>
        </is>
      </c>
      <c r="K5712" s="12" t="inlineStr">
        <is>
          <t>CTAX|25/C|14</t>
        </is>
      </c>
      <c r="L5712" s="12" t="inlineStr">
        <is>
          <t>25/C</t>
        </is>
      </c>
      <c r="M5712" s="12" t="inlineStr">
        <is>
          <t>14</t>
        </is>
      </c>
      <c r="N5712" s="12" t="n">
        <v>1</v>
      </c>
      <c r="O5712" s="12" t="n">
        <v>1</v>
      </c>
      <c r="P5712" s="12" t="n"/>
      <c r="Q5712" s="12" t="n"/>
      <c r="R5712" s="12" t="n"/>
      <c r="S5712" s="12" t="inlineStr">
        <is>
          <t>Duct bank</t>
        </is>
      </c>
      <c r="T5712" s="16" t="n">
        <v>797</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K-C-0118</t>
        </is>
      </c>
      <c r="B5713" s="12" t="inlineStr">
        <is>
          <t>K</t>
        </is>
      </c>
      <c r="C5713" s="12" t="inlineStr">
        <is>
          <t>Fuel supply (adjacent market)</t>
        </is>
      </c>
      <c r="D5713" s="12" t="inlineStr">
        <is>
          <t>Control</t>
        </is>
      </c>
      <c r="E5713" s="12" t="inlineStr"/>
      <c r="F5713" s="12" t="inlineStr">
        <is>
          <t>LNG 17: LNG e-house (13.8 kV / 480 V)</t>
        </is>
      </c>
      <c r="G5713" s="12" t="inlineStr"/>
      <c r="H5713" s="12" t="inlineStr">
        <is>
          <t>M&amp;R 4: line heater 1 (water bath)</t>
        </is>
      </c>
      <c r="I5713" s="12" t="inlineStr">
        <is>
          <t>Control</t>
        </is>
      </c>
      <c r="J5713" s="12" t="inlineStr">
        <is>
          <t>ARMOR-X MC-HL 600 V control, Cu #14 AWG (Class I Div 2)</t>
        </is>
      </c>
      <c r="K5713" s="12" t="inlineStr">
        <is>
          <t>CTAX|7/C|14</t>
        </is>
      </c>
      <c r="L5713" s="12" t="inlineStr">
        <is>
          <t>7/C</t>
        </is>
      </c>
      <c r="M5713" s="12" t="inlineStr">
        <is>
          <t>14</t>
        </is>
      </c>
      <c r="N5713" s="12" t="n">
        <v>1</v>
      </c>
      <c r="O5713" s="12" t="n">
        <v>1</v>
      </c>
      <c r="P5713" s="12" t="n"/>
      <c r="Q5713" s="12" t="n"/>
      <c r="R5713" s="12" t="n"/>
      <c r="S5713" s="12" t="inlineStr">
        <is>
          <t>Duct bank</t>
        </is>
      </c>
      <c r="T5713" s="16" t="n">
        <v>593</v>
      </c>
      <c r="U5713" s="16" t="n">
        <v>32</v>
      </c>
      <c r="V5713" s="16">
        <f>ROUNDUP((T5713+U5713+2*'Read Me'!$B$13)*(1+'Read Me'!$B$12),-1)</f>
        <v/>
      </c>
      <c r="W5713" s="16">
        <f>V5713*N5713*O5713</f>
        <v/>
      </c>
      <c r="X5713" s="12">
        <f>IF(LEFT(I5713,2)="MV",2*N5713*IF(L5713="1/C",O5713,1),0)</f>
        <v/>
      </c>
      <c r="Y5713" s="12">
        <f>IF(OR(LEFT(K5713,4)="LVAX",LEFT(K5713,6)="MV15AX",LEFT(K5713,4)="CTAX",LEFT(K5713,2)="W|"),2*N5713*O5713,0)</f>
        <v/>
      </c>
      <c r="Z5713" s="12" t="inlineStr"/>
      <c r="AA5713" s="12">
        <f>N5713*O5713</f>
        <v/>
      </c>
    </row>
    <row r="5714">
      <c r="A5714" s="12" t="inlineStr">
        <is>
          <t>K-C-0119</t>
        </is>
      </c>
      <c r="B5714" s="12" t="inlineStr">
        <is>
          <t>K</t>
        </is>
      </c>
      <c r="C5714" s="12" t="inlineStr">
        <is>
          <t>Fuel supply (adjacent market)</t>
        </is>
      </c>
      <c r="D5714" s="12" t="inlineStr">
        <is>
          <t>Control</t>
        </is>
      </c>
      <c r="E5714" s="12" t="inlineStr"/>
      <c r="F5714" s="12" t="inlineStr">
        <is>
          <t>LNG 17: LNG e-house (13.8 kV / 480 V)</t>
        </is>
      </c>
      <c r="G5714" s="12" t="inlineStr"/>
      <c r="H5714" s="12" t="inlineStr">
        <is>
          <t>M&amp;R 4: line heater 2 (water bath)</t>
        </is>
      </c>
      <c r="I5714" s="12" t="inlineStr">
        <is>
          <t>Control</t>
        </is>
      </c>
      <c r="J5714" s="12" t="inlineStr">
        <is>
          <t>ARMOR-X MC-HL 600 V control, Cu #14 AWG (Class I Div 2)</t>
        </is>
      </c>
      <c r="K5714" s="12" t="inlineStr">
        <is>
          <t>CTAX|7/C|14</t>
        </is>
      </c>
      <c r="L5714" s="12" t="inlineStr">
        <is>
          <t>7/C</t>
        </is>
      </c>
      <c r="M5714" s="12" t="inlineStr">
        <is>
          <t>14</t>
        </is>
      </c>
      <c r="N5714" s="12" t="n">
        <v>1</v>
      </c>
      <c r="O5714" s="12" t="n">
        <v>1</v>
      </c>
      <c r="P5714" s="12" t="n"/>
      <c r="Q5714" s="12" t="n"/>
      <c r="R5714" s="12" t="n"/>
      <c r="S5714" s="12" t="inlineStr">
        <is>
          <t>Duct bank</t>
        </is>
      </c>
      <c r="T5714" s="16" t="n">
        <v>593</v>
      </c>
      <c r="U5714" s="16" t="n">
        <v>50</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K-C-0120</t>
        </is>
      </c>
      <c r="B5715" s="12" t="inlineStr">
        <is>
          <t>K</t>
        </is>
      </c>
      <c r="C5715" s="12" t="inlineStr">
        <is>
          <t>Fuel supply (adjacent market)</t>
        </is>
      </c>
      <c r="D5715" s="12" t="inlineStr">
        <is>
          <t>Control</t>
        </is>
      </c>
      <c r="E5715" s="12" t="inlineStr"/>
      <c r="F5715" s="12" t="inlineStr">
        <is>
          <t>LNG 17: LNG e-house (13.8 kV / 480 V)</t>
        </is>
      </c>
      <c r="G5715" s="12" t="inlineStr"/>
      <c r="H5715" s="12" t="inlineStr">
        <is>
          <t>M&amp;R 4: line heater 3 (water bath)</t>
        </is>
      </c>
      <c r="I5715" s="12" t="inlineStr">
        <is>
          <t>Control</t>
        </is>
      </c>
      <c r="J5715" s="12" t="inlineStr">
        <is>
          <t>ARMOR-X MC-HL 600 V control, Cu #14 AWG (Class I Div 2)</t>
        </is>
      </c>
      <c r="K5715" s="12" t="inlineStr">
        <is>
          <t>CTAX|7/C|14</t>
        </is>
      </c>
      <c r="L5715" s="12" t="inlineStr">
        <is>
          <t>7/C</t>
        </is>
      </c>
      <c r="M5715" s="12" t="inlineStr">
        <is>
          <t>14</t>
        </is>
      </c>
      <c r="N5715" s="12" t="n">
        <v>1</v>
      </c>
      <c r="O5715" s="12" t="n">
        <v>1</v>
      </c>
      <c r="P5715" s="12" t="n"/>
      <c r="Q5715" s="12" t="n"/>
      <c r="R5715" s="12" t="n"/>
      <c r="S5715" s="12" t="inlineStr">
        <is>
          <t>Duct bank</t>
        </is>
      </c>
      <c r="T5715" s="16" t="n">
        <v>593</v>
      </c>
      <c r="U5715" s="16" t="n">
        <v>68</v>
      </c>
      <c r="V5715" s="16">
        <f>ROUNDUP((T5715+U5715+2*'Read Me'!$B$13)*(1+'Read Me'!$B$12),-1)</f>
        <v/>
      </c>
      <c r="W5715" s="16">
        <f>V5715*N5715*O5715</f>
        <v/>
      </c>
      <c r="X5715" s="12">
        <f>IF(LEFT(I5715,2)="MV",2*N5715*IF(L5715="1/C",O5715,1),0)</f>
        <v/>
      </c>
      <c r="Y5715" s="12">
        <f>IF(OR(LEFT(K5715,4)="LVAX",LEFT(K5715,6)="MV15AX",LEFT(K5715,4)="CTAX",LEFT(K5715,2)="W|"),2*N5715*O5715,0)</f>
        <v/>
      </c>
      <c r="Z5715" s="12" t="inlineStr"/>
      <c r="AA5715" s="12">
        <f>N5715*O5715</f>
        <v/>
      </c>
    </row>
    <row r="5716">
      <c r="A5716" s="12" t="inlineStr">
        <is>
          <t>K-C-0121</t>
        </is>
      </c>
      <c r="B5716" s="12" t="inlineStr">
        <is>
          <t>K</t>
        </is>
      </c>
      <c r="C5716" s="12" t="inlineStr">
        <is>
          <t>Fuel supply (adjacent market)</t>
        </is>
      </c>
      <c r="D5716" s="12" t="inlineStr">
        <is>
          <t>Solenoid to JB JB-M&amp;R 6: regulation -SOL01: 6 x 2/C (field cables)</t>
        </is>
      </c>
      <c r="E5716" s="12" t="inlineStr"/>
      <c r="F5716" s="12" t="inlineStr">
        <is>
          <t>M&amp;R 6: regulation / flow control building</t>
        </is>
      </c>
      <c r="G5716" s="12" t="inlineStr">
        <is>
          <t>JB-M&amp;R 6: regulation -SOL01</t>
        </is>
      </c>
      <c r="H5716" s="12" t="inlineStr">
        <is>
          <t>M&amp;R 6: regulation / flow control building</t>
        </is>
      </c>
      <c r="I5716" s="12" t="inlineStr">
        <is>
          <t>Control</t>
        </is>
      </c>
      <c r="J5716" s="12" t="inlineStr">
        <is>
          <t>ARMOR-X MC-HL 600 V control, Cu #14 AWG (Class I Div 2)</t>
        </is>
      </c>
      <c r="K5716" s="12" t="inlineStr">
        <is>
          <t>CTAX|2/C|14</t>
        </is>
      </c>
      <c r="L5716" s="12" t="inlineStr">
        <is>
          <t>2/C</t>
        </is>
      </c>
      <c r="M5716" s="12" t="inlineStr">
        <is>
          <t>14</t>
        </is>
      </c>
      <c r="N5716" s="12" t="n">
        <v>6</v>
      </c>
      <c r="O5716" s="12" t="n">
        <v>1</v>
      </c>
      <c r="P5716" s="12" t="n"/>
      <c r="Q5716" s="12" t="n"/>
      <c r="R5716" s="12" t="n"/>
      <c r="S5716" s="12" t="inlineStr">
        <is>
          <t>Tray / conduit</t>
        </is>
      </c>
      <c r="T5716" s="16" t="n">
        <v>61</v>
      </c>
      <c r="U5716" s="16" t="n">
        <v>10</v>
      </c>
      <c r="V5716" s="16">
        <f>ROUNDUP((T5716+U5716+2*'Read Me'!$B$13)*(1+'Read Me'!$B$12),-1)</f>
        <v/>
      </c>
      <c r="W5716" s="16">
        <f>V5716*N5716*O5716</f>
        <v/>
      </c>
      <c r="X5716" s="12">
        <f>IF(LEFT(I5716,2)="MV",2*N5716*IF(L5716="1/C",O5716,1),0)</f>
        <v/>
      </c>
      <c r="Y5716" s="12">
        <f>IF(OR(LEFT(K5716,4)="LVAX",LEFT(K5716,6)="MV15AX",LEFT(K5716,4)="CTAX",LEFT(K5716,2)="W|"),2*N5716*O5716,0)</f>
        <v/>
      </c>
      <c r="Z5716" s="12" t="inlineStr">
        <is>
          <t>device-to-JB field wiring, one cable per device</t>
        </is>
      </c>
      <c r="AA5716" s="12">
        <f>N5716*O5716</f>
        <v/>
      </c>
    </row>
    <row r="5717">
      <c r="A5717" s="12" t="inlineStr">
        <is>
          <t>K-C-0122</t>
        </is>
      </c>
      <c r="B5717" s="12" t="inlineStr">
        <is>
          <t>K</t>
        </is>
      </c>
      <c r="C5717" s="12" t="inlineStr">
        <is>
          <t>Fuel supply (adjacent market)</t>
        </is>
      </c>
      <c r="D5717" s="12" t="inlineStr">
        <is>
          <t>Home run JB-M&amp;R 6: regulation -SOL01 to the control / marshalling room</t>
        </is>
      </c>
      <c r="E5717" s="12" t="inlineStr"/>
      <c r="F5717" s="12" t="inlineStr">
        <is>
          <t>LNG 17: LNG e-house (13.8 kV / 480 V)</t>
        </is>
      </c>
      <c r="G5717" s="12" t="inlineStr">
        <is>
          <t>JB-M&amp;R 6: regulation -SOL01</t>
        </is>
      </c>
      <c r="H5717" s="12" t="inlineStr">
        <is>
          <t>M&amp;R 6: regulation / flow control building</t>
        </is>
      </c>
      <c r="I5717" s="12" t="inlineStr">
        <is>
          <t>Control</t>
        </is>
      </c>
      <c r="J5717" s="12" t="inlineStr">
        <is>
          <t>ARMOR-X MC-HL 600 V control, Cu #14 AWG (Class I Div 2)</t>
        </is>
      </c>
      <c r="K5717" s="12" t="inlineStr">
        <is>
          <t>CTAX|25/C|14</t>
        </is>
      </c>
      <c r="L5717" s="12" t="inlineStr">
        <is>
          <t>25/C</t>
        </is>
      </c>
      <c r="M5717" s="12" t="inlineStr">
        <is>
          <t>14</t>
        </is>
      </c>
      <c r="N5717" s="12" t="n">
        <v>1</v>
      </c>
      <c r="O5717" s="12" t="n">
        <v>1</v>
      </c>
      <c r="P5717" s="12" t="n"/>
      <c r="Q5717" s="12" t="n"/>
      <c r="R5717" s="12" t="n"/>
      <c r="S5717" s="12" t="inlineStr">
        <is>
          <t>Duct bank</t>
        </is>
      </c>
      <c r="T5717" s="16" t="n">
        <v>470</v>
      </c>
      <c r="U5717" s="16" t="n">
        <v>70</v>
      </c>
      <c r="V5717" s="16">
        <f>ROUNDUP((T5717+U5717+2*'Read Me'!$B$13)*(1+'Read Me'!$B$12),-1)</f>
        <v/>
      </c>
      <c r="W5717" s="16">
        <f>V5717*N5717*O5717</f>
        <v/>
      </c>
      <c r="X5717" s="12">
        <f>IF(LEFT(I5717,2)="MV",2*N5717*IF(L5717="1/C",O5717,1),0)</f>
        <v/>
      </c>
      <c r="Y5717" s="12">
        <f>IF(OR(LEFT(K5717,4)="LVAX",LEFT(K5717,6)="MV15AX",LEFT(K5717,4)="CTAX",LEFT(K5717,2)="W|"),2*N5717*O5717,0)</f>
        <v/>
      </c>
      <c r="Z5717" s="12" t="inlineStr"/>
      <c r="AA5717" s="12">
        <f>N5717*O5717</f>
        <v/>
      </c>
    </row>
    <row r="5718">
      <c r="A5718" s="12" t="inlineStr">
        <is>
          <t>K-C-0123</t>
        </is>
      </c>
      <c r="B5718" s="12" t="inlineStr">
        <is>
          <t>K</t>
        </is>
      </c>
      <c r="C5718" s="12" t="inlineStr">
        <is>
          <t>Fuel supply (adjacent market)</t>
        </is>
      </c>
      <c r="D5718" s="12" t="inlineStr">
        <is>
          <t>Control</t>
        </is>
      </c>
      <c r="E5718" s="12" t="inlineStr"/>
      <c r="F5718" s="12" t="inlineStr">
        <is>
          <t>LNG 17: LNG e-house (13.8 kV / 480 V)</t>
        </is>
      </c>
      <c r="G5718" s="12" t="inlineStr"/>
      <c r="H5718" s="12" t="inlineStr">
        <is>
          <t>M&amp;R 9: service panel + UPS, SCADA RTU, CP</t>
        </is>
      </c>
      <c r="I5718" s="12" t="inlineStr">
        <is>
          <t>Control</t>
        </is>
      </c>
      <c r="J5718" s="12" t="inlineStr">
        <is>
          <t>ARMOR-X MC-HL 600 V control, Cu #14 AWG (Class I Div 2)</t>
        </is>
      </c>
      <c r="K5718" s="12" t="inlineStr">
        <is>
          <t>CTAX|7/C|14</t>
        </is>
      </c>
      <c r="L5718" s="12" t="inlineStr">
        <is>
          <t>7/C</t>
        </is>
      </c>
      <c r="M5718" s="12" t="inlineStr">
        <is>
          <t>14</t>
        </is>
      </c>
      <c r="N5718" s="12" t="n">
        <v>1</v>
      </c>
      <c r="O5718" s="12" t="n">
        <v>1</v>
      </c>
      <c r="P5718" s="12" t="n"/>
      <c r="Q5718" s="12" t="n"/>
      <c r="R5718" s="12" t="n"/>
      <c r="S5718" s="12" t="inlineStr">
        <is>
          <t>Duct bank</t>
        </is>
      </c>
      <c r="T5718" s="16" t="n">
        <v>466</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K-C-0124</t>
        </is>
      </c>
      <c r="B5719" s="12" t="inlineStr">
        <is>
          <t>K</t>
        </is>
      </c>
      <c r="C5719" s="12" t="inlineStr">
        <is>
          <t>Fuel supply (adjacent market)</t>
        </is>
      </c>
      <c r="D5719" s="12" t="inlineStr">
        <is>
          <t>Control</t>
        </is>
      </c>
      <c r="E5719" s="12" t="inlineStr"/>
      <c r="F5719" s="12" t="inlineStr">
        <is>
          <t>LNG 17: LNG e-house (13.8 kV / 480 V)</t>
        </is>
      </c>
      <c r="G5719" s="12" t="inlineStr"/>
      <c r="H5719" s="12" t="inlineStr">
        <is>
          <t>M&amp;R CP test station (as drawn)</t>
        </is>
      </c>
      <c r="I5719" s="12" t="inlineStr">
        <is>
          <t>Control</t>
        </is>
      </c>
      <c r="J5719" s="12" t="inlineStr">
        <is>
          <t>ARMOR-X MC-HL 600 V control, Cu #14 AWG (Class I Div 2)</t>
        </is>
      </c>
      <c r="K5719" s="12" t="inlineStr">
        <is>
          <t>CTAX|7/C|14</t>
        </is>
      </c>
      <c r="L5719" s="12" t="inlineStr">
        <is>
          <t>7/C</t>
        </is>
      </c>
      <c r="M5719" s="12" t="inlineStr">
        <is>
          <t>14</t>
        </is>
      </c>
      <c r="N5719" s="12" t="n">
        <v>1</v>
      </c>
      <c r="O5719" s="12" t="n">
        <v>1</v>
      </c>
      <c r="P5719" s="12" t="n"/>
      <c r="Q5719" s="12" t="n"/>
      <c r="R5719" s="12" t="n"/>
      <c r="S5719" s="12" t="inlineStr">
        <is>
          <t>Duct bank</t>
        </is>
      </c>
      <c r="T5719" s="16" t="n">
        <v>441</v>
      </c>
      <c r="U5719" s="16" t="n">
        <v>42</v>
      </c>
      <c r="V5719" s="16">
        <f>ROUNDUP((T5719+U5719+2*'Read Me'!$B$13)*(1+'Read Me'!$B$12),-1)</f>
        <v/>
      </c>
      <c r="W5719" s="16">
        <f>V5719*N5719*O5719</f>
        <v/>
      </c>
      <c r="X5719" s="12">
        <f>IF(LEFT(I5719,2)="MV",2*N5719*IF(L5719="1/C",O5719,1),0)</f>
        <v/>
      </c>
      <c r="Y5719" s="12">
        <f>IF(OR(LEFT(K5719,4)="LVAX",LEFT(K5719,6)="MV15AX",LEFT(K5719,4)="CTAX",LEFT(K5719,2)="W|"),2*N5719*O5719,0)</f>
        <v/>
      </c>
      <c r="Z5719" s="12" t="inlineStr"/>
      <c r="AA5719" s="12">
        <f>N5719*O5719</f>
        <v/>
      </c>
    </row>
    <row r="5720">
      <c r="A5720" s="12" t="inlineStr">
        <is>
          <t>K-C-0125</t>
        </is>
      </c>
      <c r="B5720" s="12" t="inlineStr">
        <is>
          <t>K</t>
        </is>
      </c>
      <c r="C5720" s="12" t="inlineStr">
        <is>
          <t>Fuel supply (adjacent market)</t>
        </is>
      </c>
      <c r="D5720" s="12" t="inlineStr">
        <is>
          <t>Control</t>
        </is>
      </c>
      <c r="E5720" s="12" t="inlineStr"/>
      <c r="F5720" s="12" t="inlineStr">
        <is>
          <t>LNG 17: LNG e-house (13.8 kV / 480 V)</t>
        </is>
      </c>
      <c r="G5720" s="12" t="inlineStr"/>
      <c r="H5720" s="12" t="inlineStr">
        <is>
          <t>M&amp;R SCADA antenna mast base (as drawn)</t>
        </is>
      </c>
      <c r="I5720" s="12" t="inlineStr">
        <is>
          <t>Control</t>
        </is>
      </c>
      <c r="J5720" s="12" t="inlineStr">
        <is>
          <t>ARMOR-X MC-HL 600 V control, Cu #14 AWG (Class I Div 2)</t>
        </is>
      </c>
      <c r="K5720" s="12" t="inlineStr">
        <is>
          <t>CTAX|7/C|14</t>
        </is>
      </c>
      <c r="L5720" s="12" t="inlineStr">
        <is>
          <t>7/C</t>
        </is>
      </c>
      <c r="M5720" s="12" t="inlineStr">
        <is>
          <t>14</t>
        </is>
      </c>
      <c r="N5720" s="12" t="n">
        <v>1</v>
      </c>
      <c r="O5720" s="12" t="n">
        <v>1</v>
      </c>
      <c r="P5720" s="12" t="n"/>
      <c r="Q5720" s="12" t="n"/>
      <c r="R5720" s="12" t="n"/>
      <c r="S5720" s="12" t="inlineStr">
        <is>
          <t>Duct bank</t>
        </is>
      </c>
      <c r="T5720" s="16" t="n">
        <v>433</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K-C-0126</t>
        </is>
      </c>
      <c r="B5721" s="12" t="inlineStr">
        <is>
          <t>K</t>
        </is>
      </c>
      <c r="C5721" s="12" t="inlineStr">
        <is>
          <t>Fuel supply (adjacent market)</t>
        </is>
      </c>
      <c r="D5721" s="12" t="inlineStr">
        <is>
          <t>Control</t>
        </is>
      </c>
      <c r="E5721" s="12" t="inlineStr"/>
      <c r="F5721" s="12" t="inlineStr">
        <is>
          <t>H2 20: 13.8 kV e-house</t>
        </is>
      </c>
      <c r="G5721" s="12" t="inlineStr"/>
      <c r="H5721" s="12" t="inlineStr">
        <is>
          <t>PEM electrolyzer 1 (HyLYZER-1000)</t>
        </is>
      </c>
      <c r="I5721" s="12" t="inlineStr">
        <is>
          <t>Control</t>
        </is>
      </c>
      <c r="J5721" s="12" t="inlineStr">
        <is>
          <t>ARMOR-X MC-HL 600 V control, Cu #14 AWG (Class I Div 2)</t>
        </is>
      </c>
      <c r="K5721" s="12" t="inlineStr">
        <is>
          <t>CTAX|7/C|14</t>
        </is>
      </c>
      <c r="L5721" s="12" t="inlineStr">
        <is>
          <t>7/C</t>
        </is>
      </c>
      <c r="M5721" s="12" t="inlineStr">
        <is>
          <t>14</t>
        </is>
      </c>
      <c r="N5721" s="12" t="n">
        <v>1</v>
      </c>
      <c r="O5721" s="12" t="n">
        <v>1</v>
      </c>
      <c r="P5721" s="12" t="n"/>
      <c r="Q5721" s="12" t="n"/>
      <c r="R5721" s="12" t="n"/>
      <c r="S5721" s="12" t="inlineStr">
        <is>
          <t>Duct bank</t>
        </is>
      </c>
      <c r="T5721" s="16" t="n">
        <v>358</v>
      </c>
      <c r="U5721" s="16" t="n">
        <v>32</v>
      </c>
      <c r="V5721" s="16">
        <f>ROUNDUP((T5721+U5721+2*'Read Me'!$B$13)*(1+'Read Me'!$B$12),-1)</f>
        <v/>
      </c>
      <c r="W5721" s="16">
        <f>V5721*N5721*O5721</f>
        <v/>
      </c>
      <c r="X5721" s="12">
        <f>IF(LEFT(I5721,2)="MV",2*N5721*IF(L5721="1/C",O5721,1),0)</f>
        <v/>
      </c>
      <c r="Y5721" s="12">
        <f>IF(OR(LEFT(K5721,4)="LVAX",LEFT(K5721,6)="MV15AX",LEFT(K5721,4)="CTAX",LEFT(K5721,2)="W|"),2*N5721*O5721,0)</f>
        <v/>
      </c>
      <c r="Z5721" s="12" t="inlineStr"/>
      <c r="AA5721" s="12">
        <f>N5721*O5721</f>
        <v/>
      </c>
    </row>
    <row r="5722">
      <c r="A5722" s="12" t="inlineStr">
        <is>
          <t>K-C-0127</t>
        </is>
      </c>
      <c r="B5722" s="12" t="inlineStr">
        <is>
          <t>K</t>
        </is>
      </c>
      <c r="C5722" s="12" t="inlineStr">
        <is>
          <t>Fuel supply (adjacent market)</t>
        </is>
      </c>
      <c r="D5722" s="12" t="inlineStr">
        <is>
          <t>Control</t>
        </is>
      </c>
      <c r="E5722" s="12" t="inlineStr"/>
      <c r="F5722" s="12" t="inlineStr">
        <is>
          <t>H2 20: 13.8 kV e-house</t>
        </is>
      </c>
      <c r="G5722" s="12" t="inlineStr"/>
      <c r="H5722" s="12" t="inlineStr">
        <is>
          <t>PEM electrolyzer 2 (HyLYZER-1000)</t>
        </is>
      </c>
      <c r="I5722" s="12" t="inlineStr">
        <is>
          <t>Control</t>
        </is>
      </c>
      <c r="J5722" s="12" t="inlineStr">
        <is>
          <t>ARMOR-X MC-HL 600 V control, Cu #14 AWG (Class I Div 2)</t>
        </is>
      </c>
      <c r="K5722" s="12" t="inlineStr">
        <is>
          <t>CTAX|7/C|14</t>
        </is>
      </c>
      <c r="L5722" s="12" t="inlineStr">
        <is>
          <t>7/C</t>
        </is>
      </c>
      <c r="M5722" s="12" t="inlineStr">
        <is>
          <t>14</t>
        </is>
      </c>
      <c r="N5722" s="12" t="n">
        <v>1</v>
      </c>
      <c r="O5722" s="12" t="n">
        <v>1</v>
      </c>
      <c r="P5722" s="12" t="n"/>
      <c r="Q5722" s="12" t="n"/>
      <c r="R5722" s="12" t="n"/>
      <c r="S5722" s="12" t="inlineStr">
        <is>
          <t>Duct bank</t>
        </is>
      </c>
      <c r="T5722" s="16" t="n">
        <v>358</v>
      </c>
      <c r="U5722" s="16" t="n">
        <v>48</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K-C-0128</t>
        </is>
      </c>
      <c r="B5723" s="12" t="inlineStr">
        <is>
          <t>K</t>
        </is>
      </c>
      <c r="C5723" s="12" t="inlineStr">
        <is>
          <t>Fuel supply (adjacent market)</t>
        </is>
      </c>
      <c r="D5723" s="12" t="inlineStr">
        <is>
          <t>Control</t>
        </is>
      </c>
      <c r="E5723" s="12" t="inlineStr"/>
      <c r="F5723" s="12" t="inlineStr">
        <is>
          <t>H2 20: 13.8 kV e-house</t>
        </is>
      </c>
      <c r="G5723" s="12" t="inlineStr"/>
      <c r="H5723" s="12" t="inlineStr">
        <is>
          <t>PEM electrolyzer 3 (HyLYZER-1000)</t>
        </is>
      </c>
      <c r="I5723" s="12" t="inlineStr">
        <is>
          <t>Control</t>
        </is>
      </c>
      <c r="J5723" s="12" t="inlineStr">
        <is>
          <t>ARMOR-X MC-HL 600 V control, Cu #14 AWG (Class I Div 2)</t>
        </is>
      </c>
      <c r="K5723" s="12" t="inlineStr">
        <is>
          <t>CTAX|7/C|14</t>
        </is>
      </c>
      <c r="L5723" s="12" t="inlineStr">
        <is>
          <t>7/C</t>
        </is>
      </c>
      <c r="M5723" s="12" t="inlineStr">
        <is>
          <t>14</t>
        </is>
      </c>
      <c r="N5723" s="12" t="n">
        <v>1</v>
      </c>
      <c r="O5723" s="12" t="n">
        <v>1</v>
      </c>
      <c r="P5723" s="12" t="n"/>
      <c r="Q5723" s="12" t="n"/>
      <c r="R5723" s="12" t="n"/>
      <c r="S5723" s="12" t="inlineStr">
        <is>
          <t>Duct bank</t>
        </is>
      </c>
      <c r="T5723" s="16" t="n">
        <v>348</v>
      </c>
      <c r="U5723" s="16" t="n">
        <v>49</v>
      </c>
      <c r="V5723" s="16">
        <f>ROUNDUP((T5723+U5723+2*'Read Me'!$B$13)*(1+'Read Me'!$B$12),-1)</f>
        <v/>
      </c>
      <c r="W5723" s="16">
        <f>V5723*N5723*O5723</f>
        <v/>
      </c>
      <c r="X5723" s="12">
        <f>IF(LEFT(I5723,2)="MV",2*N5723*IF(L5723="1/C",O5723,1),0)</f>
        <v/>
      </c>
      <c r="Y5723" s="12">
        <f>IF(OR(LEFT(K5723,4)="LVAX",LEFT(K5723,6)="MV15AX",LEFT(K5723,4)="CTAX",LEFT(K5723,2)="W|"),2*N5723*O5723,0)</f>
        <v/>
      </c>
      <c r="Z5723" s="12" t="inlineStr"/>
      <c r="AA5723" s="12">
        <f>N5723*O5723</f>
        <v/>
      </c>
    </row>
    <row r="5724">
      <c r="A5724" s="12" t="inlineStr">
        <is>
          <t>K-C-0129</t>
        </is>
      </c>
      <c r="B5724" s="12" t="inlineStr">
        <is>
          <t>K</t>
        </is>
      </c>
      <c r="C5724" s="12" t="inlineStr">
        <is>
          <t>Fuel supply (adjacent market)</t>
        </is>
      </c>
      <c r="D5724" s="12" t="inlineStr">
        <is>
          <t>Control</t>
        </is>
      </c>
      <c r="E5724" s="12" t="inlineStr"/>
      <c r="F5724" s="12" t="inlineStr">
        <is>
          <t>H2 20: 13.8 kV e-house</t>
        </is>
      </c>
      <c r="G5724" s="12" t="inlineStr"/>
      <c r="H5724" s="12" t="inlineStr">
        <is>
          <t>PEM electrolyzer 4 (HyLYZER-1000)</t>
        </is>
      </c>
      <c r="I5724" s="12" t="inlineStr">
        <is>
          <t>Control</t>
        </is>
      </c>
      <c r="J5724" s="12" t="inlineStr">
        <is>
          <t>ARMOR-X MC-HL 600 V control, Cu #14 AWG (Class I Div 2)</t>
        </is>
      </c>
      <c r="K5724" s="12" t="inlineStr">
        <is>
          <t>CTAX|7/C|14</t>
        </is>
      </c>
      <c r="L5724" s="12" t="inlineStr">
        <is>
          <t>7/C</t>
        </is>
      </c>
      <c r="M5724" s="12" t="inlineStr">
        <is>
          <t>14</t>
        </is>
      </c>
      <c r="N5724" s="12" t="n">
        <v>1</v>
      </c>
      <c r="O5724" s="12" t="n">
        <v>1</v>
      </c>
      <c r="P5724" s="12" t="n"/>
      <c r="Q5724" s="12" t="n"/>
      <c r="R5724" s="12" t="n"/>
      <c r="S5724" s="12" t="inlineStr">
        <is>
          <t>Duct bank</t>
        </is>
      </c>
      <c r="T5724" s="16" t="n">
        <v>328</v>
      </c>
      <c r="U5724" s="16" t="n">
        <v>49</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K-C-0130</t>
        </is>
      </c>
      <c r="B5725" s="12" t="inlineStr">
        <is>
          <t>K</t>
        </is>
      </c>
      <c r="C5725" s="12" t="inlineStr">
        <is>
          <t>Fuel supply (adjacent market)</t>
        </is>
      </c>
      <c r="D5725" s="12" t="inlineStr">
        <is>
          <t>Control</t>
        </is>
      </c>
      <c r="E5725" s="12" t="inlineStr"/>
      <c r="F5725" s="12" t="inlineStr">
        <is>
          <t>H2 20: 13.8 kV e-house</t>
        </is>
      </c>
      <c r="G5725" s="12" t="inlineStr"/>
      <c r="H5725" s="12" t="inlineStr">
        <is>
          <t>PEM electrolyzer 5 (HyLYZER-1000)</t>
        </is>
      </c>
      <c r="I5725" s="12" t="inlineStr">
        <is>
          <t>Control</t>
        </is>
      </c>
      <c r="J5725" s="12" t="inlineStr">
        <is>
          <t>ARMOR-X MC-HL 600 V control, Cu #14 AWG (Class I Div 2)</t>
        </is>
      </c>
      <c r="K5725" s="12" t="inlineStr">
        <is>
          <t>CTAX|7/C|14</t>
        </is>
      </c>
      <c r="L5725" s="12" t="inlineStr">
        <is>
          <t>7/C</t>
        </is>
      </c>
      <c r="M5725" s="12" t="inlineStr">
        <is>
          <t>14</t>
        </is>
      </c>
      <c r="N5725" s="12" t="n">
        <v>1</v>
      </c>
      <c r="O5725" s="12" t="n">
        <v>1</v>
      </c>
      <c r="P5725" s="12" t="n"/>
      <c r="Q5725" s="12" t="n"/>
      <c r="R5725" s="12" t="n"/>
      <c r="S5725" s="12" t="inlineStr">
        <is>
          <t>Duct bank</t>
        </is>
      </c>
      <c r="T5725" s="16" t="n">
        <v>328</v>
      </c>
      <c r="U5725" s="16" t="n">
        <v>32</v>
      </c>
      <c r="V5725" s="16">
        <f>ROUNDUP((T5725+U5725+2*'Read Me'!$B$13)*(1+'Read Me'!$B$12),-1)</f>
        <v/>
      </c>
      <c r="W5725" s="16">
        <f>V5725*N5725*O5725</f>
        <v/>
      </c>
      <c r="X5725" s="12">
        <f>IF(LEFT(I5725,2)="MV",2*N5725*IF(L5725="1/C",O5725,1),0)</f>
        <v/>
      </c>
      <c r="Y5725" s="12">
        <f>IF(OR(LEFT(K5725,4)="LVAX",LEFT(K5725,6)="MV15AX",LEFT(K5725,4)="CTAX",LEFT(K5725,2)="W|"),2*N5725*O5725,0)</f>
        <v/>
      </c>
      <c r="Z5725" s="12" t="inlineStr"/>
      <c r="AA5725" s="12">
        <f>N5725*O5725</f>
        <v/>
      </c>
    </row>
    <row r="5726">
      <c r="A5726" s="12" t="inlineStr">
        <is>
          <t>K-C-0131</t>
        </is>
      </c>
      <c r="B5726" s="12" t="inlineStr">
        <is>
          <t>K</t>
        </is>
      </c>
      <c r="C5726" s="12" t="inlineStr">
        <is>
          <t>Fuel supply (adjacent market)</t>
        </is>
      </c>
      <c r="D5726" s="12" t="inlineStr">
        <is>
          <t>Control</t>
        </is>
      </c>
      <c r="E5726" s="12" t="inlineStr"/>
      <c r="F5726" s="12" t="inlineStr">
        <is>
          <t>H2 20: 13.8 kV e-house</t>
        </is>
      </c>
      <c r="G5726" s="12" t="inlineStr"/>
      <c r="H5726" s="12" t="inlineStr">
        <is>
          <t>Rectifier 1 (7 MVA)</t>
        </is>
      </c>
      <c r="I5726" s="12" t="inlineStr">
        <is>
          <t>Control</t>
        </is>
      </c>
      <c r="J5726" s="12" t="inlineStr">
        <is>
          <t>Control cable 600 V Type TC-ER, Cu #14 AWG, PVC jacket</t>
        </is>
      </c>
      <c r="K5726" s="12" t="inlineStr">
        <is>
          <t>CT|7/C|14</t>
        </is>
      </c>
      <c r="L5726" s="12" t="inlineStr">
        <is>
          <t>7/C</t>
        </is>
      </c>
      <c r="M5726" s="12" t="inlineStr">
        <is>
          <t>14</t>
        </is>
      </c>
      <c r="N5726" s="12" t="n">
        <v>1</v>
      </c>
      <c r="O5726" s="12" t="n">
        <v>1</v>
      </c>
      <c r="P5726" s="12" t="n"/>
      <c r="Q5726" s="12" t="n"/>
      <c r="R5726" s="12" t="n"/>
      <c r="S5726" s="12" t="inlineStr">
        <is>
          <t>Duct bank</t>
        </is>
      </c>
      <c r="T5726" s="16" t="n">
        <v>346</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K-C-0132</t>
        </is>
      </c>
      <c r="B5727" s="12" t="inlineStr">
        <is>
          <t>K</t>
        </is>
      </c>
      <c r="C5727" s="12" t="inlineStr">
        <is>
          <t>Fuel supply (adjacent market)</t>
        </is>
      </c>
      <c r="D5727" s="12" t="inlineStr">
        <is>
          <t>Control</t>
        </is>
      </c>
      <c r="E5727" s="12" t="inlineStr"/>
      <c r="F5727" s="12" t="inlineStr">
        <is>
          <t>H2 20: 13.8 kV e-house</t>
        </is>
      </c>
      <c r="G5727" s="12" t="inlineStr"/>
      <c r="H5727" s="12" t="inlineStr">
        <is>
          <t>Rectifier 2 (7 MVA)</t>
        </is>
      </c>
      <c r="I5727" s="12" t="inlineStr">
        <is>
          <t>Control</t>
        </is>
      </c>
      <c r="J5727" s="12" t="inlineStr">
        <is>
          <t>Control cable 600 V Type TC-ER, Cu #14 AWG, PVC jacket</t>
        </is>
      </c>
      <c r="K5727" s="12" t="inlineStr">
        <is>
          <t>CT|7/C|14</t>
        </is>
      </c>
      <c r="L5727" s="12" t="inlineStr">
        <is>
          <t>7/C</t>
        </is>
      </c>
      <c r="M5727" s="12" t="inlineStr">
        <is>
          <t>14</t>
        </is>
      </c>
      <c r="N5727" s="12" t="n">
        <v>1</v>
      </c>
      <c r="O5727" s="12" t="n">
        <v>1</v>
      </c>
      <c r="P5727" s="12" t="n"/>
      <c r="Q5727" s="12" t="n"/>
      <c r="R5727" s="12" t="n"/>
      <c r="S5727" s="12" t="inlineStr">
        <is>
          <t>Duct bank</t>
        </is>
      </c>
      <c r="T5727" s="16" t="n">
        <v>361</v>
      </c>
      <c r="U5727" s="16" t="n">
        <v>32</v>
      </c>
      <c r="V5727" s="16">
        <f>ROUNDUP((T5727+U5727+2*'Read Me'!$B$13)*(1+'Read Me'!$B$12),-1)</f>
        <v/>
      </c>
      <c r="W5727" s="16">
        <f>V5727*N5727*O5727</f>
        <v/>
      </c>
      <c r="X5727" s="12">
        <f>IF(LEFT(I5727,2)="MV",2*N5727*IF(L5727="1/C",O5727,1),0)</f>
        <v/>
      </c>
      <c r="Y5727" s="12">
        <f>IF(OR(LEFT(K5727,4)="LVAX",LEFT(K5727,6)="MV15AX",LEFT(K5727,4)="CTAX",LEFT(K5727,2)="W|"),2*N5727*O5727,0)</f>
        <v/>
      </c>
      <c r="Z5727" s="12" t="inlineStr"/>
      <c r="AA5727" s="12">
        <f>N5727*O5727</f>
        <v/>
      </c>
    </row>
    <row r="5728">
      <c r="A5728" s="12" t="inlineStr">
        <is>
          <t>K-C-0133</t>
        </is>
      </c>
      <c r="B5728" s="12" t="inlineStr">
        <is>
          <t>K</t>
        </is>
      </c>
      <c r="C5728" s="12" t="inlineStr">
        <is>
          <t>Fuel supply (adjacent market)</t>
        </is>
      </c>
      <c r="D5728" s="12" t="inlineStr">
        <is>
          <t>Control</t>
        </is>
      </c>
      <c r="E5728" s="12" t="inlineStr"/>
      <c r="F5728" s="12" t="inlineStr">
        <is>
          <t>H2 20: 13.8 kV e-house</t>
        </is>
      </c>
      <c r="G5728" s="12" t="inlineStr"/>
      <c r="H5728" s="12" t="inlineStr">
        <is>
          <t>Rectifier 3 (7 MVA)</t>
        </is>
      </c>
      <c r="I5728" s="12" t="inlineStr">
        <is>
          <t>Control</t>
        </is>
      </c>
      <c r="J5728" s="12" t="inlineStr">
        <is>
          <t>Control cable 600 V Type TC-ER, Cu #14 AWG, PVC jacket</t>
        </is>
      </c>
      <c r="K5728" s="12" t="inlineStr">
        <is>
          <t>CT|7/C|14</t>
        </is>
      </c>
      <c r="L5728" s="12" t="inlineStr">
        <is>
          <t>7/C</t>
        </is>
      </c>
      <c r="M5728" s="12" t="inlineStr">
        <is>
          <t>14</t>
        </is>
      </c>
      <c r="N5728" s="12" t="n">
        <v>1</v>
      </c>
      <c r="O5728" s="12" t="n">
        <v>1</v>
      </c>
      <c r="P5728" s="12" t="n"/>
      <c r="Q5728" s="12" t="n"/>
      <c r="R5728" s="12" t="n"/>
      <c r="S5728" s="12" t="inlineStr">
        <is>
          <t>Duct bank</t>
        </is>
      </c>
      <c r="T5728" s="16" t="n">
        <v>341</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K-C-0134</t>
        </is>
      </c>
      <c r="B5729" s="12" t="inlineStr">
        <is>
          <t>K</t>
        </is>
      </c>
      <c r="C5729" s="12" t="inlineStr">
        <is>
          <t>Fuel supply (adjacent market)</t>
        </is>
      </c>
      <c r="D5729" s="12" t="inlineStr">
        <is>
          <t>Control</t>
        </is>
      </c>
      <c r="E5729" s="12" t="inlineStr"/>
      <c r="F5729" s="12" t="inlineStr">
        <is>
          <t>H2 20: 13.8 kV e-house</t>
        </is>
      </c>
      <c r="G5729" s="12" t="inlineStr"/>
      <c r="H5729" s="12" t="inlineStr">
        <is>
          <t>Rectifier 4 (7 MVA)</t>
        </is>
      </c>
      <c r="I5729" s="12" t="inlineStr">
        <is>
          <t>Control</t>
        </is>
      </c>
      <c r="J5729" s="12" t="inlineStr">
        <is>
          <t>Control cable 600 V Type TC-ER, Cu #14 AWG, PVC jacket</t>
        </is>
      </c>
      <c r="K5729" s="12" t="inlineStr">
        <is>
          <t>CT|7/C|14</t>
        </is>
      </c>
      <c r="L5729" s="12" t="inlineStr">
        <is>
          <t>7/C</t>
        </is>
      </c>
      <c r="M5729" s="12" t="inlineStr">
        <is>
          <t>14</t>
        </is>
      </c>
      <c r="N5729" s="12" t="n">
        <v>1</v>
      </c>
      <c r="O5729" s="12" t="n">
        <v>1</v>
      </c>
      <c r="P5729" s="12" t="n"/>
      <c r="Q5729" s="12" t="n"/>
      <c r="R5729" s="12" t="n"/>
      <c r="S5729" s="12" t="inlineStr">
        <is>
          <t>Duct bank</t>
        </is>
      </c>
      <c r="T5729" s="16" t="n">
        <v>321</v>
      </c>
      <c r="U5729" s="16" t="n">
        <v>32</v>
      </c>
      <c r="V5729" s="16">
        <f>ROUNDUP((T5729+U5729+2*'Read Me'!$B$13)*(1+'Read Me'!$B$12),-1)</f>
        <v/>
      </c>
      <c r="W5729" s="16">
        <f>V5729*N5729*O5729</f>
        <v/>
      </c>
      <c r="X5729" s="12">
        <f>IF(LEFT(I5729,2)="MV",2*N5729*IF(L5729="1/C",O5729,1),0)</f>
        <v/>
      </c>
      <c r="Y5729" s="12">
        <f>IF(OR(LEFT(K5729,4)="LVAX",LEFT(K5729,6)="MV15AX",LEFT(K5729,4)="CTAX",LEFT(K5729,2)="W|"),2*N5729*O5729,0)</f>
        <v/>
      </c>
      <c r="Z5729" s="12" t="inlineStr"/>
      <c r="AA5729" s="12">
        <f>N5729*O5729</f>
        <v/>
      </c>
    </row>
    <row r="5730">
      <c r="A5730" s="12" t="inlineStr">
        <is>
          <t>K-C-0135</t>
        </is>
      </c>
      <c r="B5730" s="12" t="inlineStr">
        <is>
          <t>K</t>
        </is>
      </c>
      <c r="C5730" s="12" t="inlineStr">
        <is>
          <t>Fuel supply (adjacent market)</t>
        </is>
      </c>
      <c r="D5730" s="12" t="inlineStr">
        <is>
          <t>Control</t>
        </is>
      </c>
      <c r="E5730" s="12" t="inlineStr"/>
      <c r="F5730" s="12" t="inlineStr">
        <is>
          <t>H2 20: 13.8 kV e-house</t>
        </is>
      </c>
      <c r="G5730" s="12" t="inlineStr"/>
      <c r="H5730" s="12" t="inlineStr">
        <is>
          <t>Rectifier 5 (7 MVA)</t>
        </is>
      </c>
      <c r="I5730" s="12" t="inlineStr">
        <is>
          <t>Control</t>
        </is>
      </c>
      <c r="J5730" s="12" t="inlineStr">
        <is>
          <t>Control cable 600 V Type TC-ER, Cu #14 AWG, PVC jacket</t>
        </is>
      </c>
      <c r="K5730" s="12" t="inlineStr">
        <is>
          <t>CT|7/C|14</t>
        </is>
      </c>
      <c r="L5730" s="12" t="inlineStr">
        <is>
          <t>7/C</t>
        </is>
      </c>
      <c r="M5730" s="12" t="inlineStr">
        <is>
          <t>14</t>
        </is>
      </c>
      <c r="N5730" s="12" t="n">
        <v>1</v>
      </c>
      <c r="O5730" s="12" t="n">
        <v>1</v>
      </c>
      <c r="P5730" s="12" t="n"/>
      <c r="Q5730" s="12" t="n"/>
      <c r="R5730" s="12" t="n"/>
      <c r="S5730" s="12" t="inlineStr">
        <is>
          <t>Duct bank</t>
        </is>
      </c>
      <c r="T5730" s="16" t="n">
        <v>301</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K-F-0001</t>
        </is>
      </c>
      <c r="B5731" s="12" t="inlineStr">
        <is>
          <t>K</t>
        </is>
      </c>
      <c r="C5731" s="12" t="inlineStr">
        <is>
          <t>Fuel supply (adjacent market)</t>
        </is>
      </c>
      <c r="D5731" s="12" t="inlineStr">
        <is>
          <t>Plant network / DCS fibre</t>
        </is>
      </c>
      <c r="E5731" s="12" t="inlineStr">
        <is>
          <t>CR</t>
        </is>
      </c>
      <c r="F5731" s="12" t="inlineStr">
        <is>
          <t>Control / admin building (main control room)</t>
        </is>
      </c>
      <c r="G5731" s="12" t="inlineStr"/>
      <c r="H5731" s="12" t="inlineStr">
        <is>
          <t>H2 20: 13.8 kV e-house</t>
        </is>
      </c>
      <c r="I5731" s="12" t="inlineStr">
        <is>
          <t>Fibre / data</t>
        </is>
      </c>
      <c r="J5731" s="12" t="inlineStr">
        <is>
          <t>Fibre optic, single-mode, 12-fibre, armored, orange jacket</t>
        </is>
      </c>
      <c r="K5731" s="12" t="inlineStr">
        <is>
          <t>FO|12 SM|-</t>
        </is>
      </c>
      <c r="L5731" s="12" t="inlineStr">
        <is>
          <t>12 SM</t>
        </is>
      </c>
      <c r="M5731" s="12" t="inlineStr">
        <is>
          <t>-</t>
        </is>
      </c>
      <c r="N5731" s="12" t="n">
        <v>1</v>
      </c>
      <c r="O5731" s="12" t="n">
        <v>1</v>
      </c>
      <c r="P5731" s="12" t="n"/>
      <c r="Q5731" s="12" t="n"/>
      <c r="R5731" s="12" t="n"/>
      <c r="S5731" s="12" t="inlineStr">
        <is>
          <t>Trench</t>
        </is>
      </c>
      <c r="T5731" s="16" t="n">
        <v>4293</v>
      </c>
      <c r="U5731" s="16" t="n">
        <v>36</v>
      </c>
      <c r="V5731" s="16">
        <f>ROUNDUP((T5731+U5731+2*'Read Me'!$B$13)*(1+'Read Me'!$B$12),-1)</f>
        <v/>
      </c>
      <c r="W5731" s="16">
        <f>V5731*N5731*O5731</f>
        <v/>
      </c>
      <c r="X5731" s="12">
        <f>IF(LEFT(I5731,2)="MV",2*N5731*IF(L5731="1/C",O5731,1),0)</f>
        <v/>
      </c>
      <c r="Y5731" s="12">
        <f>IF(OR(LEFT(K5731,4)="LVAX",LEFT(K5731,6)="MV15AX",LEFT(K5731,4)="CTAX",LEFT(K5731,2)="W|"),2*N5731*O5731,0)</f>
        <v/>
      </c>
      <c r="Z5731" s="12" t="inlineStr"/>
      <c r="AA5731" s="12">
        <f>N5731*O5731</f>
        <v/>
      </c>
    </row>
    <row r="5732">
      <c r="A5732" s="12" t="inlineStr">
        <is>
          <t>K-F-0002</t>
        </is>
      </c>
      <c r="B5732" s="12" t="inlineStr">
        <is>
          <t>K</t>
        </is>
      </c>
      <c r="C5732" s="12" t="inlineStr">
        <is>
          <t>Fuel supply (adjacent market)</t>
        </is>
      </c>
      <c r="D5732" s="12" t="inlineStr">
        <is>
          <t>Plant network / DCS fibre</t>
        </is>
      </c>
      <c r="E5732" s="12" t="inlineStr">
        <is>
          <t>CR</t>
        </is>
      </c>
      <c r="F5732" s="12" t="inlineStr">
        <is>
          <t>Control / admin building (main control room)</t>
        </is>
      </c>
      <c r="G5732" s="12" t="inlineStr"/>
      <c r="H5732" s="12" t="inlineStr">
        <is>
          <t>LNG 17: LNG e-house (13.8 kV / 480 V)</t>
        </is>
      </c>
      <c r="I5732" s="12" t="inlineStr">
        <is>
          <t>Fibre / data</t>
        </is>
      </c>
      <c r="J5732" s="12" t="inlineStr">
        <is>
          <t>Fibre optic, single-mode, 12-fibre, armored, orange jacket</t>
        </is>
      </c>
      <c r="K5732" s="12" t="inlineStr">
        <is>
          <t>FO|12 SM|-</t>
        </is>
      </c>
      <c r="L5732" s="12" t="inlineStr">
        <is>
          <t>12 SM</t>
        </is>
      </c>
      <c r="M5732" s="12" t="inlineStr">
        <is>
          <t>-</t>
        </is>
      </c>
      <c r="N5732" s="12" t="n">
        <v>1</v>
      </c>
      <c r="O5732" s="12" t="n">
        <v>1</v>
      </c>
      <c r="P5732" s="12" t="n"/>
      <c r="Q5732" s="12" t="n"/>
      <c r="R5732" s="12" t="n"/>
      <c r="S5732" s="12" t="inlineStr">
        <is>
          <t>Duct bank</t>
        </is>
      </c>
      <c r="T5732" s="16" t="n">
        <v>3499</v>
      </c>
      <c r="U5732" s="16" t="n">
        <v>359</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K-F-0003</t>
        </is>
      </c>
      <c r="B5733" s="12" t="inlineStr">
        <is>
          <t>K</t>
        </is>
      </c>
      <c r="C5733" s="12" t="inlineStr">
        <is>
          <t>Fuel supply (adjacent market)</t>
        </is>
      </c>
      <c r="D5733" s="12" t="inlineStr">
        <is>
          <t>Plant network / DCS fibre</t>
        </is>
      </c>
      <c r="E5733" s="12" t="inlineStr">
        <is>
          <t>CR</t>
        </is>
      </c>
      <c r="F5733" s="12" t="inlineStr">
        <is>
          <t>Control / admin building (main control room)</t>
        </is>
      </c>
      <c r="G5733" s="12" t="inlineStr"/>
      <c r="H5733" s="12" t="inlineStr">
        <is>
          <t>M&amp;R 6: regulation / flow control building</t>
        </is>
      </c>
      <c r="I5733" s="12" t="inlineStr">
        <is>
          <t>Fibre / data</t>
        </is>
      </c>
      <c r="J5733" s="12" t="inlineStr">
        <is>
          <t>Fibre optic, single-mode, 12-fibre, armored, orange jacket</t>
        </is>
      </c>
      <c r="K5733" s="12" t="inlineStr">
        <is>
          <t>FO|12 SM|-</t>
        </is>
      </c>
      <c r="L5733" s="12" t="inlineStr">
        <is>
          <t>12 SM</t>
        </is>
      </c>
      <c r="M5733" s="12" t="inlineStr">
        <is>
          <t>-</t>
        </is>
      </c>
      <c r="N5733" s="12" t="n">
        <v>1</v>
      </c>
      <c r="O5733" s="12" t="n">
        <v>1</v>
      </c>
      <c r="P5733" s="12" t="n"/>
      <c r="Q5733" s="12" t="n"/>
      <c r="R5733" s="12" t="n"/>
      <c r="S5733" s="12" t="inlineStr">
        <is>
          <t>Duct bank</t>
        </is>
      </c>
      <c r="T5733" s="16" t="n">
        <v>3128</v>
      </c>
      <c r="U5733" s="16" t="n">
        <v>302</v>
      </c>
      <c r="V5733" s="16">
        <f>ROUNDUP((T5733+U5733+2*'Read Me'!$B$13)*(1+'Read Me'!$B$12),-1)</f>
        <v/>
      </c>
      <c r="W5733" s="16">
        <f>V5733*N5733*O5733</f>
        <v/>
      </c>
      <c r="X5733" s="12">
        <f>IF(LEFT(I5733,2)="MV",2*N5733*IF(L5733="1/C",O5733,1),0)</f>
        <v/>
      </c>
      <c r="Y5733" s="12">
        <f>IF(OR(LEFT(K5733,4)="LVAX",LEFT(K5733,6)="MV15AX",LEFT(K5733,4)="CTAX",LEFT(K5733,2)="W|"),2*N5733*O5733,0)</f>
        <v/>
      </c>
      <c r="Z5733" s="12" t="inlineStr"/>
      <c r="AA5733" s="12">
        <f>N5733*O5733</f>
        <v/>
      </c>
    </row>
    <row r="5734">
      <c r="A5734" s="12" t="inlineStr">
        <is>
          <t>K-F-0004</t>
        </is>
      </c>
      <c r="B5734" s="12" t="inlineStr">
        <is>
          <t>K</t>
        </is>
      </c>
      <c r="C5734" s="12" t="inlineStr">
        <is>
          <t>Fuel supply (adjacent market)</t>
        </is>
      </c>
      <c r="D5734" s="12" t="inlineStr">
        <is>
          <t>Plant network / DCS fibre</t>
        </is>
      </c>
      <c r="E5734" s="12" t="inlineStr">
        <is>
          <t>CR</t>
        </is>
      </c>
      <c r="F5734" s="12" t="inlineStr">
        <is>
          <t>Control / admin building (main control room)</t>
        </is>
      </c>
      <c r="G5734" s="12" t="inlineStr"/>
      <c r="H5734" s="12" t="inlineStr">
        <is>
          <t>M&amp;R 7: gas quality + measurement building</t>
        </is>
      </c>
      <c r="I5734" s="12" t="inlineStr">
        <is>
          <t>Fibre / data</t>
        </is>
      </c>
      <c r="J5734" s="12" t="inlineStr">
        <is>
          <t>Fibre optic, single-mode, 12-fibre, armored, orange jacket</t>
        </is>
      </c>
      <c r="K5734" s="12" t="inlineStr">
        <is>
          <t>FO|12 SM|-</t>
        </is>
      </c>
      <c r="L5734" s="12" t="inlineStr">
        <is>
          <t>12 SM</t>
        </is>
      </c>
      <c r="M5734" s="12" t="inlineStr">
        <is>
          <t>-</t>
        </is>
      </c>
      <c r="N5734" s="12" t="n">
        <v>1</v>
      </c>
      <c r="O5734" s="12" t="n">
        <v>1</v>
      </c>
      <c r="P5734" s="12" t="n"/>
      <c r="Q5734" s="12" t="n"/>
      <c r="R5734" s="12" t="n"/>
      <c r="S5734" s="12" t="inlineStr">
        <is>
          <t>Duct bank</t>
        </is>
      </c>
      <c r="T5734" s="16" t="n">
        <v>2978</v>
      </c>
      <c r="U5734" s="16" t="n">
        <v>284</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K-FA-0001</t>
        </is>
      </c>
      <c r="B5735" s="12" t="inlineStr">
        <is>
          <t>K</t>
        </is>
      </c>
      <c r="C5735" s="12" t="inlineStr">
        <is>
          <t>Fuel supply (adjacent market)</t>
        </is>
      </c>
      <c r="D5735" s="12" t="inlineStr">
        <is>
          <t>Fire alarm / F&amp;G loop (to the local FACP / F&amp;G node)</t>
        </is>
      </c>
      <c r="E5735" s="12" t="inlineStr"/>
      <c r="F5735" s="12" t="inlineStr">
        <is>
          <t>H2 20: 13.8 kV e-house</t>
        </is>
      </c>
      <c r="G5735" s="12" t="inlineStr"/>
      <c r="H5735" s="12" t="inlineStr">
        <is>
          <t>H2 20: 13.8 kV e-house</t>
        </is>
      </c>
      <c r="I5735" s="12" t="inlineStr">
        <is>
          <t>Fire alarm</t>
        </is>
      </c>
      <c r="J5735" s="12" t="inlineStr">
        <is>
          <t>Fire alarm FPLR 2/C #14 shielded, red jacket (NEC 760)</t>
        </is>
      </c>
      <c r="K5735" s="12" t="inlineStr">
        <is>
          <t>FA|2/C|14</t>
        </is>
      </c>
      <c r="L5735" s="12" t="inlineStr">
        <is>
          <t>2/C</t>
        </is>
      </c>
      <c r="M5735" s="12" t="inlineStr">
        <is>
          <t>14</t>
        </is>
      </c>
      <c r="N5735" s="12" t="n">
        <v>1</v>
      </c>
      <c r="O5735" s="12" t="n">
        <v>1</v>
      </c>
      <c r="P5735" s="12" t="n"/>
      <c r="Q5735" s="12" t="n"/>
      <c r="R5735" s="12" t="n"/>
      <c r="S5735" s="12" t="inlineStr">
        <is>
          <t>Tray</t>
        </is>
      </c>
      <c r="T5735" s="16" t="n">
        <v>0</v>
      </c>
      <c r="U5735" s="16" t="n">
        <v>32</v>
      </c>
      <c r="V5735" s="16">
        <f>ROUNDUP((T5735+U5735+2*'Read Me'!$B$13)*(1+'Read Me'!$B$12),-1)</f>
        <v/>
      </c>
      <c r="W5735" s="16">
        <f>V5735*N5735*O5735</f>
        <v/>
      </c>
      <c r="X5735" s="12">
        <f>IF(LEFT(I5735,2)="MV",2*N5735*IF(L5735="1/C",O5735,1),0)</f>
        <v/>
      </c>
      <c r="Y5735" s="12">
        <f>IF(OR(LEFT(K5735,4)="LVAX",LEFT(K5735,6)="MV15AX",LEFT(K5735,4)="CTAX",LEFT(K5735,2)="W|"),2*N5735*O5735,0)</f>
        <v/>
      </c>
      <c r="Z5735" s="12" t="inlineStr"/>
      <c r="AA5735" s="12">
        <f>N5735*O5735</f>
        <v/>
      </c>
    </row>
    <row r="5736">
      <c r="A5736" s="12" t="inlineStr">
        <is>
          <t>K-FA-0002</t>
        </is>
      </c>
      <c r="B5736" s="12" t="inlineStr">
        <is>
          <t>K</t>
        </is>
      </c>
      <c r="C5736" s="12" t="inlineStr">
        <is>
          <t>Fuel supply (adjacent market)</t>
        </is>
      </c>
      <c r="D5736" s="12" t="inlineStr">
        <is>
          <t>Fire alarm / F&amp;G loop (to the local FACP / F&amp;G node)</t>
        </is>
      </c>
      <c r="E5736" s="12" t="inlineStr"/>
      <c r="F5736" s="12" t="inlineStr">
        <is>
          <t>LNG 17: LNG e-house (13.8 kV / 480 V)</t>
        </is>
      </c>
      <c r="G5736" s="12" t="inlineStr"/>
      <c r="H5736" s="12" t="inlineStr">
        <is>
          <t>LNG 17: LNG e-house (13.8 kV / 480 V)</t>
        </is>
      </c>
      <c r="I5736" s="12" t="inlineStr">
        <is>
          <t>Fire alarm</t>
        </is>
      </c>
      <c r="J5736" s="12" t="inlineStr">
        <is>
          <t>Fire alarm FPLR 2/C #14 shielded, red jacket (NEC 760)</t>
        </is>
      </c>
      <c r="K5736" s="12" t="inlineStr">
        <is>
          <t>FA|2/C|14</t>
        </is>
      </c>
      <c r="L5736" s="12" t="inlineStr">
        <is>
          <t>2/C</t>
        </is>
      </c>
      <c r="M5736" s="12" t="inlineStr">
        <is>
          <t>14</t>
        </is>
      </c>
      <c r="N5736" s="12" t="n">
        <v>1</v>
      </c>
      <c r="O5736" s="12" t="n">
        <v>1</v>
      </c>
      <c r="P5736" s="12" t="n"/>
      <c r="Q5736" s="12" t="n"/>
      <c r="R5736" s="12" t="n"/>
      <c r="S5736" s="12" t="inlineStr">
        <is>
          <t>Tray</t>
        </is>
      </c>
      <c r="T5736" s="16" t="n">
        <v>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K-FA-0003</t>
        </is>
      </c>
      <c r="B5737" s="12" t="inlineStr">
        <is>
          <t>K</t>
        </is>
      </c>
      <c r="C5737" s="12" t="inlineStr">
        <is>
          <t>Fuel supply (adjacent market)</t>
        </is>
      </c>
      <c r="D5737" s="12" t="inlineStr">
        <is>
          <t>Fire alarm / F&amp;G loop (to the local FACP / F&amp;G node)</t>
        </is>
      </c>
      <c r="E5737" s="12" t="inlineStr"/>
      <c r="F5737" s="12" t="inlineStr">
        <is>
          <t>LNG 17: LNG e-house (13.8 kV / 480 V)</t>
        </is>
      </c>
      <c r="G5737" s="12" t="inlineStr"/>
      <c r="H5737" s="12" t="inlineStr">
        <is>
          <t>M&amp;R 6: regulation / flow control building</t>
        </is>
      </c>
      <c r="I5737" s="12" t="inlineStr">
        <is>
          <t>Fire alarm</t>
        </is>
      </c>
      <c r="J5737" s="12" t="inlineStr">
        <is>
          <t>Fire alarm FPLR 2/C #14 shielded, red jacket (NEC 760)</t>
        </is>
      </c>
      <c r="K5737" s="12" t="inlineStr">
        <is>
          <t>FA|2/C|14</t>
        </is>
      </c>
      <c r="L5737" s="12" t="inlineStr">
        <is>
          <t>2/C</t>
        </is>
      </c>
      <c r="M5737" s="12" t="inlineStr">
        <is>
          <t>14</t>
        </is>
      </c>
      <c r="N5737" s="12" t="n">
        <v>1</v>
      </c>
      <c r="O5737" s="12" t="n">
        <v>1</v>
      </c>
      <c r="P5737" s="12" t="n"/>
      <c r="Q5737" s="12" t="n"/>
      <c r="R5737" s="12" t="n"/>
      <c r="S5737" s="12" t="inlineStr">
        <is>
          <t>Duct bank</t>
        </is>
      </c>
      <c r="T5737" s="16" t="n">
        <v>470</v>
      </c>
      <c r="U5737" s="16" t="n">
        <v>70</v>
      </c>
      <c r="V5737" s="16">
        <f>ROUNDUP((T5737+U5737+2*'Read Me'!$B$13)*(1+'Read Me'!$B$12),-1)</f>
        <v/>
      </c>
      <c r="W5737" s="16">
        <f>V5737*N5737*O5737</f>
        <v/>
      </c>
      <c r="X5737" s="12">
        <f>IF(LEFT(I5737,2)="MV",2*N5737*IF(L5737="1/C",O5737,1),0)</f>
        <v/>
      </c>
      <c r="Y5737" s="12">
        <f>IF(OR(LEFT(K5737,4)="LVAX",LEFT(K5737,6)="MV15AX",LEFT(K5737,4)="CTAX",LEFT(K5737,2)="W|"),2*N5737*O5737,0)</f>
        <v/>
      </c>
      <c r="Z5737" s="12" t="inlineStr"/>
      <c r="AA5737" s="12">
        <f>N5737*O5737</f>
        <v/>
      </c>
    </row>
    <row r="5738">
      <c r="A5738" s="12" t="inlineStr">
        <is>
          <t>K-FA-0004</t>
        </is>
      </c>
      <c r="B5738" s="12" t="inlineStr">
        <is>
          <t>K</t>
        </is>
      </c>
      <c r="C5738" s="12" t="inlineStr">
        <is>
          <t>Fuel supply (adjacent market)</t>
        </is>
      </c>
      <c r="D5738" s="12" t="inlineStr">
        <is>
          <t>Fire alarm / F&amp;G loop (to the local FACP / F&amp;G node)</t>
        </is>
      </c>
      <c r="E5738" s="12" t="inlineStr"/>
      <c r="F5738" s="12" t="inlineStr">
        <is>
          <t>LNG 17: LNG e-house (13.8 kV / 480 V)</t>
        </is>
      </c>
      <c r="G5738" s="12" t="inlineStr"/>
      <c r="H5738" s="12" t="inlineStr">
        <is>
          <t>M&amp;R 9: service panel + UPS, SCADA RTU, CP</t>
        </is>
      </c>
      <c r="I5738" s="12" t="inlineStr">
        <is>
          <t>Fire alarm</t>
        </is>
      </c>
      <c r="J5738" s="12" t="inlineStr">
        <is>
          <t>Fire alarm FPLR 2/C #14 shielded, red jacket (NEC 760)</t>
        </is>
      </c>
      <c r="K5738" s="12" t="inlineStr">
        <is>
          <t>FA|2/C|14</t>
        </is>
      </c>
      <c r="L5738" s="12" t="inlineStr">
        <is>
          <t>2/C</t>
        </is>
      </c>
      <c r="M5738" s="12" t="inlineStr">
        <is>
          <t>14</t>
        </is>
      </c>
      <c r="N5738" s="12" t="n">
        <v>1</v>
      </c>
      <c r="O5738" s="12" t="n">
        <v>1</v>
      </c>
      <c r="P5738" s="12" t="n"/>
      <c r="Q5738" s="12" t="n"/>
      <c r="R5738" s="12" t="n"/>
      <c r="S5738" s="12" t="inlineStr">
        <is>
          <t>Duct bank</t>
        </is>
      </c>
      <c r="T5738" s="16" t="n">
        <v>466</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K-FA-0005</t>
        </is>
      </c>
      <c r="B5739" s="12" t="inlineStr">
        <is>
          <t>K</t>
        </is>
      </c>
      <c r="C5739" s="12" t="inlineStr">
        <is>
          <t>Fuel supply (adjacent market)</t>
        </is>
      </c>
      <c r="D5739" s="12" t="inlineStr">
        <is>
          <t>Fire alarm / F&amp;G loop (to the local FACP / F&amp;G node)</t>
        </is>
      </c>
      <c r="E5739" s="12" t="inlineStr"/>
      <c r="F5739" s="12" t="inlineStr">
        <is>
          <t>LNG 17: LNG e-house (13.8 kV / 480 V)</t>
        </is>
      </c>
      <c r="G5739" s="12" t="inlineStr"/>
      <c r="H5739" s="12" t="inlineStr">
        <is>
          <t>M&amp;R SCADA antenna mast base (as drawn)</t>
        </is>
      </c>
      <c r="I5739" s="12" t="inlineStr">
        <is>
          <t>Fire alarm</t>
        </is>
      </c>
      <c r="J5739" s="12" t="inlineStr">
        <is>
          <t>Fire alarm FPLR 2/C #14 shielded, red jacket (NEC 760)</t>
        </is>
      </c>
      <c r="K5739" s="12" t="inlineStr">
        <is>
          <t>FA|2/C|14</t>
        </is>
      </c>
      <c r="L5739" s="12" t="inlineStr">
        <is>
          <t>2/C</t>
        </is>
      </c>
      <c r="M5739" s="12" t="inlineStr">
        <is>
          <t>14</t>
        </is>
      </c>
      <c r="N5739" s="12" t="n">
        <v>1</v>
      </c>
      <c r="O5739" s="12" t="n">
        <v>1</v>
      </c>
      <c r="P5739" s="12" t="n"/>
      <c r="Q5739" s="12" t="n"/>
      <c r="R5739" s="12" t="n"/>
      <c r="S5739" s="12" t="inlineStr">
        <is>
          <t>Duct bank</t>
        </is>
      </c>
      <c r="T5739" s="16" t="n">
        <v>433</v>
      </c>
      <c r="U5739" s="16" t="n">
        <v>32</v>
      </c>
      <c r="V5739" s="16">
        <f>ROUNDUP((T5739+U5739+2*'Read Me'!$B$13)*(1+'Read Me'!$B$12),-1)</f>
        <v/>
      </c>
      <c r="W5739" s="16">
        <f>V5739*N5739*O5739</f>
        <v/>
      </c>
      <c r="X5739" s="12">
        <f>IF(LEFT(I5739,2)="MV",2*N5739*IF(L5739="1/C",O5739,1),0)</f>
        <v/>
      </c>
      <c r="Y5739" s="12">
        <f>IF(OR(LEFT(K5739,4)="LVAX",LEFT(K5739,6)="MV15AX",LEFT(K5739,4)="CTAX",LEFT(K5739,2)="W|"),2*N5739*O5739,0)</f>
        <v/>
      </c>
      <c r="Z5739" s="12" t="inlineStr"/>
      <c r="AA5739" s="12">
        <f>N5739*O5739</f>
        <v/>
      </c>
    </row>
    <row r="5740">
      <c r="A5740" s="12" t="inlineStr">
        <is>
          <t>K-I-0001</t>
        </is>
      </c>
      <c r="B5740" s="12" t="inlineStr">
        <is>
          <t>K</t>
        </is>
      </c>
      <c r="C5740" s="12" t="inlineStr">
        <is>
          <t>Fuel supply (adjacent market)</t>
        </is>
      </c>
      <c r="D5740" s="12" t="inlineStr">
        <is>
          <t>Analog instrument to JB JB-T-H2-AI01: 12 x 1 pr (field cables)</t>
        </is>
      </c>
      <c r="E5740" s="12" t="inlineStr">
        <is>
          <t>T-H2</t>
        </is>
      </c>
      <c r="F5740" s="12" t="inlineStr">
        <is>
          <t>H2 19: T-H2 230/13.8 kV (about 40 MVA)</t>
        </is>
      </c>
      <c r="G5740" s="12" t="inlineStr">
        <is>
          <t>JB-T-H2-AI01</t>
        </is>
      </c>
      <c r="H5740" s="12" t="inlineStr">
        <is>
          <t>H2 19: T-H2 230/13.8 kV (about 40 MVA)</t>
        </is>
      </c>
      <c r="I5740" s="12" t="inlineStr">
        <is>
          <t>Instrumentation</t>
        </is>
      </c>
      <c r="J5740" s="12" t="inlineStr">
        <is>
          <t>Instrumentation ITC / PLTC, IS, #18 shielded pairs, blue jacket</t>
        </is>
      </c>
      <c r="K5740" s="12" t="inlineStr">
        <is>
          <t>ITC|1 pr|16</t>
        </is>
      </c>
      <c r="L5740" s="12" t="inlineStr">
        <is>
          <t>1 pr</t>
        </is>
      </c>
      <c r="M5740" s="12" t="inlineStr">
        <is>
          <t>16</t>
        </is>
      </c>
      <c r="N5740" s="12" t="n">
        <v>12</v>
      </c>
      <c r="O5740" s="12" t="n">
        <v>1</v>
      </c>
      <c r="P5740" s="12" t="n"/>
      <c r="Q5740" s="12" t="n"/>
      <c r="R5740" s="12" t="n"/>
      <c r="S5740" s="12" t="inlineStr">
        <is>
          <t>Tray / conduit</t>
        </is>
      </c>
      <c r="T5740" s="16" t="n">
        <v>80</v>
      </c>
      <c r="U5740" s="16" t="n">
        <v>10</v>
      </c>
      <c r="V5740" s="16">
        <f>ROUNDUP((T5740+U5740+2*'Read Me'!$B$13)*(1+'Read Me'!$B$12),-1)</f>
        <v/>
      </c>
      <c r="W5740" s="16">
        <f>V5740*N5740*O5740</f>
        <v/>
      </c>
      <c r="X5740" s="12">
        <f>IF(LEFT(I5740,2)="MV",2*N5740*IF(L5740="1/C",O5740,1),0)</f>
        <v/>
      </c>
      <c r="Y5740" s="12">
        <f>IF(OR(LEFT(K5740,4)="LVAX",LEFT(K5740,6)="MV15AX",LEFT(K5740,4)="CTAX",LEFT(K5740,2)="W|"),2*N5740*O5740,0)</f>
        <v/>
      </c>
      <c r="Z5740" s="12" t="inlineStr">
        <is>
          <t>device-to-JB field wiring, one cable per device</t>
        </is>
      </c>
      <c r="AA5740" s="12">
        <f>N5740*O5740</f>
        <v/>
      </c>
    </row>
    <row r="5741">
      <c r="A5741" s="12" t="inlineStr">
        <is>
          <t>K-I-0002</t>
        </is>
      </c>
      <c r="B5741" s="12" t="inlineStr">
        <is>
          <t>K</t>
        </is>
      </c>
      <c r="C5741" s="12" t="inlineStr">
        <is>
          <t>Fuel supply (adjacent market)</t>
        </is>
      </c>
      <c r="D5741" s="12" t="inlineStr">
        <is>
          <t>Home run JB-T-H2-AI01 to the control / marshalling room</t>
        </is>
      </c>
      <c r="E5741" s="12" t="inlineStr"/>
      <c r="F5741" s="12" t="inlineStr">
        <is>
          <t>H2 20: 13.8 kV e-house</t>
        </is>
      </c>
      <c r="G5741" s="12" t="inlineStr">
        <is>
          <t>JB-T-H2-AI01</t>
        </is>
      </c>
      <c r="H5741" s="12" t="inlineStr">
        <is>
          <t>H2 19: T-H2 230/13.8 kV (about 40 MVA)</t>
        </is>
      </c>
      <c r="I5741" s="12" t="inlineStr">
        <is>
          <t>Instrumentation</t>
        </is>
      </c>
      <c r="J5741" s="12" t="inlineStr">
        <is>
          <t>Instrumentation ITC / PLTC, IS, #18 shielded pairs, blue jacket</t>
        </is>
      </c>
      <c r="K5741" s="12" t="inlineStr">
        <is>
          <t>ITC|24 pr|18</t>
        </is>
      </c>
      <c r="L5741" s="12" t="inlineStr">
        <is>
          <t>24 pr</t>
        </is>
      </c>
      <c r="M5741" s="12" t="inlineStr">
        <is>
          <t>18</t>
        </is>
      </c>
      <c r="N5741" s="12" t="n">
        <v>1</v>
      </c>
      <c r="O5741" s="12" t="n">
        <v>1</v>
      </c>
      <c r="P5741" s="12" t="n"/>
      <c r="Q5741" s="12" t="n"/>
      <c r="R5741" s="12" t="n"/>
      <c r="S5741" s="12" t="inlineStr">
        <is>
          <t>Duct bank</t>
        </is>
      </c>
      <c r="T5741" s="16" t="n">
        <v>35</v>
      </c>
      <c r="U5741" s="16" t="n">
        <v>32</v>
      </c>
      <c r="V5741" s="16">
        <f>ROUNDUP((T5741+U5741+2*'Read Me'!$B$13)*(1+'Read Me'!$B$12),-1)</f>
        <v/>
      </c>
      <c r="W5741" s="16">
        <f>V5741*N5741*O5741</f>
        <v/>
      </c>
      <c r="X5741" s="12">
        <f>IF(LEFT(I5741,2)="MV",2*N5741*IF(L5741="1/C",O5741,1),0)</f>
        <v/>
      </c>
      <c r="Y5741" s="12">
        <f>IF(OR(LEFT(K5741,4)="LVAX",LEFT(K5741,6)="MV15AX",LEFT(K5741,4)="CTAX",LEFT(K5741,2)="W|"),2*N5741*O5741,0)</f>
        <v/>
      </c>
      <c r="Z5741" s="12" t="inlineStr"/>
      <c r="AA5741" s="12">
        <f>N5741*O5741</f>
        <v/>
      </c>
    </row>
    <row r="5742">
      <c r="A5742" s="12" t="inlineStr">
        <is>
          <t>K-I-0003</t>
        </is>
      </c>
      <c r="B5742" s="12" t="inlineStr">
        <is>
          <t>K</t>
        </is>
      </c>
      <c r="C5742" s="12" t="inlineStr">
        <is>
          <t>Fuel supply (adjacent market)</t>
        </is>
      </c>
      <c r="D5742" s="12" t="inlineStr">
        <is>
          <t>Discrete device to JB JB-T-H2-DI01: 12 x 1 pr (field cables)</t>
        </is>
      </c>
      <c r="E5742" s="12" t="inlineStr">
        <is>
          <t>T-H2</t>
        </is>
      </c>
      <c r="F5742" s="12" t="inlineStr">
        <is>
          <t>H2 19: T-H2 230/13.8 kV (about 40 MVA)</t>
        </is>
      </c>
      <c r="G5742" s="12" t="inlineStr">
        <is>
          <t>JB-T-H2-DI01</t>
        </is>
      </c>
      <c r="H5742" s="12" t="inlineStr">
        <is>
          <t>H2 19: T-H2 230/13.8 kV (about 40 MVA)</t>
        </is>
      </c>
      <c r="I5742" s="12" t="inlineStr">
        <is>
          <t>Instrumentation</t>
        </is>
      </c>
      <c r="J5742" s="12" t="inlineStr">
        <is>
          <t>Instrumentation ITC / PLTC, IS, #18 shielded pairs, blue jacket</t>
        </is>
      </c>
      <c r="K5742" s="12" t="inlineStr">
        <is>
          <t>ITC|1 pr|16</t>
        </is>
      </c>
      <c r="L5742" s="12" t="inlineStr">
        <is>
          <t>1 pr</t>
        </is>
      </c>
      <c r="M5742" s="12" t="inlineStr">
        <is>
          <t>16</t>
        </is>
      </c>
      <c r="N5742" s="12" t="n">
        <v>12</v>
      </c>
      <c r="O5742" s="12" t="n">
        <v>1</v>
      </c>
      <c r="P5742" s="12" t="n"/>
      <c r="Q5742" s="12" t="n"/>
      <c r="R5742" s="12" t="n"/>
      <c r="S5742" s="12" t="inlineStr">
        <is>
          <t>Tray / conduit</t>
        </is>
      </c>
      <c r="T5742" s="16" t="n">
        <v>80</v>
      </c>
      <c r="U5742" s="16" t="n">
        <v>10</v>
      </c>
      <c r="V5742" s="16">
        <f>ROUNDUP((T5742+U5742+2*'Read Me'!$B$13)*(1+'Read Me'!$B$12),-1)</f>
        <v/>
      </c>
      <c r="W5742" s="16">
        <f>V5742*N5742*O5742</f>
        <v/>
      </c>
      <c r="X5742" s="12">
        <f>IF(LEFT(I5742,2)="MV",2*N5742*IF(L5742="1/C",O5742,1),0)</f>
        <v/>
      </c>
      <c r="Y5742" s="12">
        <f>IF(OR(LEFT(K5742,4)="LVAX",LEFT(K5742,6)="MV15AX",LEFT(K5742,4)="CTAX",LEFT(K5742,2)="W|"),2*N5742*O5742,0)</f>
        <v/>
      </c>
      <c r="Z5742" s="12" t="inlineStr">
        <is>
          <t>device-to-JB field wiring, one cable per device</t>
        </is>
      </c>
      <c r="AA5742" s="12">
        <f>N5742*O5742</f>
        <v/>
      </c>
    </row>
    <row r="5743">
      <c r="A5743" s="12" t="inlineStr">
        <is>
          <t>K-I-0004</t>
        </is>
      </c>
      <c r="B5743" s="12" t="inlineStr">
        <is>
          <t>K</t>
        </is>
      </c>
      <c r="C5743" s="12" t="inlineStr">
        <is>
          <t>Fuel supply (adjacent market)</t>
        </is>
      </c>
      <c r="D5743" s="12" t="inlineStr">
        <is>
          <t>Home run JB-T-H2-DI01 to the control / marshalling room</t>
        </is>
      </c>
      <c r="E5743" s="12" t="inlineStr"/>
      <c r="F5743" s="12" t="inlineStr">
        <is>
          <t>H2 20: 13.8 kV e-house</t>
        </is>
      </c>
      <c r="G5743" s="12" t="inlineStr">
        <is>
          <t>JB-T-H2-DI01</t>
        </is>
      </c>
      <c r="H5743" s="12" t="inlineStr">
        <is>
          <t>H2 19: T-H2 230/13.8 kV (about 40 MVA)</t>
        </is>
      </c>
      <c r="I5743" s="12" t="inlineStr">
        <is>
          <t>Instrumentation</t>
        </is>
      </c>
      <c r="J5743" s="12" t="inlineStr">
        <is>
          <t>Instrumentation ITC / PLTC, IS, #18 shielded pairs, blue jacket</t>
        </is>
      </c>
      <c r="K5743" s="12" t="inlineStr">
        <is>
          <t>ITC|24 pr|18</t>
        </is>
      </c>
      <c r="L5743" s="12" t="inlineStr">
        <is>
          <t>24 pr</t>
        </is>
      </c>
      <c r="M5743" s="12" t="inlineStr">
        <is>
          <t>18</t>
        </is>
      </c>
      <c r="N5743" s="12" t="n">
        <v>1</v>
      </c>
      <c r="O5743" s="12" t="n">
        <v>1</v>
      </c>
      <c r="P5743" s="12" t="n"/>
      <c r="Q5743" s="12" t="n"/>
      <c r="R5743" s="12" t="n"/>
      <c r="S5743" s="12" t="inlineStr">
        <is>
          <t>Duct bank</t>
        </is>
      </c>
      <c r="T5743" s="16" t="n">
        <v>35</v>
      </c>
      <c r="U5743" s="16" t="n">
        <v>32</v>
      </c>
      <c r="V5743" s="16">
        <f>ROUNDUP((T5743+U5743+2*'Read Me'!$B$13)*(1+'Read Me'!$B$12),-1)</f>
        <v/>
      </c>
      <c r="W5743" s="16">
        <f>V5743*N5743*O5743</f>
        <v/>
      </c>
      <c r="X5743" s="12">
        <f>IF(LEFT(I5743,2)="MV",2*N5743*IF(L5743="1/C",O5743,1),0)</f>
        <v/>
      </c>
      <c r="Y5743" s="12">
        <f>IF(OR(LEFT(K5743,4)="LVAX",LEFT(K5743,6)="MV15AX",LEFT(K5743,4)="CTAX",LEFT(K5743,2)="W|"),2*N5743*O5743,0)</f>
        <v/>
      </c>
      <c r="Z5743" s="12" t="inlineStr"/>
      <c r="AA5743" s="12">
        <f>N5743*O5743</f>
        <v/>
      </c>
    </row>
    <row r="5744">
      <c r="A5744" s="12" t="inlineStr">
        <is>
          <t>K-I-0005</t>
        </is>
      </c>
      <c r="B5744" s="12" t="inlineStr">
        <is>
          <t>K</t>
        </is>
      </c>
      <c r="C5744" s="12" t="inlineStr">
        <is>
          <t>Fuel supply (adjacent market)</t>
        </is>
      </c>
      <c r="D5744" s="12" t="inlineStr">
        <is>
          <t>Analog instrument to JB JB-H2 20: 13.8 kV e-h-AI01: 12 x 1 pr (field cables)</t>
        </is>
      </c>
      <c r="E5744" s="12" t="inlineStr"/>
      <c r="F5744" s="12" t="inlineStr">
        <is>
          <t>H2 20: 13.8 kV e-house</t>
        </is>
      </c>
      <c r="G5744" s="12" t="inlineStr">
        <is>
          <t>JB-H2 20: 13.8 kV e-h-AI01</t>
        </is>
      </c>
      <c r="H5744" s="12" t="inlineStr">
        <is>
          <t>H2 20: 13.8 kV e-house</t>
        </is>
      </c>
      <c r="I5744" s="12" t="inlineStr">
        <is>
          <t>Instrumentation</t>
        </is>
      </c>
      <c r="J5744" s="12" t="inlineStr">
        <is>
          <t>Instrumentation ITC / PLTC, IS, #18 shielded pairs, blue jacket</t>
        </is>
      </c>
      <c r="K5744" s="12" t="inlineStr">
        <is>
          <t>ITC|1 pr|16</t>
        </is>
      </c>
      <c r="L5744" s="12" t="inlineStr">
        <is>
          <t>1 pr</t>
        </is>
      </c>
      <c r="M5744" s="12" t="inlineStr">
        <is>
          <t>16</t>
        </is>
      </c>
      <c r="N5744" s="12" t="n">
        <v>12</v>
      </c>
      <c r="O5744" s="12" t="n">
        <v>1</v>
      </c>
      <c r="P5744" s="12" t="n"/>
      <c r="Q5744" s="12" t="n"/>
      <c r="R5744" s="12" t="n"/>
      <c r="S5744" s="12" t="inlineStr">
        <is>
          <t>Tray / conduit</t>
        </is>
      </c>
      <c r="T5744" s="16" t="n">
        <v>69</v>
      </c>
      <c r="U5744" s="16" t="n">
        <v>10</v>
      </c>
      <c r="V5744" s="16">
        <f>ROUNDUP((T5744+U5744+2*'Read Me'!$B$13)*(1+'Read Me'!$B$12),-1)</f>
        <v/>
      </c>
      <c r="W5744" s="16">
        <f>V5744*N5744*O5744</f>
        <v/>
      </c>
      <c r="X5744" s="12">
        <f>IF(LEFT(I5744,2)="MV",2*N5744*IF(L5744="1/C",O5744,1),0)</f>
        <v/>
      </c>
      <c r="Y5744" s="12">
        <f>IF(OR(LEFT(K5744,4)="LVAX",LEFT(K5744,6)="MV15AX",LEFT(K5744,4)="CTAX",LEFT(K5744,2)="W|"),2*N5744*O5744,0)</f>
        <v/>
      </c>
      <c r="Z5744" s="12" t="inlineStr">
        <is>
          <t>device-to-JB field wiring, one cable per device</t>
        </is>
      </c>
      <c r="AA5744" s="12">
        <f>N5744*O5744</f>
        <v/>
      </c>
    </row>
    <row r="5745">
      <c r="A5745" s="12" t="inlineStr">
        <is>
          <t>K-I-0006</t>
        </is>
      </c>
      <c r="B5745" s="12" t="inlineStr">
        <is>
          <t>K</t>
        </is>
      </c>
      <c r="C5745" s="12" t="inlineStr">
        <is>
          <t>Fuel supply (adjacent market)</t>
        </is>
      </c>
      <c r="D5745" s="12" t="inlineStr">
        <is>
          <t>Home run JB-H2 20: 13.8 kV e-h-AI01 to the control / marshalling room</t>
        </is>
      </c>
      <c r="E5745" s="12" t="inlineStr"/>
      <c r="F5745" s="12" t="inlineStr">
        <is>
          <t>H2 20: 13.8 kV e-house</t>
        </is>
      </c>
      <c r="G5745" s="12" t="inlineStr">
        <is>
          <t>JB-H2 20: 13.8 kV e-h-AI01</t>
        </is>
      </c>
      <c r="H5745" s="12" t="inlineStr">
        <is>
          <t>H2 20: 13.8 kV e-house</t>
        </is>
      </c>
      <c r="I5745" s="12" t="inlineStr">
        <is>
          <t>Instrumentation</t>
        </is>
      </c>
      <c r="J5745" s="12" t="inlineStr">
        <is>
          <t>Instrumentation ITC / PLTC, IS, #18 shielded pairs, blue jacket</t>
        </is>
      </c>
      <c r="K5745" s="12" t="inlineStr">
        <is>
          <t>ITC|24 pr|18</t>
        </is>
      </c>
      <c r="L5745" s="12" t="inlineStr">
        <is>
          <t>24 pr</t>
        </is>
      </c>
      <c r="M5745" s="12" t="inlineStr">
        <is>
          <t>18</t>
        </is>
      </c>
      <c r="N5745" s="12" t="n">
        <v>1</v>
      </c>
      <c r="O5745" s="12" t="n">
        <v>1</v>
      </c>
      <c r="P5745" s="12" t="n"/>
      <c r="Q5745" s="12" t="n"/>
      <c r="R5745" s="12" t="n"/>
      <c r="S5745" s="12" t="inlineStr">
        <is>
          <t>Tray</t>
        </is>
      </c>
      <c r="T5745" s="16" t="n">
        <v>0</v>
      </c>
      <c r="U5745" s="16" t="n">
        <v>32</v>
      </c>
      <c r="V5745" s="16">
        <f>ROUNDUP((T5745+U5745+2*'Read Me'!$B$13)*(1+'Read Me'!$B$12),-1)</f>
        <v/>
      </c>
      <c r="W5745" s="16">
        <f>V5745*N5745*O5745</f>
        <v/>
      </c>
      <c r="X5745" s="12">
        <f>IF(LEFT(I5745,2)="MV",2*N5745*IF(L5745="1/C",O5745,1),0)</f>
        <v/>
      </c>
      <c r="Y5745" s="12">
        <f>IF(OR(LEFT(K5745,4)="LVAX",LEFT(K5745,6)="MV15AX",LEFT(K5745,4)="CTAX",LEFT(K5745,2)="W|"),2*N5745*O5745,0)</f>
        <v/>
      </c>
      <c r="Z5745" s="12" t="inlineStr"/>
      <c r="AA5745" s="12">
        <f>N5745*O5745</f>
        <v/>
      </c>
    </row>
    <row r="5746">
      <c r="A5746" s="12" t="inlineStr">
        <is>
          <t>K-I-0007</t>
        </is>
      </c>
      <c r="B5746" s="12" t="inlineStr">
        <is>
          <t>K</t>
        </is>
      </c>
      <c r="C5746" s="12" t="inlineStr">
        <is>
          <t>Fuel supply (adjacent market)</t>
        </is>
      </c>
      <c r="D5746" s="12" t="inlineStr">
        <is>
          <t>Discrete device to JB JB-H2 20: 13.8 kV e-h-DI01: 12 x 1 pr (field cables)</t>
        </is>
      </c>
      <c r="E5746" s="12" t="inlineStr"/>
      <c r="F5746" s="12" t="inlineStr">
        <is>
          <t>H2 20: 13.8 kV e-house</t>
        </is>
      </c>
      <c r="G5746" s="12" t="inlineStr">
        <is>
          <t>JB-H2 20: 13.8 kV e-h-DI01</t>
        </is>
      </c>
      <c r="H5746" s="12" t="inlineStr">
        <is>
          <t>H2 20: 13.8 kV e-house</t>
        </is>
      </c>
      <c r="I5746" s="12" t="inlineStr">
        <is>
          <t>Instrumentation</t>
        </is>
      </c>
      <c r="J5746" s="12" t="inlineStr">
        <is>
          <t>Instrumentation ITC / PLTC, IS, #18 shielded pairs, blue jacket</t>
        </is>
      </c>
      <c r="K5746" s="12" t="inlineStr">
        <is>
          <t>ITC|1 pr|16</t>
        </is>
      </c>
      <c r="L5746" s="12" t="inlineStr">
        <is>
          <t>1 pr</t>
        </is>
      </c>
      <c r="M5746" s="12" t="inlineStr">
        <is>
          <t>16</t>
        </is>
      </c>
      <c r="N5746" s="12" t="n">
        <v>12</v>
      </c>
      <c r="O5746" s="12" t="n">
        <v>1</v>
      </c>
      <c r="P5746" s="12" t="n"/>
      <c r="Q5746" s="12" t="n"/>
      <c r="R5746" s="12" t="n"/>
      <c r="S5746" s="12" t="inlineStr">
        <is>
          <t>Tray / conduit</t>
        </is>
      </c>
      <c r="T5746" s="16" t="n">
        <v>69</v>
      </c>
      <c r="U5746" s="16" t="n">
        <v>10</v>
      </c>
      <c r="V5746" s="16">
        <f>ROUNDUP((T5746+U5746+2*'Read Me'!$B$13)*(1+'Read Me'!$B$12),-1)</f>
        <v/>
      </c>
      <c r="W5746" s="16">
        <f>V5746*N5746*O5746</f>
        <v/>
      </c>
      <c r="X5746" s="12">
        <f>IF(LEFT(I5746,2)="MV",2*N5746*IF(L5746="1/C",O5746,1),0)</f>
        <v/>
      </c>
      <c r="Y5746" s="12">
        <f>IF(OR(LEFT(K5746,4)="LVAX",LEFT(K5746,6)="MV15AX",LEFT(K5746,4)="CTAX",LEFT(K5746,2)="W|"),2*N5746*O5746,0)</f>
        <v/>
      </c>
      <c r="Z5746" s="12" t="inlineStr">
        <is>
          <t>device-to-JB field wiring, one cable per device</t>
        </is>
      </c>
      <c r="AA5746" s="12">
        <f>N5746*O5746</f>
        <v/>
      </c>
    </row>
    <row r="5747">
      <c r="A5747" s="12" t="inlineStr">
        <is>
          <t>K-I-0008</t>
        </is>
      </c>
      <c r="B5747" s="12" t="inlineStr">
        <is>
          <t>K</t>
        </is>
      </c>
      <c r="C5747" s="12" t="inlineStr">
        <is>
          <t>Fuel supply (adjacent market)</t>
        </is>
      </c>
      <c r="D5747" s="12" t="inlineStr">
        <is>
          <t>Home run JB-H2 20: 13.8 kV e-h-DI01 to the control / marshalling room</t>
        </is>
      </c>
      <c r="E5747" s="12" t="inlineStr"/>
      <c r="F5747" s="12" t="inlineStr">
        <is>
          <t>H2 20: 13.8 kV e-house</t>
        </is>
      </c>
      <c r="G5747" s="12" t="inlineStr">
        <is>
          <t>JB-H2 20: 13.8 kV e-h-DI01</t>
        </is>
      </c>
      <c r="H5747" s="12" t="inlineStr">
        <is>
          <t>H2 20: 13.8 kV e-house</t>
        </is>
      </c>
      <c r="I5747" s="12" t="inlineStr">
        <is>
          <t>Instrumentation</t>
        </is>
      </c>
      <c r="J5747" s="12" t="inlineStr">
        <is>
          <t>Instrumentation ITC / PLTC, IS, #18 shielded pairs, blue jacket</t>
        </is>
      </c>
      <c r="K5747" s="12" t="inlineStr">
        <is>
          <t>ITC|24 pr|18</t>
        </is>
      </c>
      <c r="L5747" s="12" t="inlineStr">
        <is>
          <t>24 pr</t>
        </is>
      </c>
      <c r="M5747" s="12" t="inlineStr">
        <is>
          <t>18</t>
        </is>
      </c>
      <c r="N5747" s="12" t="n">
        <v>1</v>
      </c>
      <c r="O5747" s="12" t="n">
        <v>1</v>
      </c>
      <c r="P5747" s="12" t="n"/>
      <c r="Q5747" s="12" t="n"/>
      <c r="R5747" s="12" t="n"/>
      <c r="S5747" s="12" t="inlineStr">
        <is>
          <t>Tray</t>
        </is>
      </c>
      <c r="T5747" s="16" t="n">
        <v>0</v>
      </c>
      <c r="U5747" s="16" t="n">
        <v>32</v>
      </c>
      <c r="V5747" s="16">
        <f>ROUNDUP((T5747+U5747+2*'Read Me'!$B$13)*(1+'Read Me'!$B$12),-1)</f>
        <v/>
      </c>
      <c r="W5747" s="16">
        <f>V5747*N5747*O5747</f>
        <v/>
      </c>
      <c r="X5747" s="12">
        <f>IF(LEFT(I5747,2)="MV",2*N5747*IF(L5747="1/C",O5747,1),0)</f>
        <v/>
      </c>
      <c r="Y5747" s="12">
        <f>IF(OR(LEFT(K5747,4)="LVAX",LEFT(K5747,6)="MV15AX",LEFT(K5747,4)="CTAX",LEFT(K5747,2)="W|"),2*N5747*O5747,0)</f>
        <v/>
      </c>
      <c r="Z5747" s="12" t="inlineStr"/>
      <c r="AA5747" s="12">
        <f>N5747*O5747</f>
        <v/>
      </c>
    </row>
    <row r="5748">
      <c r="A5748" s="12" t="inlineStr">
        <is>
          <t>K-I-0009</t>
        </is>
      </c>
      <c r="B5748" s="12" t="inlineStr">
        <is>
          <t>K</t>
        </is>
      </c>
      <c r="C5748" s="12" t="inlineStr">
        <is>
          <t>Fuel supply (adjacent market)</t>
        </is>
      </c>
      <c r="D5748" s="12" t="inlineStr">
        <is>
          <t>Analog instrument to JB JB-H2 21: rectifier t-AI01: 12 x 1 pr (field cables)</t>
        </is>
      </c>
      <c r="E5748" s="12" t="inlineStr"/>
      <c r="F5748" s="12" t="inlineStr">
        <is>
          <t>H2 21: rectifier transformer 1 (7 MVA)</t>
        </is>
      </c>
      <c r="G5748" s="12" t="inlineStr">
        <is>
          <t>JB-H2 21: rectifier t-AI01</t>
        </is>
      </c>
      <c r="H5748" s="12" t="inlineStr">
        <is>
          <t>H2 21: rectifier transformer 1 (7 MVA)</t>
        </is>
      </c>
      <c r="I5748" s="12" t="inlineStr">
        <is>
          <t>Instrumentation</t>
        </is>
      </c>
      <c r="J5748" s="12" t="inlineStr">
        <is>
          <t>Instrumentation ITC / PLTC, IS, #18 shielded pairs, blue jacket</t>
        </is>
      </c>
      <c r="K5748" s="12" t="inlineStr">
        <is>
          <t>ITC|1 pr|16</t>
        </is>
      </c>
      <c r="L5748" s="12" t="inlineStr">
        <is>
          <t>1 pr</t>
        </is>
      </c>
      <c r="M5748" s="12" t="inlineStr">
        <is>
          <t>16</t>
        </is>
      </c>
      <c r="N5748" s="12" t="n">
        <v>12</v>
      </c>
      <c r="O5748" s="12" t="n">
        <v>1</v>
      </c>
      <c r="P5748" s="12" t="n"/>
      <c r="Q5748" s="12" t="n"/>
      <c r="R5748" s="12" t="n"/>
      <c r="S5748" s="12" t="inlineStr">
        <is>
          <t>Tray / conduit</t>
        </is>
      </c>
      <c r="T5748" s="16" t="n">
        <v>41</v>
      </c>
      <c r="U5748" s="16" t="n">
        <v>10</v>
      </c>
      <c r="V5748" s="16">
        <f>ROUNDUP((T5748+U5748+2*'Read Me'!$B$13)*(1+'Read Me'!$B$12),-1)</f>
        <v/>
      </c>
      <c r="W5748" s="16">
        <f>V5748*N5748*O5748</f>
        <v/>
      </c>
      <c r="X5748" s="12">
        <f>IF(LEFT(I5748,2)="MV",2*N5748*IF(L5748="1/C",O5748,1),0)</f>
        <v/>
      </c>
      <c r="Y5748" s="12">
        <f>IF(OR(LEFT(K5748,4)="LVAX",LEFT(K5748,6)="MV15AX",LEFT(K5748,4)="CTAX",LEFT(K5748,2)="W|"),2*N5748*O5748,0)</f>
        <v/>
      </c>
      <c r="Z5748" s="12" t="inlineStr">
        <is>
          <t>device-to-JB field wiring, one cable per device</t>
        </is>
      </c>
      <c r="AA5748" s="12">
        <f>N5748*O5748</f>
        <v/>
      </c>
    </row>
    <row r="5749">
      <c r="A5749" s="12" t="inlineStr">
        <is>
          <t>K-I-0010</t>
        </is>
      </c>
      <c r="B5749" s="12" t="inlineStr">
        <is>
          <t>K</t>
        </is>
      </c>
      <c r="C5749" s="12" t="inlineStr">
        <is>
          <t>Fuel supply (adjacent market)</t>
        </is>
      </c>
      <c r="D5749" s="12" t="inlineStr">
        <is>
          <t>Home run JB-H2 21: rectifier t-AI01 to the control / marshalling room</t>
        </is>
      </c>
      <c r="E5749" s="12" t="inlineStr"/>
      <c r="F5749" s="12" t="inlineStr">
        <is>
          <t>H2 20: 13.8 kV e-house</t>
        </is>
      </c>
      <c r="G5749" s="12" t="inlineStr">
        <is>
          <t>JB-H2 21: rectifier t-AI01</t>
        </is>
      </c>
      <c r="H5749" s="12" t="inlineStr">
        <is>
          <t>H2 21: rectifier transformer 1 (7 MVA)</t>
        </is>
      </c>
      <c r="I5749" s="12" t="inlineStr">
        <is>
          <t>Instrumentation</t>
        </is>
      </c>
      <c r="J5749" s="12" t="inlineStr">
        <is>
          <t>Instrumentation ITC / PLTC, IS, #18 shielded pairs, blue jacket</t>
        </is>
      </c>
      <c r="K5749" s="12" t="inlineStr">
        <is>
          <t>ITC|24 pr|18</t>
        </is>
      </c>
      <c r="L5749" s="12" t="inlineStr">
        <is>
          <t>24 pr</t>
        </is>
      </c>
      <c r="M5749" s="12" t="inlineStr">
        <is>
          <t>18</t>
        </is>
      </c>
      <c r="N5749" s="12" t="n">
        <v>1</v>
      </c>
      <c r="O5749" s="12" t="n">
        <v>1</v>
      </c>
      <c r="P5749" s="12" t="n"/>
      <c r="Q5749" s="12" t="n"/>
      <c r="R5749" s="12" t="n"/>
      <c r="S5749" s="12" t="inlineStr">
        <is>
          <t>Duct bank</t>
        </is>
      </c>
      <c r="T5749" s="16" t="n">
        <v>356</v>
      </c>
      <c r="U5749" s="16" t="n">
        <v>48</v>
      </c>
      <c r="V5749" s="16">
        <f>ROUNDUP((T5749+U5749+2*'Read Me'!$B$13)*(1+'Read Me'!$B$12),-1)</f>
        <v/>
      </c>
      <c r="W5749" s="16">
        <f>V5749*N5749*O5749</f>
        <v/>
      </c>
      <c r="X5749" s="12">
        <f>IF(LEFT(I5749,2)="MV",2*N5749*IF(L5749="1/C",O5749,1),0)</f>
        <v/>
      </c>
      <c r="Y5749" s="12">
        <f>IF(OR(LEFT(K5749,4)="LVAX",LEFT(K5749,6)="MV15AX",LEFT(K5749,4)="CTAX",LEFT(K5749,2)="W|"),2*N5749*O5749,0)</f>
        <v/>
      </c>
      <c r="Z5749" s="12" t="inlineStr"/>
      <c r="AA5749" s="12">
        <f>N5749*O5749</f>
        <v/>
      </c>
    </row>
    <row r="5750">
      <c r="A5750" s="12" t="inlineStr">
        <is>
          <t>K-I-0011</t>
        </is>
      </c>
      <c r="B5750" s="12" t="inlineStr">
        <is>
          <t>K</t>
        </is>
      </c>
      <c r="C5750" s="12" t="inlineStr">
        <is>
          <t>Fuel supply (adjacent market)</t>
        </is>
      </c>
      <c r="D5750" s="12" t="inlineStr">
        <is>
          <t>Discrete device to JB JB-H2 21: rectifier t-DI01: 12 x 1 pr (field cables)</t>
        </is>
      </c>
      <c r="E5750" s="12" t="inlineStr"/>
      <c r="F5750" s="12" t="inlineStr">
        <is>
          <t>H2 21: rectifier transformer 1 (7 MVA)</t>
        </is>
      </c>
      <c r="G5750" s="12" t="inlineStr">
        <is>
          <t>JB-H2 21: rectifier t-DI01</t>
        </is>
      </c>
      <c r="H5750" s="12" t="inlineStr">
        <is>
          <t>H2 21: rectifier transformer 1 (7 MVA)</t>
        </is>
      </c>
      <c r="I5750" s="12" t="inlineStr">
        <is>
          <t>Instrumentation</t>
        </is>
      </c>
      <c r="J5750" s="12" t="inlineStr">
        <is>
          <t>Instrumentation ITC / PLTC, IS, #18 shielded pairs, blue jacket</t>
        </is>
      </c>
      <c r="K5750" s="12" t="inlineStr">
        <is>
          <t>ITC|1 pr|16</t>
        </is>
      </c>
      <c r="L5750" s="12" t="inlineStr">
        <is>
          <t>1 pr</t>
        </is>
      </c>
      <c r="M5750" s="12" t="inlineStr">
        <is>
          <t>16</t>
        </is>
      </c>
      <c r="N5750" s="12" t="n">
        <v>12</v>
      </c>
      <c r="O5750" s="12" t="n">
        <v>1</v>
      </c>
      <c r="P5750" s="12" t="n"/>
      <c r="Q5750" s="12" t="n"/>
      <c r="R5750" s="12" t="n"/>
      <c r="S5750" s="12" t="inlineStr">
        <is>
          <t>Tray / conduit</t>
        </is>
      </c>
      <c r="T5750" s="16" t="n">
        <v>41</v>
      </c>
      <c r="U5750" s="16" t="n">
        <v>10</v>
      </c>
      <c r="V5750" s="16">
        <f>ROUNDUP((T5750+U5750+2*'Read Me'!$B$13)*(1+'Read Me'!$B$12),-1)</f>
        <v/>
      </c>
      <c r="W5750" s="16">
        <f>V5750*N5750*O5750</f>
        <v/>
      </c>
      <c r="X5750" s="12">
        <f>IF(LEFT(I5750,2)="MV",2*N5750*IF(L5750="1/C",O5750,1),0)</f>
        <v/>
      </c>
      <c r="Y5750" s="12">
        <f>IF(OR(LEFT(K5750,4)="LVAX",LEFT(K5750,6)="MV15AX",LEFT(K5750,4)="CTAX",LEFT(K5750,2)="W|"),2*N5750*O5750,0)</f>
        <v/>
      </c>
      <c r="Z5750" s="12" t="inlineStr">
        <is>
          <t>device-to-JB field wiring, one cable per device</t>
        </is>
      </c>
      <c r="AA5750" s="12">
        <f>N5750*O5750</f>
        <v/>
      </c>
    </row>
    <row r="5751">
      <c r="A5751" s="12" t="inlineStr">
        <is>
          <t>K-I-0012</t>
        </is>
      </c>
      <c r="B5751" s="12" t="inlineStr">
        <is>
          <t>K</t>
        </is>
      </c>
      <c r="C5751" s="12" t="inlineStr">
        <is>
          <t>Fuel supply (adjacent market)</t>
        </is>
      </c>
      <c r="D5751" s="12" t="inlineStr">
        <is>
          <t>Home run JB-H2 21: rectifier t-DI01 to the control / marshalling room</t>
        </is>
      </c>
      <c r="E5751" s="12" t="inlineStr"/>
      <c r="F5751" s="12" t="inlineStr">
        <is>
          <t>H2 20: 13.8 kV e-house</t>
        </is>
      </c>
      <c r="G5751" s="12" t="inlineStr">
        <is>
          <t>JB-H2 21: rectifier t-DI01</t>
        </is>
      </c>
      <c r="H5751" s="12" t="inlineStr">
        <is>
          <t>H2 21: rectifier transformer 1 (7 MVA)</t>
        </is>
      </c>
      <c r="I5751" s="12" t="inlineStr">
        <is>
          <t>Instrumentation</t>
        </is>
      </c>
      <c r="J5751" s="12" t="inlineStr">
        <is>
          <t>Instrumentation ITC / PLTC, IS, #18 shielded pairs, blue jacket</t>
        </is>
      </c>
      <c r="K5751" s="12" t="inlineStr">
        <is>
          <t>ITC|24 pr|18</t>
        </is>
      </c>
      <c r="L5751" s="12" t="inlineStr">
        <is>
          <t>24 pr</t>
        </is>
      </c>
      <c r="M5751" s="12" t="inlineStr">
        <is>
          <t>18</t>
        </is>
      </c>
      <c r="N5751" s="12" t="n">
        <v>1</v>
      </c>
      <c r="O5751" s="12" t="n">
        <v>1</v>
      </c>
      <c r="P5751" s="12" t="n"/>
      <c r="Q5751" s="12" t="n"/>
      <c r="R5751" s="12" t="n"/>
      <c r="S5751" s="12" t="inlineStr">
        <is>
          <t>Duct bank</t>
        </is>
      </c>
      <c r="T5751" s="16" t="n">
        <v>356</v>
      </c>
      <c r="U5751" s="16" t="n">
        <v>48</v>
      </c>
      <c r="V5751" s="16">
        <f>ROUNDUP((T5751+U5751+2*'Read Me'!$B$13)*(1+'Read Me'!$B$12),-1)</f>
        <v/>
      </c>
      <c r="W5751" s="16">
        <f>V5751*N5751*O5751</f>
        <v/>
      </c>
      <c r="X5751" s="12">
        <f>IF(LEFT(I5751,2)="MV",2*N5751*IF(L5751="1/C",O5751,1),0)</f>
        <v/>
      </c>
      <c r="Y5751" s="12">
        <f>IF(OR(LEFT(K5751,4)="LVAX",LEFT(K5751,6)="MV15AX",LEFT(K5751,4)="CTAX",LEFT(K5751,2)="W|"),2*N5751*O5751,0)</f>
        <v/>
      </c>
      <c r="Z5751" s="12" t="inlineStr"/>
      <c r="AA5751" s="12">
        <f>N5751*O5751</f>
        <v/>
      </c>
    </row>
    <row r="5752">
      <c r="A5752" s="12" t="inlineStr">
        <is>
          <t>K-I-0013</t>
        </is>
      </c>
      <c r="B5752" s="12" t="inlineStr">
        <is>
          <t>K</t>
        </is>
      </c>
      <c r="C5752" s="12" t="inlineStr">
        <is>
          <t>Fuel supply (adjacent market)</t>
        </is>
      </c>
      <c r="D5752" s="12" t="inlineStr">
        <is>
          <t>Analog instrument to JB JB-H2 21: rectifier t-AI01: 12 x 1 pr (field cables)</t>
        </is>
      </c>
      <c r="E5752" s="12" t="inlineStr"/>
      <c r="F5752" s="12" t="inlineStr">
        <is>
          <t>H2 21: rectifier transformer 2 (7 MVA)</t>
        </is>
      </c>
      <c r="G5752" s="12" t="inlineStr">
        <is>
          <t>JB-H2 21: rectifier t-AI01</t>
        </is>
      </c>
      <c r="H5752" s="12" t="inlineStr">
        <is>
          <t>H2 21: rectifier transformer 2 (7 MVA)</t>
        </is>
      </c>
      <c r="I5752" s="12" t="inlineStr">
        <is>
          <t>Instrumentation</t>
        </is>
      </c>
      <c r="J5752" s="12" t="inlineStr">
        <is>
          <t>Instrumentation ITC / PLTC, IS, #18 shielded pairs, blue jacket</t>
        </is>
      </c>
      <c r="K5752" s="12" t="inlineStr">
        <is>
          <t>ITC|1 pr|16</t>
        </is>
      </c>
      <c r="L5752" s="12" t="inlineStr">
        <is>
          <t>1 pr</t>
        </is>
      </c>
      <c r="M5752" s="12" t="inlineStr">
        <is>
          <t>16</t>
        </is>
      </c>
      <c r="N5752" s="12" t="n">
        <v>12</v>
      </c>
      <c r="O5752" s="12" t="n">
        <v>1</v>
      </c>
      <c r="P5752" s="12" t="n"/>
      <c r="Q5752" s="12" t="n"/>
      <c r="R5752" s="12" t="n"/>
      <c r="S5752" s="12" t="inlineStr">
        <is>
          <t>Tray / conduit</t>
        </is>
      </c>
      <c r="T5752" s="16" t="n">
        <v>41</v>
      </c>
      <c r="U5752" s="16" t="n">
        <v>10</v>
      </c>
      <c r="V5752" s="16">
        <f>ROUNDUP((T5752+U5752+2*'Read Me'!$B$13)*(1+'Read Me'!$B$12),-1)</f>
        <v/>
      </c>
      <c r="W5752" s="16">
        <f>V5752*N5752*O5752</f>
        <v/>
      </c>
      <c r="X5752" s="12">
        <f>IF(LEFT(I5752,2)="MV",2*N5752*IF(L5752="1/C",O5752,1),0)</f>
        <v/>
      </c>
      <c r="Y5752" s="12">
        <f>IF(OR(LEFT(K5752,4)="LVAX",LEFT(K5752,6)="MV15AX",LEFT(K5752,4)="CTAX",LEFT(K5752,2)="W|"),2*N5752*O5752,0)</f>
        <v/>
      </c>
      <c r="Z5752" s="12" t="inlineStr">
        <is>
          <t>device-to-JB field wiring, one cable per device</t>
        </is>
      </c>
      <c r="AA5752" s="12">
        <f>N5752*O5752</f>
        <v/>
      </c>
    </row>
    <row r="5753">
      <c r="A5753" s="12" t="inlineStr">
        <is>
          <t>K-I-0014</t>
        </is>
      </c>
      <c r="B5753" s="12" t="inlineStr">
        <is>
          <t>K</t>
        </is>
      </c>
      <c r="C5753" s="12" t="inlineStr">
        <is>
          <t>Fuel supply (adjacent market)</t>
        </is>
      </c>
      <c r="D5753" s="12" t="inlineStr">
        <is>
          <t>Home run JB-H2 21: rectifier t-AI01 to the control / marshalling room</t>
        </is>
      </c>
      <c r="E5753" s="12" t="inlineStr"/>
      <c r="F5753" s="12" t="inlineStr">
        <is>
          <t>H2 20: 13.8 kV e-house</t>
        </is>
      </c>
      <c r="G5753" s="12" t="inlineStr">
        <is>
          <t>JB-H2 21: rectifier t-AI01</t>
        </is>
      </c>
      <c r="H5753" s="12" t="inlineStr">
        <is>
          <t>H2 21: rectifier transformer 2 (7 MVA)</t>
        </is>
      </c>
      <c r="I5753" s="12" t="inlineStr">
        <is>
          <t>Instrumentation</t>
        </is>
      </c>
      <c r="J5753" s="12" t="inlineStr">
        <is>
          <t>Instrumentation ITC / PLTC, IS, #18 shielded pairs, blue jacket</t>
        </is>
      </c>
      <c r="K5753" s="12" t="inlineStr">
        <is>
          <t>ITC|24 pr|18</t>
        </is>
      </c>
      <c r="L5753" s="12" t="inlineStr">
        <is>
          <t>24 pr</t>
        </is>
      </c>
      <c r="M5753" s="12" t="inlineStr">
        <is>
          <t>18</t>
        </is>
      </c>
      <c r="N5753" s="12" t="n">
        <v>1</v>
      </c>
      <c r="O5753" s="12" t="n">
        <v>1</v>
      </c>
      <c r="P5753" s="12" t="n"/>
      <c r="Q5753" s="12" t="n"/>
      <c r="R5753" s="12" t="n"/>
      <c r="S5753" s="12" t="inlineStr">
        <is>
          <t>Duct bank</t>
        </is>
      </c>
      <c r="T5753" s="16" t="n">
        <v>356</v>
      </c>
      <c r="U5753" s="16" t="n">
        <v>32</v>
      </c>
      <c r="V5753" s="16">
        <f>ROUNDUP((T5753+U5753+2*'Read Me'!$B$13)*(1+'Read Me'!$B$12),-1)</f>
        <v/>
      </c>
      <c r="W5753" s="16">
        <f>V5753*N5753*O5753</f>
        <v/>
      </c>
      <c r="X5753" s="12">
        <f>IF(LEFT(I5753,2)="MV",2*N5753*IF(L5753="1/C",O5753,1),0)</f>
        <v/>
      </c>
      <c r="Y5753" s="12">
        <f>IF(OR(LEFT(K5753,4)="LVAX",LEFT(K5753,6)="MV15AX",LEFT(K5753,4)="CTAX",LEFT(K5753,2)="W|"),2*N5753*O5753,0)</f>
        <v/>
      </c>
      <c r="Z5753" s="12" t="inlineStr"/>
      <c r="AA5753" s="12">
        <f>N5753*O5753</f>
        <v/>
      </c>
    </row>
    <row r="5754">
      <c r="A5754" s="12" t="inlineStr">
        <is>
          <t>K-I-0015</t>
        </is>
      </c>
      <c r="B5754" s="12" t="inlineStr">
        <is>
          <t>K</t>
        </is>
      </c>
      <c r="C5754" s="12" t="inlineStr">
        <is>
          <t>Fuel supply (adjacent market)</t>
        </is>
      </c>
      <c r="D5754" s="12" t="inlineStr">
        <is>
          <t>Discrete device to JB JB-H2 21: rectifier t-DI01: 12 x 1 pr (field cables)</t>
        </is>
      </c>
      <c r="E5754" s="12" t="inlineStr"/>
      <c r="F5754" s="12" t="inlineStr">
        <is>
          <t>H2 21: rectifier transformer 2 (7 MVA)</t>
        </is>
      </c>
      <c r="G5754" s="12" t="inlineStr">
        <is>
          <t>JB-H2 21: rectifier t-DI01</t>
        </is>
      </c>
      <c r="H5754" s="12" t="inlineStr">
        <is>
          <t>H2 21: rectifier transformer 2 (7 MVA)</t>
        </is>
      </c>
      <c r="I5754" s="12" t="inlineStr">
        <is>
          <t>Instrumentation</t>
        </is>
      </c>
      <c r="J5754" s="12" t="inlineStr">
        <is>
          <t>Instrumentation ITC / PLTC, IS, #18 shielded pairs, blue jacket</t>
        </is>
      </c>
      <c r="K5754" s="12" t="inlineStr">
        <is>
          <t>ITC|1 pr|16</t>
        </is>
      </c>
      <c r="L5754" s="12" t="inlineStr">
        <is>
          <t>1 pr</t>
        </is>
      </c>
      <c r="M5754" s="12" t="inlineStr">
        <is>
          <t>16</t>
        </is>
      </c>
      <c r="N5754" s="12" t="n">
        <v>12</v>
      </c>
      <c r="O5754" s="12" t="n">
        <v>1</v>
      </c>
      <c r="P5754" s="12" t="n"/>
      <c r="Q5754" s="12" t="n"/>
      <c r="R5754" s="12" t="n"/>
      <c r="S5754" s="12" t="inlineStr">
        <is>
          <t>Tray / conduit</t>
        </is>
      </c>
      <c r="T5754" s="16" t="n">
        <v>41</v>
      </c>
      <c r="U5754" s="16" t="n">
        <v>10</v>
      </c>
      <c r="V5754" s="16">
        <f>ROUNDUP((T5754+U5754+2*'Read Me'!$B$13)*(1+'Read Me'!$B$12),-1)</f>
        <v/>
      </c>
      <c r="W5754" s="16">
        <f>V5754*N5754*O5754</f>
        <v/>
      </c>
      <c r="X5754" s="12">
        <f>IF(LEFT(I5754,2)="MV",2*N5754*IF(L5754="1/C",O5754,1),0)</f>
        <v/>
      </c>
      <c r="Y5754" s="12">
        <f>IF(OR(LEFT(K5754,4)="LVAX",LEFT(K5754,6)="MV15AX",LEFT(K5754,4)="CTAX",LEFT(K5754,2)="W|"),2*N5754*O5754,0)</f>
        <v/>
      </c>
      <c r="Z5754" s="12" t="inlineStr">
        <is>
          <t>device-to-JB field wiring, one cable per device</t>
        </is>
      </c>
      <c r="AA5754" s="12">
        <f>N5754*O5754</f>
        <v/>
      </c>
    </row>
    <row r="5755">
      <c r="A5755" s="12" t="inlineStr">
        <is>
          <t>K-I-0016</t>
        </is>
      </c>
      <c r="B5755" s="12" t="inlineStr">
        <is>
          <t>K</t>
        </is>
      </c>
      <c r="C5755" s="12" t="inlineStr">
        <is>
          <t>Fuel supply (adjacent market)</t>
        </is>
      </c>
      <c r="D5755" s="12" t="inlineStr">
        <is>
          <t>Home run JB-H2 21: rectifier t-DI01 to the control / marshalling room</t>
        </is>
      </c>
      <c r="E5755" s="12" t="inlineStr"/>
      <c r="F5755" s="12" t="inlineStr">
        <is>
          <t>H2 20: 13.8 kV e-house</t>
        </is>
      </c>
      <c r="G5755" s="12" t="inlineStr">
        <is>
          <t>JB-H2 21: rectifier t-DI01</t>
        </is>
      </c>
      <c r="H5755" s="12" t="inlineStr">
        <is>
          <t>H2 21: rectifier transformer 2 (7 MVA)</t>
        </is>
      </c>
      <c r="I5755" s="12" t="inlineStr">
        <is>
          <t>Instrumentation</t>
        </is>
      </c>
      <c r="J5755" s="12" t="inlineStr">
        <is>
          <t>Instrumentation ITC / PLTC, IS, #18 shielded pairs, blue jacket</t>
        </is>
      </c>
      <c r="K5755" s="12" t="inlineStr">
        <is>
          <t>ITC|24 pr|18</t>
        </is>
      </c>
      <c r="L5755" s="12" t="inlineStr">
        <is>
          <t>24 pr</t>
        </is>
      </c>
      <c r="M5755" s="12" t="inlineStr">
        <is>
          <t>18</t>
        </is>
      </c>
      <c r="N5755" s="12" t="n">
        <v>1</v>
      </c>
      <c r="O5755" s="12" t="n">
        <v>1</v>
      </c>
      <c r="P5755" s="12" t="n"/>
      <c r="Q5755" s="12" t="n"/>
      <c r="R5755" s="12" t="n"/>
      <c r="S5755" s="12" t="inlineStr">
        <is>
          <t>Duct bank</t>
        </is>
      </c>
      <c r="T5755" s="16" t="n">
        <v>356</v>
      </c>
      <c r="U5755" s="16" t="n">
        <v>32</v>
      </c>
      <c r="V5755" s="16">
        <f>ROUNDUP((T5755+U5755+2*'Read Me'!$B$13)*(1+'Read Me'!$B$12),-1)</f>
        <v/>
      </c>
      <c r="W5755" s="16">
        <f>V5755*N5755*O5755</f>
        <v/>
      </c>
      <c r="X5755" s="12">
        <f>IF(LEFT(I5755,2)="MV",2*N5755*IF(L5755="1/C",O5755,1),0)</f>
        <v/>
      </c>
      <c r="Y5755" s="12">
        <f>IF(OR(LEFT(K5755,4)="LVAX",LEFT(K5755,6)="MV15AX",LEFT(K5755,4)="CTAX",LEFT(K5755,2)="W|"),2*N5755*O5755,0)</f>
        <v/>
      </c>
      <c r="Z5755" s="12" t="inlineStr"/>
      <c r="AA5755" s="12">
        <f>N5755*O5755</f>
        <v/>
      </c>
    </row>
    <row r="5756">
      <c r="A5756" s="12" t="inlineStr">
        <is>
          <t>K-I-0017</t>
        </is>
      </c>
      <c r="B5756" s="12" t="inlineStr">
        <is>
          <t>K</t>
        </is>
      </c>
      <c r="C5756" s="12" t="inlineStr">
        <is>
          <t>Fuel supply (adjacent market)</t>
        </is>
      </c>
      <c r="D5756" s="12" t="inlineStr">
        <is>
          <t>Analog instrument to JB JB-H2 21: rectifier t-AI01: 12 x 1 pr (field cables)</t>
        </is>
      </c>
      <c r="E5756" s="12" t="inlineStr"/>
      <c r="F5756" s="12" t="inlineStr">
        <is>
          <t>H2 21: rectifier transformer 3 (7 MVA)</t>
        </is>
      </c>
      <c r="G5756" s="12" t="inlineStr">
        <is>
          <t>JB-H2 21: rectifier t-AI01</t>
        </is>
      </c>
      <c r="H5756" s="12" t="inlineStr">
        <is>
          <t>H2 21: rectifier transformer 3 (7 MVA)</t>
        </is>
      </c>
      <c r="I5756" s="12" t="inlineStr">
        <is>
          <t>Instrumentation</t>
        </is>
      </c>
      <c r="J5756" s="12" t="inlineStr">
        <is>
          <t>Instrumentation ITC / PLTC, IS, #18 shielded pairs, blue jacket</t>
        </is>
      </c>
      <c r="K5756" s="12" t="inlineStr">
        <is>
          <t>ITC|1 pr|16</t>
        </is>
      </c>
      <c r="L5756" s="12" t="inlineStr">
        <is>
          <t>1 pr</t>
        </is>
      </c>
      <c r="M5756" s="12" t="inlineStr">
        <is>
          <t>16</t>
        </is>
      </c>
      <c r="N5756" s="12" t="n">
        <v>12</v>
      </c>
      <c r="O5756" s="12" t="n">
        <v>1</v>
      </c>
      <c r="P5756" s="12" t="n"/>
      <c r="Q5756" s="12" t="n"/>
      <c r="R5756" s="12" t="n"/>
      <c r="S5756" s="12" t="inlineStr">
        <is>
          <t>Tray / conduit</t>
        </is>
      </c>
      <c r="T5756" s="16" t="n">
        <v>41</v>
      </c>
      <c r="U5756" s="16" t="n">
        <v>10</v>
      </c>
      <c r="V5756" s="16">
        <f>ROUNDUP((T5756+U5756+2*'Read Me'!$B$13)*(1+'Read Me'!$B$12),-1)</f>
        <v/>
      </c>
      <c r="W5756" s="16">
        <f>V5756*N5756*O5756</f>
        <v/>
      </c>
      <c r="X5756" s="12">
        <f>IF(LEFT(I5756,2)="MV",2*N5756*IF(L5756="1/C",O5756,1),0)</f>
        <v/>
      </c>
      <c r="Y5756" s="12">
        <f>IF(OR(LEFT(K5756,4)="LVAX",LEFT(K5756,6)="MV15AX",LEFT(K5756,4)="CTAX",LEFT(K5756,2)="W|"),2*N5756*O5756,0)</f>
        <v/>
      </c>
      <c r="Z5756" s="12" t="inlineStr">
        <is>
          <t>device-to-JB field wiring, one cable per device</t>
        </is>
      </c>
      <c r="AA5756" s="12">
        <f>N5756*O5756</f>
        <v/>
      </c>
    </row>
    <row r="5757">
      <c r="A5757" s="12" t="inlineStr">
        <is>
          <t>K-I-0018</t>
        </is>
      </c>
      <c r="B5757" s="12" t="inlineStr">
        <is>
          <t>K</t>
        </is>
      </c>
      <c r="C5757" s="12" t="inlineStr">
        <is>
          <t>Fuel supply (adjacent market)</t>
        </is>
      </c>
      <c r="D5757" s="12" t="inlineStr">
        <is>
          <t>Home run JB-H2 21: rectifier t-AI01 to the control / marshalling room</t>
        </is>
      </c>
      <c r="E5757" s="12" t="inlineStr"/>
      <c r="F5757" s="12" t="inlineStr">
        <is>
          <t>H2 20: 13.8 kV e-house</t>
        </is>
      </c>
      <c r="G5757" s="12" t="inlineStr">
        <is>
          <t>JB-H2 21: rectifier t-AI01</t>
        </is>
      </c>
      <c r="H5757" s="12" t="inlineStr">
        <is>
          <t>H2 21: rectifier transformer 3 (7 MVA)</t>
        </is>
      </c>
      <c r="I5757" s="12" t="inlineStr">
        <is>
          <t>Instrumentation</t>
        </is>
      </c>
      <c r="J5757" s="12" t="inlineStr">
        <is>
          <t>Instrumentation ITC / PLTC, IS, #18 shielded pairs, blue jacket</t>
        </is>
      </c>
      <c r="K5757" s="12" t="inlineStr">
        <is>
          <t>ITC|24 pr|18</t>
        </is>
      </c>
      <c r="L5757" s="12" t="inlineStr">
        <is>
          <t>24 pr</t>
        </is>
      </c>
      <c r="M5757" s="12" t="inlineStr">
        <is>
          <t>18</t>
        </is>
      </c>
      <c r="N5757" s="12" t="n">
        <v>1</v>
      </c>
      <c r="O5757" s="12" t="n">
        <v>1</v>
      </c>
      <c r="P5757" s="12" t="n"/>
      <c r="Q5757" s="12" t="n"/>
      <c r="R5757" s="12" t="n"/>
      <c r="S5757" s="12" t="inlineStr">
        <is>
          <t>Duct bank</t>
        </is>
      </c>
      <c r="T5757" s="16" t="n">
        <v>334</v>
      </c>
      <c r="U5757" s="16" t="n">
        <v>32</v>
      </c>
      <c r="V5757" s="16">
        <f>ROUNDUP((T5757+U5757+2*'Read Me'!$B$13)*(1+'Read Me'!$B$12),-1)</f>
        <v/>
      </c>
      <c r="W5757" s="16">
        <f>V5757*N5757*O5757</f>
        <v/>
      </c>
      <c r="X5757" s="12">
        <f>IF(LEFT(I5757,2)="MV",2*N5757*IF(L5757="1/C",O5757,1),0)</f>
        <v/>
      </c>
      <c r="Y5757" s="12">
        <f>IF(OR(LEFT(K5757,4)="LVAX",LEFT(K5757,6)="MV15AX",LEFT(K5757,4)="CTAX",LEFT(K5757,2)="W|"),2*N5757*O5757,0)</f>
        <v/>
      </c>
      <c r="Z5757" s="12" t="inlineStr"/>
      <c r="AA5757" s="12">
        <f>N5757*O5757</f>
        <v/>
      </c>
    </row>
    <row r="5758">
      <c r="A5758" s="12" t="inlineStr">
        <is>
          <t>K-I-0019</t>
        </is>
      </c>
      <c r="B5758" s="12" t="inlineStr">
        <is>
          <t>K</t>
        </is>
      </c>
      <c r="C5758" s="12" t="inlineStr">
        <is>
          <t>Fuel supply (adjacent market)</t>
        </is>
      </c>
      <c r="D5758" s="12" t="inlineStr">
        <is>
          <t>Discrete device to JB JB-H2 21: rectifier t-DI01: 12 x 1 pr (field cables)</t>
        </is>
      </c>
      <c r="E5758" s="12" t="inlineStr"/>
      <c r="F5758" s="12" t="inlineStr">
        <is>
          <t>H2 21: rectifier transformer 3 (7 MVA)</t>
        </is>
      </c>
      <c r="G5758" s="12" t="inlineStr">
        <is>
          <t>JB-H2 21: rectifier t-DI01</t>
        </is>
      </c>
      <c r="H5758" s="12" t="inlineStr">
        <is>
          <t>H2 21: rectifier transformer 3 (7 MVA)</t>
        </is>
      </c>
      <c r="I5758" s="12" t="inlineStr">
        <is>
          <t>Instrumentation</t>
        </is>
      </c>
      <c r="J5758" s="12" t="inlineStr">
        <is>
          <t>Instrumentation ITC / PLTC, IS, #18 shielded pairs, blue jacket</t>
        </is>
      </c>
      <c r="K5758" s="12" t="inlineStr">
        <is>
          <t>ITC|1 pr|16</t>
        </is>
      </c>
      <c r="L5758" s="12" t="inlineStr">
        <is>
          <t>1 pr</t>
        </is>
      </c>
      <c r="M5758" s="12" t="inlineStr">
        <is>
          <t>16</t>
        </is>
      </c>
      <c r="N5758" s="12" t="n">
        <v>12</v>
      </c>
      <c r="O5758" s="12" t="n">
        <v>1</v>
      </c>
      <c r="P5758" s="12" t="n"/>
      <c r="Q5758" s="12" t="n"/>
      <c r="R5758" s="12" t="n"/>
      <c r="S5758" s="12" t="inlineStr">
        <is>
          <t>Tray / conduit</t>
        </is>
      </c>
      <c r="T5758" s="16" t="n">
        <v>41</v>
      </c>
      <c r="U5758" s="16" t="n">
        <v>10</v>
      </c>
      <c r="V5758" s="16">
        <f>ROUNDUP((T5758+U5758+2*'Read Me'!$B$13)*(1+'Read Me'!$B$12),-1)</f>
        <v/>
      </c>
      <c r="W5758" s="16">
        <f>V5758*N5758*O5758</f>
        <v/>
      </c>
      <c r="X5758" s="12">
        <f>IF(LEFT(I5758,2)="MV",2*N5758*IF(L5758="1/C",O5758,1),0)</f>
        <v/>
      </c>
      <c r="Y5758" s="12">
        <f>IF(OR(LEFT(K5758,4)="LVAX",LEFT(K5758,6)="MV15AX",LEFT(K5758,4)="CTAX",LEFT(K5758,2)="W|"),2*N5758*O5758,0)</f>
        <v/>
      </c>
      <c r="Z5758" s="12" t="inlineStr">
        <is>
          <t>device-to-JB field wiring, one cable per device</t>
        </is>
      </c>
      <c r="AA5758" s="12">
        <f>N5758*O5758</f>
        <v/>
      </c>
    </row>
    <row r="5759">
      <c r="A5759" s="12" t="inlineStr">
        <is>
          <t>K-I-0020</t>
        </is>
      </c>
      <c r="B5759" s="12" t="inlineStr">
        <is>
          <t>K</t>
        </is>
      </c>
      <c r="C5759" s="12" t="inlineStr">
        <is>
          <t>Fuel supply (adjacent market)</t>
        </is>
      </c>
      <c r="D5759" s="12" t="inlineStr">
        <is>
          <t>Home run JB-H2 21: rectifier t-DI01 to the control / marshalling room</t>
        </is>
      </c>
      <c r="E5759" s="12" t="inlineStr"/>
      <c r="F5759" s="12" t="inlineStr">
        <is>
          <t>H2 20: 13.8 kV e-house</t>
        </is>
      </c>
      <c r="G5759" s="12" t="inlineStr">
        <is>
          <t>JB-H2 21: rectifier t-DI01</t>
        </is>
      </c>
      <c r="H5759" s="12" t="inlineStr">
        <is>
          <t>H2 21: rectifier transformer 3 (7 MVA)</t>
        </is>
      </c>
      <c r="I5759" s="12" t="inlineStr">
        <is>
          <t>Instrumentation</t>
        </is>
      </c>
      <c r="J5759" s="12" t="inlineStr">
        <is>
          <t>Instrumentation ITC / PLTC, IS, #18 shielded pairs, blue jacket</t>
        </is>
      </c>
      <c r="K5759" s="12" t="inlineStr">
        <is>
          <t>ITC|24 pr|18</t>
        </is>
      </c>
      <c r="L5759" s="12" t="inlineStr">
        <is>
          <t>24 pr</t>
        </is>
      </c>
      <c r="M5759" s="12" t="inlineStr">
        <is>
          <t>18</t>
        </is>
      </c>
      <c r="N5759" s="12" t="n">
        <v>1</v>
      </c>
      <c r="O5759" s="12" t="n">
        <v>1</v>
      </c>
      <c r="P5759" s="12" t="n"/>
      <c r="Q5759" s="12" t="n"/>
      <c r="R5759" s="12" t="n"/>
      <c r="S5759" s="12" t="inlineStr">
        <is>
          <t>Duct bank</t>
        </is>
      </c>
      <c r="T5759" s="16" t="n">
        <v>334</v>
      </c>
      <c r="U5759" s="16" t="n">
        <v>32</v>
      </c>
      <c r="V5759" s="16">
        <f>ROUNDUP((T5759+U5759+2*'Read Me'!$B$13)*(1+'Read Me'!$B$12),-1)</f>
        <v/>
      </c>
      <c r="W5759" s="16">
        <f>V5759*N5759*O5759</f>
        <v/>
      </c>
      <c r="X5759" s="12">
        <f>IF(LEFT(I5759,2)="MV",2*N5759*IF(L5759="1/C",O5759,1),0)</f>
        <v/>
      </c>
      <c r="Y5759" s="12">
        <f>IF(OR(LEFT(K5759,4)="LVAX",LEFT(K5759,6)="MV15AX",LEFT(K5759,4)="CTAX",LEFT(K5759,2)="W|"),2*N5759*O5759,0)</f>
        <v/>
      </c>
      <c r="Z5759" s="12" t="inlineStr"/>
      <c r="AA5759" s="12">
        <f>N5759*O5759</f>
        <v/>
      </c>
    </row>
    <row r="5760">
      <c r="A5760" s="12" t="inlineStr">
        <is>
          <t>K-I-0021</t>
        </is>
      </c>
      <c r="B5760" s="12" t="inlineStr">
        <is>
          <t>K</t>
        </is>
      </c>
      <c r="C5760" s="12" t="inlineStr">
        <is>
          <t>Fuel supply (adjacent market)</t>
        </is>
      </c>
      <c r="D5760" s="12" t="inlineStr">
        <is>
          <t>Analog instrument to JB JB-H2 21: rectifier t-AI01: 12 x 1 pr (field cables)</t>
        </is>
      </c>
      <c r="E5760" s="12" t="inlineStr"/>
      <c r="F5760" s="12" t="inlineStr">
        <is>
          <t>H2 21: rectifier transformer 4 (7 MVA)</t>
        </is>
      </c>
      <c r="G5760" s="12" t="inlineStr">
        <is>
          <t>JB-H2 21: rectifier t-AI01</t>
        </is>
      </c>
      <c r="H5760" s="12" t="inlineStr">
        <is>
          <t>H2 21: rectifier transformer 4 (7 MVA)</t>
        </is>
      </c>
      <c r="I5760" s="12" t="inlineStr">
        <is>
          <t>Instrumentation</t>
        </is>
      </c>
      <c r="J5760" s="12" t="inlineStr">
        <is>
          <t>Instrumentation ITC / PLTC, IS, #18 shielded pairs, blue jacket</t>
        </is>
      </c>
      <c r="K5760" s="12" t="inlineStr">
        <is>
          <t>ITC|1 pr|16</t>
        </is>
      </c>
      <c r="L5760" s="12" t="inlineStr">
        <is>
          <t>1 pr</t>
        </is>
      </c>
      <c r="M5760" s="12" t="inlineStr">
        <is>
          <t>16</t>
        </is>
      </c>
      <c r="N5760" s="12" t="n">
        <v>12</v>
      </c>
      <c r="O5760" s="12" t="n">
        <v>1</v>
      </c>
      <c r="P5760" s="12" t="n"/>
      <c r="Q5760" s="12" t="n"/>
      <c r="R5760" s="12" t="n"/>
      <c r="S5760" s="12" t="inlineStr">
        <is>
          <t>Tray / conduit</t>
        </is>
      </c>
      <c r="T5760" s="16" t="n">
        <v>41</v>
      </c>
      <c r="U5760" s="16" t="n">
        <v>10</v>
      </c>
      <c r="V5760" s="16">
        <f>ROUNDUP((T5760+U5760+2*'Read Me'!$B$13)*(1+'Read Me'!$B$12),-1)</f>
        <v/>
      </c>
      <c r="W5760" s="16">
        <f>V5760*N5760*O5760</f>
        <v/>
      </c>
      <c r="X5760" s="12">
        <f>IF(LEFT(I5760,2)="MV",2*N5760*IF(L5760="1/C",O5760,1),0)</f>
        <v/>
      </c>
      <c r="Y5760" s="12">
        <f>IF(OR(LEFT(K5760,4)="LVAX",LEFT(K5760,6)="MV15AX",LEFT(K5760,4)="CTAX",LEFT(K5760,2)="W|"),2*N5760*O5760,0)</f>
        <v/>
      </c>
      <c r="Z5760" s="12" t="inlineStr">
        <is>
          <t>device-to-JB field wiring, one cable per device</t>
        </is>
      </c>
      <c r="AA5760" s="12">
        <f>N5760*O5760</f>
        <v/>
      </c>
    </row>
    <row r="5761">
      <c r="A5761" s="12" t="inlineStr">
        <is>
          <t>K-I-0022</t>
        </is>
      </c>
      <c r="B5761" s="12" t="inlineStr">
        <is>
          <t>K</t>
        </is>
      </c>
      <c r="C5761" s="12" t="inlineStr">
        <is>
          <t>Fuel supply (adjacent market)</t>
        </is>
      </c>
      <c r="D5761" s="12" t="inlineStr">
        <is>
          <t>Home run JB-H2 21: rectifier t-AI01 to the control / marshalling room</t>
        </is>
      </c>
      <c r="E5761" s="12" t="inlineStr"/>
      <c r="F5761" s="12" t="inlineStr">
        <is>
          <t>H2 20: 13.8 kV e-house</t>
        </is>
      </c>
      <c r="G5761" s="12" t="inlineStr">
        <is>
          <t>JB-H2 21: rectifier t-AI01</t>
        </is>
      </c>
      <c r="H5761" s="12" t="inlineStr">
        <is>
          <t>H2 21: rectifier transformer 4 (7 MVA)</t>
        </is>
      </c>
      <c r="I5761" s="12" t="inlineStr">
        <is>
          <t>Instrumentation</t>
        </is>
      </c>
      <c r="J5761" s="12" t="inlineStr">
        <is>
          <t>Instrumentation ITC / PLTC, IS, #18 shielded pairs, blue jacket</t>
        </is>
      </c>
      <c r="K5761" s="12" t="inlineStr">
        <is>
          <t>ITC|24 pr|18</t>
        </is>
      </c>
      <c r="L5761" s="12" t="inlineStr">
        <is>
          <t>24 pr</t>
        </is>
      </c>
      <c r="M5761" s="12" t="inlineStr">
        <is>
          <t>18</t>
        </is>
      </c>
      <c r="N5761" s="12" t="n">
        <v>1</v>
      </c>
      <c r="O5761" s="12" t="n">
        <v>1</v>
      </c>
      <c r="P5761" s="12" t="n"/>
      <c r="Q5761" s="12" t="n"/>
      <c r="R5761" s="12" t="n"/>
      <c r="S5761" s="12" t="inlineStr">
        <is>
          <t>Duct bank</t>
        </is>
      </c>
      <c r="T5761" s="16" t="n">
        <v>312</v>
      </c>
      <c r="U5761" s="16" t="n">
        <v>32</v>
      </c>
      <c r="V5761" s="16">
        <f>ROUNDUP((T5761+U5761+2*'Read Me'!$B$13)*(1+'Read Me'!$B$12),-1)</f>
        <v/>
      </c>
      <c r="W5761" s="16">
        <f>V5761*N5761*O5761</f>
        <v/>
      </c>
      <c r="X5761" s="12">
        <f>IF(LEFT(I5761,2)="MV",2*N5761*IF(L5761="1/C",O5761,1),0)</f>
        <v/>
      </c>
      <c r="Y5761" s="12">
        <f>IF(OR(LEFT(K5761,4)="LVAX",LEFT(K5761,6)="MV15AX",LEFT(K5761,4)="CTAX",LEFT(K5761,2)="W|"),2*N5761*O5761,0)</f>
        <v/>
      </c>
      <c r="Z5761" s="12" t="inlineStr"/>
      <c r="AA5761" s="12">
        <f>N5761*O5761</f>
        <v/>
      </c>
    </row>
    <row r="5762">
      <c r="A5762" s="12" t="inlineStr">
        <is>
          <t>K-I-0023</t>
        </is>
      </c>
      <c r="B5762" s="12" t="inlineStr">
        <is>
          <t>K</t>
        </is>
      </c>
      <c r="C5762" s="12" t="inlineStr">
        <is>
          <t>Fuel supply (adjacent market)</t>
        </is>
      </c>
      <c r="D5762" s="12" t="inlineStr">
        <is>
          <t>Discrete device to JB JB-H2 21: rectifier t-DI01: 12 x 1 pr (field cables)</t>
        </is>
      </c>
      <c r="E5762" s="12" t="inlineStr"/>
      <c r="F5762" s="12" t="inlineStr">
        <is>
          <t>H2 21: rectifier transformer 4 (7 MVA)</t>
        </is>
      </c>
      <c r="G5762" s="12" t="inlineStr">
        <is>
          <t>JB-H2 21: rectifier t-DI01</t>
        </is>
      </c>
      <c r="H5762" s="12" t="inlineStr">
        <is>
          <t>H2 21: rectifier transformer 4 (7 MVA)</t>
        </is>
      </c>
      <c r="I5762" s="12" t="inlineStr">
        <is>
          <t>Instrumentation</t>
        </is>
      </c>
      <c r="J5762" s="12" t="inlineStr">
        <is>
          <t>Instrumentation ITC / PLTC, IS, #18 shielded pairs, blue jacket</t>
        </is>
      </c>
      <c r="K5762" s="12" t="inlineStr">
        <is>
          <t>ITC|1 pr|16</t>
        </is>
      </c>
      <c r="L5762" s="12" t="inlineStr">
        <is>
          <t>1 pr</t>
        </is>
      </c>
      <c r="M5762" s="12" t="inlineStr">
        <is>
          <t>16</t>
        </is>
      </c>
      <c r="N5762" s="12" t="n">
        <v>12</v>
      </c>
      <c r="O5762" s="12" t="n">
        <v>1</v>
      </c>
      <c r="P5762" s="12" t="n"/>
      <c r="Q5762" s="12" t="n"/>
      <c r="R5762" s="12" t="n"/>
      <c r="S5762" s="12" t="inlineStr">
        <is>
          <t>Tray / conduit</t>
        </is>
      </c>
      <c r="T5762" s="16" t="n">
        <v>41</v>
      </c>
      <c r="U5762" s="16" t="n">
        <v>10</v>
      </c>
      <c r="V5762" s="16">
        <f>ROUNDUP((T5762+U5762+2*'Read Me'!$B$13)*(1+'Read Me'!$B$12),-1)</f>
        <v/>
      </c>
      <c r="W5762" s="16">
        <f>V5762*N5762*O5762</f>
        <v/>
      </c>
      <c r="X5762" s="12">
        <f>IF(LEFT(I5762,2)="MV",2*N5762*IF(L5762="1/C",O5762,1),0)</f>
        <v/>
      </c>
      <c r="Y5762" s="12">
        <f>IF(OR(LEFT(K5762,4)="LVAX",LEFT(K5762,6)="MV15AX",LEFT(K5762,4)="CTAX",LEFT(K5762,2)="W|"),2*N5762*O5762,0)</f>
        <v/>
      </c>
      <c r="Z5762" s="12" t="inlineStr">
        <is>
          <t>device-to-JB field wiring, one cable per device</t>
        </is>
      </c>
      <c r="AA5762" s="12">
        <f>N5762*O5762</f>
        <v/>
      </c>
    </row>
    <row r="5763">
      <c r="A5763" s="12" t="inlineStr">
        <is>
          <t>K-I-0024</t>
        </is>
      </c>
      <c r="B5763" s="12" t="inlineStr">
        <is>
          <t>K</t>
        </is>
      </c>
      <c r="C5763" s="12" t="inlineStr">
        <is>
          <t>Fuel supply (adjacent market)</t>
        </is>
      </c>
      <c r="D5763" s="12" t="inlineStr">
        <is>
          <t>Home run JB-H2 21: rectifier t-DI01 to the control / marshalling room</t>
        </is>
      </c>
      <c r="E5763" s="12" t="inlineStr"/>
      <c r="F5763" s="12" t="inlineStr">
        <is>
          <t>H2 20: 13.8 kV e-house</t>
        </is>
      </c>
      <c r="G5763" s="12" t="inlineStr">
        <is>
          <t>JB-H2 21: rectifier t-DI01</t>
        </is>
      </c>
      <c r="H5763" s="12" t="inlineStr">
        <is>
          <t>H2 21: rectifier transformer 4 (7 MVA)</t>
        </is>
      </c>
      <c r="I5763" s="12" t="inlineStr">
        <is>
          <t>Instrumentation</t>
        </is>
      </c>
      <c r="J5763" s="12" t="inlineStr">
        <is>
          <t>Instrumentation ITC / PLTC, IS, #18 shielded pairs, blue jacket</t>
        </is>
      </c>
      <c r="K5763" s="12" t="inlineStr">
        <is>
          <t>ITC|24 pr|18</t>
        </is>
      </c>
      <c r="L5763" s="12" t="inlineStr">
        <is>
          <t>24 pr</t>
        </is>
      </c>
      <c r="M5763" s="12" t="inlineStr">
        <is>
          <t>18</t>
        </is>
      </c>
      <c r="N5763" s="12" t="n">
        <v>1</v>
      </c>
      <c r="O5763" s="12" t="n">
        <v>1</v>
      </c>
      <c r="P5763" s="12" t="n"/>
      <c r="Q5763" s="12" t="n"/>
      <c r="R5763" s="12" t="n"/>
      <c r="S5763" s="12" t="inlineStr">
        <is>
          <t>Duct bank</t>
        </is>
      </c>
      <c r="T5763" s="16" t="n">
        <v>312</v>
      </c>
      <c r="U5763" s="16" t="n">
        <v>32</v>
      </c>
      <c r="V5763" s="16">
        <f>ROUNDUP((T5763+U5763+2*'Read Me'!$B$13)*(1+'Read Me'!$B$12),-1)</f>
        <v/>
      </c>
      <c r="W5763" s="16">
        <f>V5763*N5763*O5763</f>
        <v/>
      </c>
      <c r="X5763" s="12">
        <f>IF(LEFT(I5763,2)="MV",2*N5763*IF(L5763="1/C",O5763,1),0)</f>
        <v/>
      </c>
      <c r="Y5763" s="12">
        <f>IF(OR(LEFT(K5763,4)="LVAX",LEFT(K5763,6)="MV15AX",LEFT(K5763,4)="CTAX",LEFT(K5763,2)="W|"),2*N5763*O5763,0)</f>
        <v/>
      </c>
      <c r="Z5763" s="12" t="inlineStr"/>
      <c r="AA5763" s="12">
        <f>N5763*O5763</f>
        <v/>
      </c>
    </row>
    <row r="5764">
      <c r="A5764" s="12" t="inlineStr">
        <is>
          <t>K-I-0025</t>
        </is>
      </c>
      <c r="B5764" s="12" t="inlineStr">
        <is>
          <t>K</t>
        </is>
      </c>
      <c r="C5764" s="12" t="inlineStr">
        <is>
          <t>Fuel supply (adjacent market)</t>
        </is>
      </c>
      <c r="D5764" s="12" t="inlineStr">
        <is>
          <t>Analog instrument to JB JB-H2 21: rectifier t-AI01: 12 x 1 pr (field cables)</t>
        </is>
      </c>
      <c r="E5764" s="12" t="inlineStr"/>
      <c r="F5764" s="12" t="inlineStr">
        <is>
          <t>H2 21: rectifier transformer 5 (7 MVA)</t>
        </is>
      </c>
      <c r="G5764" s="12" t="inlineStr">
        <is>
          <t>JB-H2 21: rectifier t-AI01</t>
        </is>
      </c>
      <c r="H5764" s="12" t="inlineStr">
        <is>
          <t>H2 21: rectifier transformer 5 (7 MVA)</t>
        </is>
      </c>
      <c r="I5764" s="12" t="inlineStr">
        <is>
          <t>Instrumentation</t>
        </is>
      </c>
      <c r="J5764" s="12" t="inlineStr">
        <is>
          <t>Instrumentation ITC / PLTC, IS, #18 shielded pairs, blue jacket</t>
        </is>
      </c>
      <c r="K5764" s="12" t="inlineStr">
        <is>
          <t>ITC|1 pr|16</t>
        </is>
      </c>
      <c r="L5764" s="12" t="inlineStr">
        <is>
          <t>1 pr</t>
        </is>
      </c>
      <c r="M5764" s="12" t="inlineStr">
        <is>
          <t>16</t>
        </is>
      </c>
      <c r="N5764" s="12" t="n">
        <v>12</v>
      </c>
      <c r="O5764" s="12" t="n">
        <v>1</v>
      </c>
      <c r="P5764" s="12" t="n"/>
      <c r="Q5764" s="12" t="n"/>
      <c r="R5764" s="12" t="n"/>
      <c r="S5764" s="12" t="inlineStr">
        <is>
          <t>Tray / conduit</t>
        </is>
      </c>
      <c r="T5764" s="16" t="n">
        <v>41</v>
      </c>
      <c r="U5764" s="16" t="n">
        <v>10</v>
      </c>
      <c r="V5764" s="16">
        <f>ROUNDUP((T5764+U5764+2*'Read Me'!$B$13)*(1+'Read Me'!$B$12),-1)</f>
        <v/>
      </c>
      <c r="W5764" s="16">
        <f>V5764*N5764*O5764</f>
        <v/>
      </c>
      <c r="X5764" s="12">
        <f>IF(LEFT(I5764,2)="MV",2*N5764*IF(L5764="1/C",O5764,1),0)</f>
        <v/>
      </c>
      <c r="Y5764" s="12">
        <f>IF(OR(LEFT(K5764,4)="LVAX",LEFT(K5764,6)="MV15AX",LEFT(K5764,4)="CTAX",LEFT(K5764,2)="W|"),2*N5764*O5764,0)</f>
        <v/>
      </c>
      <c r="Z5764" s="12" t="inlineStr">
        <is>
          <t>device-to-JB field wiring, one cable per device</t>
        </is>
      </c>
      <c r="AA5764" s="12">
        <f>N5764*O5764</f>
        <v/>
      </c>
    </row>
    <row r="5765">
      <c r="A5765" s="12" t="inlineStr">
        <is>
          <t>K-I-0026</t>
        </is>
      </c>
      <c r="B5765" s="12" t="inlineStr">
        <is>
          <t>K</t>
        </is>
      </c>
      <c r="C5765" s="12" t="inlineStr">
        <is>
          <t>Fuel supply (adjacent market)</t>
        </is>
      </c>
      <c r="D5765" s="12" t="inlineStr">
        <is>
          <t>Home run JB-H2 21: rectifier t-AI01 to the control / marshalling room</t>
        </is>
      </c>
      <c r="E5765" s="12" t="inlineStr"/>
      <c r="F5765" s="12" t="inlineStr">
        <is>
          <t>H2 20: 13.8 kV e-house</t>
        </is>
      </c>
      <c r="G5765" s="12" t="inlineStr">
        <is>
          <t>JB-H2 21: rectifier t-AI01</t>
        </is>
      </c>
      <c r="H5765" s="12" t="inlineStr">
        <is>
          <t>H2 21: rectifier transformer 5 (7 MVA)</t>
        </is>
      </c>
      <c r="I5765" s="12" t="inlineStr">
        <is>
          <t>Instrumentation</t>
        </is>
      </c>
      <c r="J5765" s="12" t="inlineStr">
        <is>
          <t>Instrumentation ITC / PLTC, IS, #18 shielded pairs, blue jacket</t>
        </is>
      </c>
      <c r="K5765" s="12" t="inlineStr">
        <is>
          <t>ITC|24 pr|18</t>
        </is>
      </c>
      <c r="L5765" s="12" t="inlineStr">
        <is>
          <t>24 pr</t>
        </is>
      </c>
      <c r="M5765" s="12" t="inlineStr">
        <is>
          <t>18</t>
        </is>
      </c>
      <c r="N5765" s="12" t="n">
        <v>1</v>
      </c>
      <c r="O5765" s="12" t="n">
        <v>1</v>
      </c>
      <c r="P5765" s="12" t="n"/>
      <c r="Q5765" s="12" t="n"/>
      <c r="R5765" s="12" t="n"/>
      <c r="S5765" s="12" t="inlineStr">
        <is>
          <t>Duct bank</t>
        </is>
      </c>
      <c r="T5765" s="16" t="n">
        <v>254</v>
      </c>
      <c r="U5765" s="16" t="n">
        <v>32</v>
      </c>
      <c r="V5765" s="16">
        <f>ROUNDUP((T5765+U5765+2*'Read Me'!$B$13)*(1+'Read Me'!$B$12),-1)</f>
        <v/>
      </c>
      <c r="W5765" s="16">
        <f>V5765*N5765*O5765</f>
        <v/>
      </c>
      <c r="X5765" s="12">
        <f>IF(LEFT(I5765,2)="MV",2*N5765*IF(L5765="1/C",O5765,1),0)</f>
        <v/>
      </c>
      <c r="Y5765" s="12">
        <f>IF(OR(LEFT(K5765,4)="LVAX",LEFT(K5765,6)="MV15AX",LEFT(K5765,4)="CTAX",LEFT(K5765,2)="W|"),2*N5765*O5765,0)</f>
        <v/>
      </c>
      <c r="Z5765" s="12" t="inlineStr"/>
      <c r="AA5765" s="12">
        <f>N5765*O5765</f>
        <v/>
      </c>
    </row>
    <row r="5766">
      <c r="A5766" s="12" t="inlineStr">
        <is>
          <t>K-I-0027</t>
        </is>
      </c>
      <c r="B5766" s="12" t="inlineStr">
        <is>
          <t>K</t>
        </is>
      </c>
      <c r="C5766" s="12" t="inlineStr">
        <is>
          <t>Fuel supply (adjacent market)</t>
        </is>
      </c>
      <c r="D5766" s="12" t="inlineStr">
        <is>
          <t>Discrete device to JB JB-H2 21: rectifier t-DI01: 12 x 1 pr (field cables)</t>
        </is>
      </c>
      <c r="E5766" s="12" t="inlineStr"/>
      <c r="F5766" s="12" t="inlineStr">
        <is>
          <t>H2 21: rectifier transformer 5 (7 MVA)</t>
        </is>
      </c>
      <c r="G5766" s="12" t="inlineStr">
        <is>
          <t>JB-H2 21: rectifier t-DI01</t>
        </is>
      </c>
      <c r="H5766" s="12" t="inlineStr">
        <is>
          <t>H2 21: rectifier transformer 5 (7 MVA)</t>
        </is>
      </c>
      <c r="I5766" s="12" t="inlineStr">
        <is>
          <t>Instrumentation</t>
        </is>
      </c>
      <c r="J5766" s="12" t="inlineStr">
        <is>
          <t>Instrumentation ITC / PLTC, IS, #18 shielded pairs, blue jacket</t>
        </is>
      </c>
      <c r="K5766" s="12" t="inlineStr">
        <is>
          <t>ITC|1 pr|16</t>
        </is>
      </c>
      <c r="L5766" s="12" t="inlineStr">
        <is>
          <t>1 pr</t>
        </is>
      </c>
      <c r="M5766" s="12" t="inlineStr">
        <is>
          <t>16</t>
        </is>
      </c>
      <c r="N5766" s="12" t="n">
        <v>12</v>
      </c>
      <c r="O5766" s="12" t="n">
        <v>1</v>
      </c>
      <c r="P5766" s="12" t="n"/>
      <c r="Q5766" s="12" t="n"/>
      <c r="R5766" s="12" t="n"/>
      <c r="S5766" s="12" t="inlineStr">
        <is>
          <t>Tray / conduit</t>
        </is>
      </c>
      <c r="T5766" s="16" t="n">
        <v>41</v>
      </c>
      <c r="U5766" s="16" t="n">
        <v>10</v>
      </c>
      <c r="V5766" s="16">
        <f>ROUNDUP((T5766+U5766+2*'Read Me'!$B$13)*(1+'Read Me'!$B$12),-1)</f>
        <v/>
      </c>
      <c r="W5766" s="16">
        <f>V5766*N5766*O5766</f>
        <v/>
      </c>
      <c r="X5766" s="12">
        <f>IF(LEFT(I5766,2)="MV",2*N5766*IF(L5766="1/C",O5766,1),0)</f>
        <v/>
      </c>
      <c r="Y5766" s="12">
        <f>IF(OR(LEFT(K5766,4)="LVAX",LEFT(K5766,6)="MV15AX",LEFT(K5766,4)="CTAX",LEFT(K5766,2)="W|"),2*N5766*O5766,0)</f>
        <v/>
      </c>
      <c r="Z5766" s="12" t="inlineStr">
        <is>
          <t>device-to-JB field wiring, one cable per device</t>
        </is>
      </c>
      <c r="AA5766" s="12">
        <f>N5766*O5766</f>
        <v/>
      </c>
    </row>
    <row r="5767">
      <c r="A5767" s="12" t="inlineStr">
        <is>
          <t>K-I-0028</t>
        </is>
      </c>
      <c r="B5767" s="12" t="inlineStr">
        <is>
          <t>K</t>
        </is>
      </c>
      <c r="C5767" s="12" t="inlineStr">
        <is>
          <t>Fuel supply (adjacent market)</t>
        </is>
      </c>
      <c r="D5767" s="12" t="inlineStr">
        <is>
          <t>Home run JB-H2 21: rectifier t-DI01 to the control / marshalling room</t>
        </is>
      </c>
      <c r="E5767" s="12" t="inlineStr"/>
      <c r="F5767" s="12" t="inlineStr">
        <is>
          <t>H2 20: 13.8 kV e-house</t>
        </is>
      </c>
      <c r="G5767" s="12" t="inlineStr">
        <is>
          <t>JB-H2 21: rectifier t-DI01</t>
        </is>
      </c>
      <c r="H5767" s="12" t="inlineStr">
        <is>
          <t>H2 21: rectifier transformer 5 (7 MVA)</t>
        </is>
      </c>
      <c r="I5767" s="12" t="inlineStr">
        <is>
          <t>Instrumentation</t>
        </is>
      </c>
      <c r="J5767" s="12" t="inlineStr">
        <is>
          <t>Instrumentation ITC / PLTC, IS, #18 shielded pairs, blue jacket</t>
        </is>
      </c>
      <c r="K5767" s="12" t="inlineStr">
        <is>
          <t>ITC|24 pr|18</t>
        </is>
      </c>
      <c r="L5767" s="12" t="inlineStr">
        <is>
          <t>24 pr</t>
        </is>
      </c>
      <c r="M5767" s="12" t="inlineStr">
        <is>
          <t>18</t>
        </is>
      </c>
      <c r="N5767" s="12" t="n">
        <v>1</v>
      </c>
      <c r="O5767" s="12" t="n">
        <v>1</v>
      </c>
      <c r="P5767" s="12" t="n"/>
      <c r="Q5767" s="12" t="n"/>
      <c r="R5767" s="12" t="n"/>
      <c r="S5767" s="12" t="inlineStr">
        <is>
          <t>Duct bank</t>
        </is>
      </c>
      <c r="T5767" s="16" t="n">
        <v>254</v>
      </c>
      <c r="U5767" s="16" t="n">
        <v>32</v>
      </c>
      <c r="V5767" s="16">
        <f>ROUNDUP((T5767+U5767+2*'Read Me'!$B$13)*(1+'Read Me'!$B$12),-1)</f>
        <v/>
      </c>
      <c r="W5767" s="16">
        <f>V5767*N5767*O5767</f>
        <v/>
      </c>
      <c r="X5767" s="12">
        <f>IF(LEFT(I5767,2)="MV",2*N5767*IF(L5767="1/C",O5767,1),0)</f>
        <v/>
      </c>
      <c r="Y5767" s="12">
        <f>IF(OR(LEFT(K5767,4)="LVAX",LEFT(K5767,6)="MV15AX",LEFT(K5767,4)="CTAX",LEFT(K5767,2)="W|"),2*N5767*O5767,0)</f>
        <v/>
      </c>
      <c r="Z5767" s="12" t="inlineStr"/>
      <c r="AA5767" s="12">
        <f>N5767*O5767</f>
        <v/>
      </c>
    </row>
    <row r="5768">
      <c r="A5768" s="12" t="inlineStr">
        <is>
          <t>K-I-0029</t>
        </is>
      </c>
      <c r="B5768" s="12" t="inlineStr">
        <is>
          <t>K</t>
        </is>
      </c>
      <c r="C5768" s="12" t="inlineStr">
        <is>
          <t>Fuel supply (adjacent market)</t>
        </is>
      </c>
      <c r="D5768" s="12" t="inlineStr">
        <is>
          <t>Analog instrument to JB JB-H2-EL-AI01: 12 x 1 pr (field cables)</t>
        </is>
      </c>
      <c r="E5768" s="12" t="inlineStr">
        <is>
          <t>H2-EL</t>
        </is>
      </c>
      <c r="F5768" s="12" t="inlineStr">
        <is>
          <t>H2 22: electrolyzer building (5 x HyLYZER-1000 + 5 rectifiers)</t>
        </is>
      </c>
      <c r="G5768" s="12" t="inlineStr">
        <is>
          <t>JB-H2-EL-AI01</t>
        </is>
      </c>
      <c r="H5768" s="12" t="inlineStr">
        <is>
          <t>H2 22: electrolyzer building (5 x HyLYZER-1000 + 5 rectifiers)</t>
        </is>
      </c>
      <c r="I5768" s="12" t="inlineStr">
        <is>
          <t>Instrumentation</t>
        </is>
      </c>
      <c r="J5768" s="12" t="inlineStr">
        <is>
          <t>Instrumentation ITC / PLTC, IS, #18 shielded pairs, blue jacket</t>
        </is>
      </c>
      <c r="K5768" s="12" t="inlineStr">
        <is>
          <t>ITC|1 pr|16</t>
        </is>
      </c>
      <c r="L5768" s="12" t="inlineStr">
        <is>
          <t>1 pr</t>
        </is>
      </c>
      <c r="M5768" s="12" t="inlineStr">
        <is>
          <t>16</t>
        </is>
      </c>
      <c r="N5768" s="12" t="n">
        <v>12</v>
      </c>
      <c r="O5768" s="12" t="n">
        <v>1</v>
      </c>
      <c r="P5768" s="12" t="n"/>
      <c r="Q5768" s="12" t="n"/>
      <c r="R5768" s="12" t="n"/>
      <c r="S5768" s="12" t="inlineStr">
        <is>
          <t>Tray / conduit</t>
        </is>
      </c>
      <c r="T5768" s="16" t="n">
        <v>157</v>
      </c>
      <c r="U5768" s="16" t="n">
        <v>10</v>
      </c>
      <c r="V5768" s="16">
        <f>ROUNDUP((T5768+U5768+2*'Read Me'!$B$13)*(1+'Read Me'!$B$12),-1)</f>
        <v/>
      </c>
      <c r="W5768" s="16">
        <f>V5768*N5768*O5768</f>
        <v/>
      </c>
      <c r="X5768" s="12">
        <f>IF(LEFT(I5768,2)="MV",2*N5768*IF(L5768="1/C",O5768,1),0)</f>
        <v/>
      </c>
      <c r="Y5768" s="12">
        <f>IF(OR(LEFT(K5768,4)="LVAX",LEFT(K5768,6)="MV15AX",LEFT(K5768,4)="CTAX",LEFT(K5768,2)="W|"),2*N5768*O5768,0)</f>
        <v/>
      </c>
      <c r="Z5768" s="12" t="inlineStr">
        <is>
          <t>device-to-JB field wiring, one cable per device</t>
        </is>
      </c>
      <c r="AA5768" s="12">
        <f>N5768*O5768</f>
        <v/>
      </c>
    </row>
    <row r="5769">
      <c r="A5769" s="12" t="inlineStr">
        <is>
          <t>K-I-0030</t>
        </is>
      </c>
      <c r="B5769" s="12" t="inlineStr">
        <is>
          <t>K</t>
        </is>
      </c>
      <c r="C5769" s="12" t="inlineStr">
        <is>
          <t>Fuel supply (adjacent market)</t>
        </is>
      </c>
      <c r="D5769" s="12" t="inlineStr">
        <is>
          <t>Home run JB-H2-EL-AI01 to the control / marshalling room</t>
        </is>
      </c>
      <c r="E5769" s="12" t="inlineStr"/>
      <c r="F5769" s="12" t="inlineStr">
        <is>
          <t>H2 20: 13.8 kV e-house</t>
        </is>
      </c>
      <c r="G5769" s="12" t="inlineStr">
        <is>
          <t>JB-H2-EL-AI01</t>
        </is>
      </c>
      <c r="H5769" s="12" t="inlineStr">
        <is>
          <t>H2 22: electrolyzer building (5 x HyLYZER-1000 + 5 rectifiers)</t>
        </is>
      </c>
      <c r="I5769" s="12" t="inlineStr">
        <is>
          <t>Instrumentation</t>
        </is>
      </c>
      <c r="J5769" s="12" t="inlineStr">
        <is>
          <t>Instrumentation ITC / PLTC, IS, #18 shielded pairs, blue jacket</t>
        </is>
      </c>
      <c r="K5769" s="12" t="inlineStr">
        <is>
          <t>ITC|24 pr|18</t>
        </is>
      </c>
      <c r="L5769" s="12" t="inlineStr">
        <is>
          <t>24 pr</t>
        </is>
      </c>
      <c r="M5769" s="12" t="inlineStr">
        <is>
          <t>18</t>
        </is>
      </c>
      <c r="N5769" s="12" t="n">
        <v>1</v>
      </c>
      <c r="O5769" s="12" t="n">
        <v>1</v>
      </c>
      <c r="P5769" s="12" t="n"/>
      <c r="Q5769" s="12" t="n"/>
      <c r="R5769" s="12" t="n"/>
      <c r="S5769" s="12" t="inlineStr">
        <is>
          <t>Duct bank</t>
        </is>
      </c>
      <c r="T5769" s="16" t="n">
        <v>346</v>
      </c>
      <c r="U5769" s="16" t="n">
        <v>32</v>
      </c>
      <c r="V5769" s="16">
        <f>ROUNDUP((T5769+U5769+2*'Read Me'!$B$13)*(1+'Read Me'!$B$12),-1)</f>
        <v/>
      </c>
      <c r="W5769" s="16">
        <f>V5769*N5769*O5769</f>
        <v/>
      </c>
      <c r="X5769" s="12">
        <f>IF(LEFT(I5769,2)="MV",2*N5769*IF(L5769="1/C",O5769,1),0)</f>
        <v/>
      </c>
      <c r="Y5769" s="12">
        <f>IF(OR(LEFT(K5769,4)="LVAX",LEFT(K5769,6)="MV15AX",LEFT(K5769,4)="CTAX",LEFT(K5769,2)="W|"),2*N5769*O5769,0)</f>
        <v/>
      </c>
      <c r="Z5769" s="12" t="inlineStr"/>
      <c r="AA5769" s="12">
        <f>N5769*O5769</f>
        <v/>
      </c>
    </row>
    <row r="5770">
      <c r="A5770" s="12" t="inlineStr">
        <is>
          <t>K-I-0031</t>
        </is>
      </c>
      <c r="B5770" s="12" t="inlineStr">
        <is>
          <t>K</t>
        </is>
      </c>
      <c r="C5770" s="12" t="inlineStr">
        <is>
          <t>Fuel supply (adjacent market)</t>
        </is>
      </c>
      <c r="D5770" s="12" t="inlineStr">
        <is>
          <t>Discrete device to JB JB-H2-EL-DI01: 12 x 1 pr (field cables)</t>
        </is>
      </c>
      <c r="E5770" s="12" t="inlineStr">
        <is>
          <t>H2-EL</t>
        </is>
      </c>
      <c r="F5770" s="12" t="inlineStr">
        <is>
          <t>H2 22: electrolyzer building (5 x HyLYZER-1000 + 5 rectifiers)</t>
        </is>
      </c>
      <c r="G5770" s="12" t="inlineStr">
        <is>
          <t>JB-H2-EL-DI01</t>
        </is>
      </c>
      <c r="H5770" s="12" t="inlineStr">
        <is>
          <t>H2 22: electrolyzer building (5 x HyLYZER-1000 + 5 rectifiers)</t>
        </is>
      </c>
      <c r="I5770" s="12" t="inlineStr">
        <is>
          <t>Instrumentation</t>
        </is>
      </c>
      <c r="J5770" s="12" t="inlineStr">
        <is>
          <t>Instrumentation ITC / PLTC, IS, #18 shielded pairs, blue jacket</t>
        </is>
      </c>
      <c r="K5770" s="12" t="inlineStr">
        <is>
          <t>ITC|1 pr|16</t>
        </is>
      </c>
      <c r="L5770" s="12" t="inlineStr">
        <is>
          <t>1 pr</t>
        </is>
      </c>
      <c r="M5770" s="12" t="inlineStr">
        <is>
          <t>16</t>
        </is>
      </c>
      <c r="N5770" s="12" t="n">
        <v>12</v>
      </c>
      <c r="O5770" s="12" t="n">
        <v>1</v>
      </c>
      <c r="P5770" s="12" t="n"/>
      <c r="Q5770" s="12" t="n"/>
      <c r="R5770" s="12" t="n"/>
      <c r="S5770" s="12" t="inlineStr">
        <is>
          <t>Tray / conduit</t>
        </is>
      </c>
      <c r="T5770" s="16" t="n">
        <v>157</v>
      </c>
      <c r="U5770" s="16" t="n">
        <v>10</v>
      </c>
      <c r="V5770" s="16">
        <f>ROUNDUP((T5770+U5770+2*'Read Me'!$B$13)*(1+'Read Me'!$B$12),-1)</f>
        <v/>
      </c>
      <c r="W5770" s="16">
        <f>V5770*N5770*O5770</f>
        <v/>
      </c>
      <c r="X5770" s="12">
        <f>IF(LEFT(I5770,2)="MV",2*N5770*IF(L5770="1/C",O5770,1),0)</f>
        <v/>
      </c>
      <c r="Y5770" s="12">
        <f>IF(OR(LEFT(K5770,4)="LVAX",LEFT(K5770,6)="MV15AX",LEFT(K5770,4)="CTAX",LEFT(K5770,2)="W|"),2*N5770*O5770,0)</f>
        <v/>
      </c>
      <c r="Z5770" s="12" t="inlineStr">
        <is>
          <t>device-to-JB field wiring, one cable per device</t>
        </is>
      </c>
      <c r="AA5770" s="12">
        <f>N5770*O5770</f>
        <v/>
      </c>
    </row>
    <row r="5771">
      <c r="A5771" s="12" t="inlineStr">
        <is>
          <t>K-I-0032</t>
        </is>
      </c>
      <c r="B5771" s="12" t="inlineStr">
        <is>
          <t>K</t>
        </is>
      </c>
      <c r="C5771" s="12" t="inlineStr">
        <is>
          <t>Fuel supply (adjacent market)</t>
        </is>
      </c>
      <c r="D5771" s="12" t="inlineStr">
        <is>
          <t>Home run JB-H2-EL-DI01 to the control / marshalling room</t>
        </is>
      </c>
      <c r="E5771" s="12" t="inlineStr"/>
      <c r="F5771" s="12" t="inlineStr">
        <is>
          <t>H2 20: 13.8 kV e-house</t>
        </is>
      </c>
      <c r="G5771" s="12" t="inlineStr">
        <is>
          <t>JB-H2-EL-DI01</t>
        </is>
      </c>
      <c r="H5771" s="12" t="inlineStr">
        <is>
          <t>H2 22: electrolyzer building (5 x HyLYZER-1000 + 5 rectifiers)</t>
        </is>
      </c>
      <c r="I5771" s="12" t="inlineStr">
        <is>
          <t>Instrumentation</t>
        </is>
      </c>
      <c r="J5771" s="12" t="inlineStr">
        <is>
          <t>Instrumentation ITC / PLTC, IS, #18 shielded pairs, blue jacket</t>
        </is>
      </c>
      <c r="K5771" s="12" t="inlineStr">
        <is>
          <t>ITC|24 pr|18</t>
        </is>
      </c>
      <c r="L5771" s="12" t="inlineStr">
        <is>
          <t>24 pr</t>
        </is>
      </c>
      <c r="M5771" s="12" t="inlineStr">
        <is>
          <t>18</t>
        </is>
      </c>
      <c r="N5771" s="12" t="n">
        <v>1</v>
      </c>
      <c r="O5771" s="12" t="n">
        <v>1</v>
      </c>
      <c r="P5771" s="12" t="n"/>
      <c r="Q5771" s="12" t="n"/>
      <c r="R5771" s="12" t="n"/>
      <c r="S5771" s="12" t="inlineStr">
        <is>
          <t>Duct bank</t>
        </is>
      </c>
      <c r="T5771" s="16" t="n">
        <v>346</v>
      </c>
      <c r="U5771" s="16" t="n">
        <v>32</v>
      </c>
      <c r="V5771" s="16">
        <f>ROUNDUP((T5771+U5771+2*'Read Me'!$B$13)*(1+'Read Me'!$B$12),-1)</f>
        <v/>
      </c>
      <c r="W5771" s="16">
        <f>V5771*N5771*O5771</f>
        <v/>
      </c>
      <c r="X5771" s="12">
        <f>IF(LEFT(I5771,2)="MV",2*N5771*IF(L5771="1/C",O5771,1),0)</f>
        <v/>
      </c>
      <c r="Y5771" s="12">
        <f>IF(OR(LEFT(K5771,4)="LVAX",LEFT(K5771,6)="MV15AX",LEFT(K5771,4)="CTAX",LEFT(K5771,2)="W|"),2*N5771*O5771,0)</f>
        <v/>
      </c>
      <c r="Z5771" s="12" t="inlineStr"/>
      <c r="AA5771" s="12">
        <f>N5771*O5771</f>
        <v/>
      </c>
    </row>
    <row r="5772">
      <c r="A5772" s="12" t="inlineStr">
        <is>
          <t>K-I-0033</t>
        </is>
      </c>
      <c r="B5772" s="12" t="inlineStr">
        <is>
          <t>K</t>
        </is>
      </c>
      <c r="C5772" s="12" t="inlineStr">
        <is>
          <t>Fuel supply (adjacent market)</t>
        </is>
      </c>
      <c r="D5772" s="12" t="inlineStr">
        <is>
          <t>Analog instrument to JB JB-H2 23: dry coolers-AI01: 12 x 1 pr (field cables)</t>
        </is>
      </c>
      <c r="E5772" s="12" t="inlineStr"/>
      <c r="F5772" s="12" t="inlineStr">
        <is>
          <t>H2 23: dry coolers</t>
        </is>
      </c>
      <c r="G5772" s="12" t="inlineStr">
        <is>
          <t>JB-H2 23: dry coolers-AI01</t>
        </is>
      </c>
      <c r="H5772" s="12" t="inlineStr">
        <is>
          <t>H2 23: dry coolers</t>
        </is>
      </c>
      <c r="I5772" s="12" t="inlineStr">
        <is>
          <t>Instrumentation</t>
        </is>
      </c>
      <c r="J5772" s="12" t="inlineStr">
        <is>
          <t>Instrumentation ITC / PLTC, IS, #18 shielded pairs, blue jacket</t>
        </is>
      </c>
      <c r="K5772" s="12" t="inlineStr">
        <is>
          <t>ITC|1 pr|16</t>
        </is>
      </c>
      <c r="L5772" s="12" t="inlineStr">
        <is>
          <t>1 pr</t>
        </is>
      </c>
      <c r="M5772" s="12" t="inlineStr">
        <is>
          <t>16</t>
        </is>
      </c>
      <c r="N5772" s="12" t="n">
        <v>12</v>
      </c>
      <c r="O5772" s="12" t="n">
        <v>1</v>
      </c>
      <c r="P5772" s="12" t="n"/>
      <c r="Q5772" s="12" t="n"/>
      <c r="R5772" s="12" t="n"/>
      <c r="S5772" s="12" t="inlineStr">
        <is>
          <t>Tray / conduit</t>
        </is>
      </c>
      <c r="T5772" s="16" t="n">
        <v>111</v>
      </c>
      <c r="U5772" s="16" t="n">
        <v>10</v>
      </c>
      <c r="V5772" s="16">
        <f>ROUNDUP((T5772+U5772+2*'Read Me'!$B$13)*(1+'Read Me'!$B$12),-1)</f>
        <v/>
      </c>
      <c r="W5772" s="16">
        <f>V5772*N5772*O5772</f>
        <v/>
      </c>
      <c r="X5772" s="12">
        <f>IF(LEFT(I5772,2)="MV",2*N5772*IF(L5772="1/C",O5772,1),0)</f>
        <v/>
      </c>
      <c r="Y5772" s="12">
        <f>IF(OR(LEFT(K5772,4)="LVAX",LEFT(K5772,6)="MV15AX",LEFT(K5772,4)="CTAX",LEFT(K5772,2)="W|"),2*N5772*O5772,0)</f>
        <v/>
      </c>
      <c r="Z5772" s="12" t="inlineStr">
        <is>
          <t>device-to-JB field wiring, one cable per device</t>
        </is>
      </c>
      <c r="AA5772" s="12">
        <f>N5772*O5772</f>
        <v/>
      </c>
    </row>
    <row r="5773">
      <c r="A5773" s="12" t="inlineStr">
        <is>
          <t>K-I-0034</t>
        </is>
      </c>
      <c r="B5773" s="12" t="inlineStr">
        <is>
          <t>K</t>
        </is>
      </c>
      <c r="C5773" s="12" t="inlineStr">
        <is>
          <t>Fuel supply (adjacent market)</t>
        </is>
      </c>
      <c r="D5773" s="12" t="inlineStr">
        <is>
          <t>Home run JB-H2 23: dry coolers-AI01 to the control / marshalling room</t>
        </is>
      </c>
      <c r="E5773" s="12" t="inlineStr"/>
      <c r="F5773" s="12" t="inlineStr">
        <is>
          <t>H2 20: 13.8 kV e-house</t>
        </is>
      </c>
      <c r="G5773" s="12" t="inlineStr">
        <is>
          <t>JB-H2 23: dry coolers-AI01</t>
        </is>
      </c>
      <c r="H5773" s="12" t="inlineStr">
        <is>
          <t>H2 23: dry coolers</t>
        </is>
      </c>
      <c r="I5773" s="12" t="inlineStr">
        <is>
          <t>Instrumentation</t>
        </is>
      </c>
      <c r="J5773" s="12" t="inlineStr">
        <is>
          <t>Instrumentation ITC / PLTC, IS, #18 shielded pairs, blue jacket</t>
        </is>
      </c>
      <c r="K5773" s="12" t="inlineStr">
        <is>
          <t>ITC|24 pr|18</t>
        </is>
      </c>
      <c r="L5773" s="12" t="inlineStr">
        <is>
          <t>24 pr</t>
        </is>
      </c>
      <c r="M5773" s="12" t="inlineStr">
        <is>
          <t>18</t>
        </is>
      </c>
      <c r="N5773" s="12" t="n">
        <v>1</v>
      </c>
      <c r="O5773" s="12" t="n">
        <v>1</v>
      </c>
      <c r="P5773" s="12" t="n"/>
      <c r="Q5773" s="12" t="n"/>
      <c r="R5773" s="12" t="n"/>
      <c r="S5773" s="12" t="inlineStr">
        <is>
          <t>Duct bank</t>
        </is>
      </c>
      <c r="T5773" s="16" t="n">
        <v>100</v>
      </c>
      <c r="U5773" s="16" t="n">
        <v>32</v>
      </c>
      <c r="V5773" s="16">
        <f>ROUNDUP((T5773+U5773+2*'Read Me'!$B$13)*(1+'Read Me'!$B$12),-1)</f>
        <v/>
      </c>
      <c r="W5773" s="16">
        <f>V5773*N5773*O5773</f>
        <v/>
      </c>
      <c r="X5773" s="12">
        <f>IF(LEFT(I5773,2)="MV",2*N5773*IF(L5773="1/C",O5773,1),0)</f>
        <v/>
      </c>
      <c r="Y5773" s="12">
        <f>IF(OR(LEFT(K5773,4)="LVAX",LEFT(K5773,6)="MV15AX",LEFT(K5773,4)="CTAX",LEFT(K5773,2)="W|"),2*N5773*O5773,0)</f>
        <v/>
      </c>
      <c r="Z5773" s="12" t="inlineStr"/>
      <c r="AA5773" s="12">
        <f>N5773*O5773</f>
        <v/>
      </c>
    </row>
    <row r="5774">
      <c r="A5774" s="12" t="inlineStr">
        <is>
          <t>K-I-0035</t>
        </is>
      </c>
      <c r="B5774" s="12" t="inlineStr">
        <is>
          <t>K</t>
        </is>
      </c>
      <c r="C5774" s="12" t="inlineStr">
        <is>
          <t>Fuel supply (adjacent market)</t>
        </is>
      </c>
      <c r="D5774" s="12" t="inlineStr">
        <is>
          <t>Discrete device to JB JB-H2 23: dry coolers-DI01: 12 x 1 pr (field cables)</t>
        </is>
      </c>
      <c r="E5774" s="12" t="inlineStr"/>
      <c r="F5774" s="12" t="inlineStr">
        <is>
          <t>H2 23: dry coolers</t>
        </is>
      </c>
      <c r="G5774" s="12" t="inlineStr">
        <is>
          <t>JB-H2 23: dry coolers-DI01</t>
        </is>
      </c>
      <c r="H5774" s="12" t="inlineStr">
        <is>
          <t>H2 23: dry coolers</t>
        </is>
      </c>
      <c r="I5774" s="12" t="inlineStr">
        <is>
          <t>Instrumentation</t>
        </is>
      </c>
      <c r="J5774" s="12" t="inlineStr">
        <is>
          <t>Instrumentation ITC / PLTC, IS, #18 shielded pairs, blue jacket</t>
        </is>
      </c>
      <c r="K5774" s="12" t="inlineStr">
        <is>
          <t>ITC|1 pr|16</t>
        </is>
      </c>
      <c r="L5774" s="12" t="inlineStr">
        <is>
          <t>1 pr</t>
        </is>
      </c>
      <c r="M5774" s="12" t="inlineStr">
        <is>
          <t>16</t>
        </is>
      </c>
      <c r="N5774" s="12" t="n">
        <v>12</v>
      </c>
      <c r="O5774" s="12" t="n">
        <v>1</v>
      </c>
      <c r="P5774" s="12" t="n"/>
      <c r="Q5774" s="12" t="n"/>
      <c r="R5774" s="12" t="n"/>
      <c r="S5774" s="12" t="inlineStr">
        <is>
          <t>Tray / conduit</t>
        </is>
      </c>
      <c r="T5774" s="16" t="n">
        <v>111</v>
      </c>
      <c r="U5774" s="16" t="n">
        <v>10</v>
      </c>
      <c r="V5774" s="16">
        <f>ROUNDUP((T5774+U5774+2*'Read Me'!$B$13)*(1+'Read Me'!$B$12),-1)</f>
        <v/>
      </c>
      <c r="W5774" s="16">
        <f>V5774*N5774*O5774</f>
        <v/>
      </c>
      <c r="X5774" s="12">
        <f>IF(LEFT(I5774,2)="MV",2*N5774*IF(L5774="1/C",O5774,1),0)</f>
        <v/>
      </c>
      <c r="Y5774" s="12">
        <f>IF(OR(LEFT(K5774,4)="LVAX",LEFT(K5774,6)="MV15AX",LEFT(K5774,4)="CTAX",LEFT(K5774,2)="W|"),2*N5774*O5774,0)</f>
        <v/>
      </c>
      <c r="Z5774" s="12" t="inlineStr">
        <is>
          <t>device-to-JB field wiring, one cable per device</t>
        </is>
      </c>
      <c r="AA5774" s="12">
        <f>N5774*O5774</f>
        <v/>
      </c>
    </row>
    <row r="5775">
      <c r="A5775" s="12" t="inlineStr">
        <is>
          <t>K-I-0036</t>
        </is>
      </c>
      <c r="B5775" s="12" t="inlineStr">
        <is>
          <t>K</t>
        </is>
      </c>
      <c r="C5775" s="12" t="inlineStr">
        <is>
          <t>Fuel supply (adjacent market)</t>
        </is>
      </c>
      <c r="D5775" s="12" t="inlineStr">
        <is>
          <t>Home run JB-H2 23: dry coolers-DI01 to the control / marshalling room</t>
        </is>
      </c>
      <c r="E5775" s="12" t="inlineStr"/>
      <c r="F5775" s="12" t="inlineStr">
        <is>
          <t>H2 20: 13.8 kV e-house</t>
        </is>
      </c>
      <c r="G5775" s="12" t="inlineStr">
        <is>
          <t>JB-H2 23: dry coolers-DI01</t>
        </is>
      </c>
      <c r="H5775" s="12" t="inlineStr">
        <is>
          <t>H2 23: dry coolers</t>
        </is>
      </c>
      <c r="I5775" s="12" t="inlineStr">
        <is>
          <t>Instrumentation</t>
        </is>
      </c>
      <c r="J5775" s="12" t="inlineStr">
        <is>
          <t>Instrumentation ITC / PLTC, IS, #18 shielded pairs, blue jacket</t>
        </is>
      </c>
      <c r="K5775" s="12" t="inlineStr">
        <is>
          <t>ITC|24 pr|18</t>
        </is>
      </c>
      <c r="L5775" s="12" t="inlineStr">
        <is>
          <t>24 pr</t>
        </is>
      </c>
      <c r="M5775" s="12" t="inlineStr">
        <is>
          <t>18</t>
        </is>
      </c>
      <c r="N5775" s="12" t="n">
        <v>1</v>
      </c>
      <c r="O5775" s="12" t="n">
        <v>1</v>
      </c>
      <c r="P5775" s="12" t="n"/>
      <c r="Q5775" s="12" t="n"/>
      <c r="R5775" s="12" t="n"/>
      <c r="S5775" s="12" t="inlineStr">
        <is>
          <t>Duct bank</t>
        </is>
      </c>
      <c r="T5775" s="16" t="n">
        <v>100</v>
      </c>
      <c r="U5775" s="16" t="n">
        <v>32</v>
      </c>
      <c r="V5775" s="16">
        <f>ROUNDUP((T5775+U5775+2*'Read Me'!$B$13)*(1+'Read Me'!$B$12),-1)</f>
        <v/>
      </c>
      <c r="W5775" s="16">
        <f>V5775*N5775*O5775</f>
        <v/>
      </c>
      <c r="X5775" s="12">
        <f>IF(LEFT(I5775,2)="MV",2*N5775*IF(L5775="1/C",O5775,1),0)</f>
        <v/>
      </c>
      <c r="Y5775" s="12">
        <f>IF(OR(LEFT(K5775,4)="LVAX",LEFT(K5775,6)="MV15AX",LEFT(K5775,4)="CTAX",LEFT(K5775,2)="W|"),2*N5775*O5775,0)</f>
        <v/>
      </c>
      <c r="Z5775" s="12" t="inlineStr"/>
      <c r="AA5775" s="12">
        <f>N5775*O5775</f>
        <v/>
      </c>
    </row>
    <row r="5776">
      <c r="A5776" s="12" t="inlineStr">
        <is>
          <t>K-I-0037</t>
        </is>
      </c>
      <c r="B5776" s="12" t="inlineStr">
        <is>
          <t>K</t>
        </is>
      </c>
      <c r="C5776" s="12" t="inlineStr">
        <is>
          <t>Fuel supply (adjacent market)</t>
        </is>
      </c>
      <c r="D5776" s="12" t="inlineStr">
        <is>
          <t>Analog instrument to JB JB-H2 24: water purif-AI01: 12 x 1 pr (field cables)</t>
        </is>
      </c>
      <c r="E5776" s="12" t="inlineStr"/>
      <c r="F5776" s="12" t="inlineStr">
        <is>
          <t>H2 24: water purification (RO / EDI)</t>
        </is>
      </c>
      <c r="G5776" s="12" t="inlineStr">
        <is>
          <t>JB-H2 24: water purif-AI01</t>
        </is>
      </c>
      <c r="H5776" s="12" t="inlineStr">
        <is>
          <t>H2 24: water purification (RO / EDI)</t>
        </is>
      </c>
      <c r="I5776" s="12" t="inlineStr">
        <is>
          <t>Instrumentation</t>
        </is>
      </c>
      <c r="J5776" s="12" t="inlineStr">
        <is>
          <t>Instrumentation ITC / PLTC, IS, #18 shielded pairs, blue jacket</t>
        </is>
      </c>
      <c r="K5776" s="12" t="inlineStr">
        <is>
          <t>ITC|1 pr|16</t>
        </is>
      </c>
      <c r="L5776" s="12" t="inlineStr">
        <is>
          <t>1 pr</t>
        </is>
      </c>
      <c r="M5776" s="12" t="inlineStr">
        <is>
          <t>16</t>
        </is>
      </c>
      <c r="N5776" s="12" t="n">
        <v>12</v>
      </c>
      <c r="O5776" s="12" t="n">
        <v>1</v>
      </c>
      <c r="P5776" s="12" t="n"/>
      <c r="Q5776" s="12" t="n"/>
      <c r="R5776" s="12" t="n"/>
      <c r="S5776" s="12" t="inlineStr">
        <is>
          <t>Tray / conduit</t>
        </is>
      </c>
      <c r="T5776" s="16" t="n">
        <v>60</v>
      </c>
      <c r="U5776" s="16" t="n">
        <v>10</v>
      </c>
      <c r="V5776" s="16">
        <f>ROUNDUP((T5776+U5776+2*'Read Me'!$B$13)*(1+'Read Me'!$B$12),-1)</f>
        <v/>
      </c>
      <c r="W5776" s="16">
        <f>V5776*N5776*O5776</f>
        <v/>
      </c>
      <c r="X5776" s="12">
        <f>IF(LEFT(I5776,2)="MV",2*N5776*IF(L5776="1/C",O5776,1),0)</f>
        <v/>
      </c>
      <c r="Y5776" s="12">
        <f>IF(OR(LEFT(K5776,4)="LVAX",LEFT(K5776,6)="MV15AX",LEFT(K5776,4)="CTAX",LEFT(K5776,2)="W|"),2*N5776*O5776,0)</f>
        <v/>
      </c>
      <c r="Z5776" s="12" t="inlineStr">
        <is>
          <t>device-to-JB field wiring, one cable per device</t>
        </is>
      </c>
      <c r="AA5776" s="12">
        <f>N5776*O5776</f>
        <v/>
      </c>
    </row>
    <row r="5777">
      <c r="A5777" s="12" t="inlineStr">
        <is>
          <t>K-I-0038</t>
        </is>
      </c>
      <c r="B5777" s="12" t="inlineStr">
        <is>
          <t>K</t>
        </is>
      </c>
      <c r="C5777" s="12" t="inlineStr">
        <is>
          <t>Fuel supply (adjacent market)</t>
        </is>
      </c>
      <c r="D5777" s="12" t="inlineStr">
        <is>
          <t>Home run JB-H2 24: water purif-AI01 to the control / marshalling room</t>
        </is>
      </c>
      <c r="E5777" s="12" t="inlineStr"/>
      <c r="F5777" s="12" t="inlineStr">
        <is>
          <t>H2 20: 13.8 kV e-house</t>
        </is>
      </c>
      <c r="G5777" s="12" t="inlineStr">
        <is>
          <t>JB-H2 24: water purif-AI01</t>
        </is>
      </c>
      <c r="H5777" s="12" t="inlineStr">
        <is>
          <t>H2 24: water purification (RO / EDI)</t>
        </is>
      </c>
      <c r="I5777" s="12" t="inlineStr">
        <is>
          <t>Instrumentation</t>
        </is>
      </c>
      <c r="J5777" s="12" t="inlineStr">
        <is>
          <t>Instrumentation ITC / PLTC, IS, #18 shielded pairs, blue jacket</t>
        </is>
      </c>
      <c r="K5777" s="12" t="inlineStr">
        <is>
          <t>ITC|24 pr|18</t>
        </is>
      </c>
      <c r="L5777" s="12" t="inlineStr">
        <is>
          <t>24 pr</t>
        </is>
      </c>
      <c r="M5777" s="12" t="inlineStr">
        <is>
          <t>18</t>
        </is>
      </c>
      <c r="N5777" s="12" t="n">
        <v>1</v>
      </c>
      <c r="O5777" s="12" t="n">
        <v>1</v>
      </c>
      <c r="P5777" s="12" t="n"/>
      <c r="Q5777" s="12" t="n"/>
      <c r="R5777" s="12" t="n"/>
      <c r="S5777" s="12" t="inlineStr">
        <is>
          <t>Duct bank</t>
        </is>
      </c>
      <c r="T5777" s="16" t="n">
        <v>146</v>
      </c>
      <c r="U5777" s="16" t="n">
        <v>32</v>
      </c>
      <c r="V5777" s="16">
        <f>ROUNDUP((T5777+U5777+2*'Read Me'!$B$13)*(1+'Read Me'!$B$12),-1)</f>
        <v/>
      </c>
      <c r="W5777" s="16">
        <f>V5777*N5777*O5777</f>
        <v/>
      </c>
      <c r="X5777" s="12">
        <f>IF(LEFT(I5777,2)="MV",2*N5777*IF(L5777="1/C",O5777,1),0)</f>
        <v/>
      </c>
      <c r="Y5777" s="12">
        <f>IF(OR(LEFT(K5777,4)="LVAX",LEFT(K5777,6)="MV15AX",LEFT(K5777,4)="CTAX",LEFT(K5777,2)="W|"),2*N5777*O5777,0)</f>
        <v/>
      </c>
      <c r="Z5777" s="12" t="inlineStr"/>
      <c r="AA5777" s="12">
        <f>N5777*O5777</f>
        <v/>
      </c>
    </row>
    <row r="5778">
      <c r="A5778" s="12" t="inlineStr">
        <is>
          <t>K-I-0039</t>
        </is>
      </c>
      <c r="B5778" s="12" t="inlineStr">
        <is>
          <t>K</t>
        </is>
      </c>
      <c r="C5778" s="12" t="inlineStr">
        <is>
          <t>Fuel supply (adjacent market)</t>
        </is>
      </c>
      <c r="D5778" s="12" t="inlineStr">
        <is>
          <t>Discrete device to JB JB-H2 24: water purif-DI01: 12 x 1 pr (field cables)</t>
        </is>
      </c>
      <c r="E5778" s="12" t="inlineStr"/>
      <c r="F5778" s="12" t="inlineStr">
        <is>
          <t>H2 24: water purification (RO / EDI)</t>
        </is>
      </c>
      <c r="G5778" s="12" t="inlineStr">
        <is>
          <t>JB-H2 24: water purif-DI01</t>
        </is>
      </c>
      <c r="H5778" s="12" t="inlineStr">
        <is>
          <t>H2 24: water purification (RO / EDI)</t>
        </is>
      </c>
      <c r="I5778" s="12" t="inlineStr">
        <is>
          <t>Instrumentation</t>
        </is>
      </c>
      <c r="J5778" s="12" t="inlineStr">
        <is>
          <t>Instrumentation ITC / PLTC, IS, #18 shielded pairs, blue jacket</t>
        </is>
      </c>
      <c r="K5778" s="12" t="inlineStr">
        <is>
          <t>ITC|1 pr|16</t>
        </is>
      </c>
      <c r="L5778" s="12" t="inlineStr">
        <is>
          <t>1 pr</t>
        </is>
      </c>
      <c r="M5778" s="12" t="inlineStr">
        <is>
          <t>16</t>
        </is>
      </c>
      <c r="N5778" s="12" t="n">
        <v>12</v>
      </c>
      <c r="O5778" s="12" t="n">
        <v>1</v>
      </c>
      <c r="P5778" s="12" t="n"/>
      <c r="Q5778" s="12" t="n"/>
      <c r="R5778" s="12" t="n"/>
      <c r="S5778" s="12" t="inlineStr">
        <is>
          <t>Tray / conduit</t>
        </is>
      </c>
      <c r="T5778" s="16" t="n">
        <v>60</v>
      </c>
      <c r="U5778" s="16" t="n">
        <v>10</v>
      </c>
      <c r="V5778" s="16">
        <f>ROUNDUP((T5778+U5778+2*'Read Me'!$B$13)*(1+'Read Me'!$B$12),-1)</f>
        <v/>
      </c>
      <c r="W5778" s="16">
        <f>V5778*N5778*O5778</f>
        <v/>
      </c>
      <c r="X5778" s="12">
        <f>IF(LEFT(I5778,2)="MV",2*N5778*IF(L5778="1/C",O5778,1),0)</f>
        <v/>
      </c>
      <c r="Y5778" s="12">
        <f>IF(OR(LEFT(K5778,4)="LVAX",LEFT(K5778,6)="MV15AX",LEFT(K5778,4)="CTAX",LEFT(K5778,2)="W|"),2*N5778*O5778,0)</f>
        <v/>
      </c>
      <c r="Z5778" s="12" t="inlineStr">
        <is>
          <t>device-to-JB field wiring, one cable per device</t>
        </is>
      </c>
      <c r="AA5778" s="12">
        <f>N5778*O5778</f>
        <v/>
      </c>
    </row>
    <row r="5779">
      <c r="A5779" s="12" t="inlineStr">
        <is>
          <t>K-I-0040</t>
        </is>
      </c>
      <c r="B5779" s="12" t="inlineStr">
        <is>
          <t>K</t>
        </is>
      </c>
      <c r="C5779" s="12" t="inlineStr">
        <is>
          <t>Fuel supply (adjacent market)</t>
        </is>
      </c>
      <c r="D5779" s="12" t="inlineStr">
        <is>
          <t>Home run JB-H2 24: water purif-DI01 to the control / marshalling room</t>
        </is>
      </c>
      <c r="E5779" s="12" t="inlineStr"/>
      <c r="F5779" s="12" t="inlineStr">
        <is>
          <t>H2 20: 13.8 kV e-house</t>
        </is>
      </c>
      <c r="G5779" s="12" t="inlineStr">
        <is>
          <t>JB-H2 24: water purif-DI01</t>
        </is>
      </c>
      <c r="H5779" s="12" t="inlineStr">
        <is>
          <t>H2 24: water purification (RO / EDI)</t>
        </is>
      </c>
      <c r="I5779" s="12" t="inlineStr">
        <is>
          <t>Instrumentation</t>
        </is>
      </c>
      <c r="J5779" s="12" t="inlineStr">
        <is>
          <t>Instrumentation ITC / PLTC, IS, #18 shielded pairs, blue jacket</t>
        </is>
      </c>
      <c r="K5779" s="12" t="inlineStr">
        <is>
          <t>ITC|24 pr|18</t>
        </is>
      </c>
      <c r="L5779" s="12" t="inlineStr">
        <is>
          <t>24 pr</t>
        </is>
      </c>
      <c r="M5779" s="12" t="inlineStr">
        <is>
          <t>18</t>
        </is>
      </c>
      <c r="N5779" s="12" t="n">
        <v>1</v>
      </c>
      <c r="O5779" s="12" t="n">
        <v>1</v>
      </c>
      <c r="P5779" s="12" t="n"/>
      <c r="Q5779" s="12" t="n"/>
      <c r="R5779" s="12" t="n"/>
      <c r="S5779" s="12" t="inlineStr">
        <is>
          <t>Duct bank</t>
        </is>
      </c>
      <c r="T5779" s="16" t="n">
        <v>146</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K-I-0041</t>
        </is>
      </c>
      <c r="B5780" s="12" t="inlineStr">
        <is>
          <t>K</t>
        </is>
      </c>
      <c r="C5780" s="12" t="inlineStr">
        <is>
          <t>Fuel supply (adjacent market)</t>
        </is>
      </c>
      <c r="D5780" s="12" t="inlineStr">
        <is>
          <t>Analog instrument to JB JB-H2 25: H2 dryer / -AI01: 12 x 1 pr (field cables)</t>
        </is>
      </c>
      <c r="E5780" s="12" t="inlineStr"/>
      <c r="F5780" s="12" t="inlineStr">
        <is>
          <t>H2 25: H2 dryer / purification</t>
        </is>
      </c>
      <c r="G5780" s="12" t="inlineStr">
        <is>
          <t>JB-H2 25: H2 dryer / -AI01</t>
        </is>
      </c>
      <c r="H5780" s="12" t="inlineStr">
        <is>
          <t>H2 25: H2 dryer / purification</t>
        </is>
      </c>
      <c r="I5780" s="12" t="inlineStr">
        <is>
          <t>Instrumentation</t>
        </is>
      </c>
      <c r="J5780" s="12" t="inlineStr">
        <is>
          <t>Instrumentation ITC / PLTC, IS, #18 shielded pairs, blue jacket</t>
        </is>
      </c>
      <c r="K5780" s="12" t="inlineStr">
        <is>
          <t>ITC|1 pr|16</t>
        </is>
      </c>
      <c r="L5780" s="12" t="inlineStr">
        <is>
          <t>1 pr</t>
        </is>
      </c>
      <c r="M5780" s="12" t="inlineStr">
        <is>
          <t>16</t>
        </is>
      </c>
      <c r="N5780" s="12" t="n">
        <v>12</v>
      </c>
      <c r="O5780" s="12" t="n">
        <v>1</v>
      </c>
      <c r="P5780" s="12" t="n"/>
      <c r="Q5780" s="12" t="n"/>
      <c r="R5780" s="12" t="n"/>
      <c r="S5780" s="12" t="inlineStr">
        <is>
          <t>Tray / conduit</t>
        </is>
      </c>
      <c r="T5780" s="16" t="n">
        <v>60</v>
      </c>
      <c r="U5780" s="16" t="n">
        <v>10</v>
      </c>
      <c r="V5780" s="16">
        <f>ROUNDUP((T5780+U5780+2*'Read Me'!$B$13)*(1+'Read Me'!$B$12),-1)</f>
        <v/>
      </c>
      <c r="W5780" s="16">
        <f>V5780*N5780*O5780</f>
        <v/>
      </c>
      <c r="X5780" s="12">
        <f>IF(LEFT(I5780,2)="MV",2*N5780*IF(L5780="1/C",O5780,1),0)</f>
        <v/>
      </c>
      <c r="Y5780" s="12">
        <f>IF(OR(LEFT(K5780,4)="LVAX",LEFT(K5780,6)="MV15AX",LEFT(K5780,4)="CTAX",LEFT(K5780,2)="W|"),2*N5780*O5780,0)</f>
        <v/>
      </c>
      <c r="Z5780" s="12" t="inlineStr">
        <is>
          <t>device-to-JB field wiring, one cable per device</t>
        </is>
      </c>
      <c r="AA5780" s="12">
        <f>N5780*O5780</f>
        <v/>
      </c>
    </row>
    <row r="5781">
      <c r="A5781" s="12" t="inlineStr">
        <is>
          <t>K-I-0042</t>
        </is>
      </c>
      <c r="B5781" s="12" t="inlineStr">
        <is>
          <t>K</t>
        </is>
      </c>
      <c r="C5781" s="12" t="inlineStr">
        <is>
          <t>Fuel supply (adjacent market)</t>
        </is>
      </c>
      <c r="D5781" s="12" t="inlineStr">
        <is>
          <t>Home run JB-H2 25: H2 dryer / -AI01 to the control / marshalling room</t>
        </is>
      </c>
      <c r="E5781" s="12" t="inlineStr"/>
      <c r="F5781" s="12" t="inlineStr">
        <is>
          <t>H2 20: 13.8 kV e-house</t>
        </is>
      </c>
      <c r="G5781" s="12" t="inlineStr">
        <is>
          <t>JB-H2 25: H2 dryer / -AI01</t>
        </is>
      </c>
      <c r="H5781" s="12" t="inlineStr">
        <is>
          <t>H2 25: H2 dryer / purification</t>
        </is>
      </c>
      <c r="I5781" s="12" t="inlineStr">
        <is>
          <t>Instrumentation</t>
        </is>
      </c>
      <c r="J5781" s="12" t="inlineStr">
        <is>
          <t>Instrumentation ITC / PLTC, IS, #18 shielded pairs, blue jacket</t>
        </is>
      </c>
      <c r="K5781" s="12" t="inlineStr">
        <is>
          <t>ITC|24 pr|18</t>
        </is>
      </c>
      <c r="L5781" s="12" t="inlineStr">
        <is>
          <t>24 pr</t>
        </is>
      </c>
      <c r="M5781" s="12" t="inlineStr">
        <is>
          <t>18</t>
        </is>
      </c>
      <c r="N5781" s="12" t="n">
        <v>1</v>
      </c>
      <c r="O5781" s="12" t="n">
        <v>1</v>
      </c>
      <c r="P5781" s="12" t="n"/>
      <c r="Q5781" s="12" t="n"/>
      <c r="R5781" s="12" t="n"/>
      <c r="S5781" s="12" t="inlineStr">
        <is>
          <t>Duct bank</t>
        </is>
      </c>
      <c r="T5781" s="16" t="n">
        <v>0</v>
      </c>
      <c r="U5781" s="16" t="n">
        <v>49</v>
      </c>
      <c r="V5781" s="16">
        <f>ROUNDUP((T5781+U5781+2*'Read Me'!$B$13)*(1+'Read Me'!$B$12),-1)</f>
        <v/>
      </c>
      <c r="W5781" s="16">
        <f>V5781*N5781*O5781</f>
        <v/>
      </c>
      <c r="X5781" s="12">
        <f>IF(LEFT(I5781,2)="MV",2*N5781*IF(L5781="1/C",O5781,1),0)</f>
        <v/>
      </c>
      <c r="Y5781" s="12">
        <f>IF(OR(LEFT(K5781,4)="LVAX",LEFT(K5781,6)="MV15AX",LEFT(K5781,4)="CTAX",LEFT(K5781,2)="W|"),2*N5781*O5781,0)</f>
        <v/>
      </c>
      <c r="Z5781" s="12" t="inlineStr"/>
      <c r="AA5781" s="12">
        <f>N5781*O5781</f>
        <v/>
      </c>
    </row>
    <row r="5782">
      <c r="A5782" s="12" t="inlineStr">
        <is>
          <t>K-I-0043</t>
        </is>
      </c>
      <c r="B5782" s="12" t="inlineStr">
        <is>
          <t>K</t>
        </is>
      </c>
      <c r="C5782" s="12" t="inlineStr">
        <is>
          <t>Fuel supply (adjacent market)</t>
        </is>
      </c>
      <c r="D5782" s="12" t="inlineStr">
        <is>
          <t>Discrete device to JB JB-H2 25: H2 dryer / -DI01: 12 x 1 pr (field cables)</t>
        </is>
      </c>
      <c r="E5782" s="12" t="inlineStr"/>
      <c r="F5782" s="12" t="inlineStr">
        <is>
          <t>H2 25: H2 dryer / purification</t>
        </is>
      </c>
      <c r="G5782" s="12" t="inlineStr">
        <is>
          <t>JB-H2 25: H2 dryer / -DI01</t>
        </is>
      </c>
      <c r="H5782" s="12" t="inlineStr">
        <is>
          <t>H2 25: H2 dryer / purification</t>
        </is>
      </c>
      <c r="I5782" s="12" t="inlineStr">
        <is>
          <t>Instrumentation</t>
        </is>
      </c>
      <c r="J5782" s="12" t="inlineStr">
        <is>
          <t>Instrumentation ITC / PLTC, IS, #18 shielded pairs, blue jacket</t>
        </is>
      </c>
      <c r="K5782" s="12" t="inlineStr">
        <is>
          <t>ITC|1 pr|16</t>
        </is>
      </c>
      <c r="L5782" s="12" t="inlineStr">
        <is>
          <t>1 pr</t>
        </is>
      </c>
      <c r="M5782" s="12" t="inlineStr">
        <is>
          <t>16</t>
        </is>
      </c>
      <c r="N5782" s="12" t="n">
        <v>12</v>
      </c>
      <c r="O5782" s="12" t="n">
        <v>1</v>
      </c>
      <c r="P5782" s="12" t="n"/>
      <c r="Q5782" s="12" t="n"/>
      <c r="R5782" s="12" t="n"/>
      <c r="S5782" s="12" t="inlineStr">
        <is>
          <t>Tray / conduit</t>
        </is>
      </c>
      <c r="T5782" s="16" t="n">
        <v>60</v>
      </c>
      <c r="U5782" s="16" t="n">
        <v>10</v>
      </c>
      <c r="V5782" s="16">
        <f>ROUNDUP((T5782+U5782+2*'Read Me'!$B$13)*(1+'Read Me'!$B$12),-1)</f>
        <v/>
      </c>
      <c r="W5782" s="16">
        <f>V5782*N5782*O5782</f>
        <v/>
      </c>
      <c r="X5782" s="12">
        <f>IF(LEFT(I5782,2)="MV",2*N5782*IF(L5782="1/C",O5782,1),0)</f>
        <v/>
      </c>
      <c r="Y5782" s="12">
        <f>IF(OR(LEFT(K5782,4)="LVAX",LEFT(K5782,6)="MV15AX",LEFT(K5782,4)="CTAX",LEFT(K5782,2)="W|"),2*N5782*O5782,0)</f>
        <v/>
      </c>
      <c r="Z5782" s="12" t="inlineStr">
        <is>
          <t>device-to-JB field wiring, one cable per device</t>
        </is>
      </c>
      <c r="AA5782" s="12">
        <f>N5782*O5782</f>
        <v/>
      </c>
    </row>
    <row r="5783">
      <c r="A5783" s="12" t="inlineStr">
        <is>
          <t>K-I-0044</t>
        </is>
      </c>
      <c r="B5783" s="12" t="inlineStr">
        <is>
          <t>K</t>
        </is>
      </c>
      <c r="C5783" s="12" t="inlineStr">
        <is>
          <t>Fuel supply (adjacent market)</t>
        </is>
      </c>
      <c r="D5783" s="12" t="inlineStr">
        <is>
          <t>Home run JB-H2 25: H2 dryer / -DI01 to the control / marshalling room</t>
        </is>
      </c>
      <c r="E5783" s="12" t="inlineStr"/>
      <c r="F5783" s="12" t="inlineStr">
        <is>
          <t>H2 20: 13.8 kV e-house</t>
        </is>
      </c>
      <c r="G5783" s="12" t="inlineStr">
        <is>
          <t>JB-H2 25: H2 dryer / -DI01</t>
        </is>
      </c>
      <c r="H5783" s="12" t="inlineStr">
        <is>
          <t>H2 25: H2 dryer / purification</t>
        </is>
      </c>
      <c r="I5783" s="12" t="inlineStr">
        <is>
          <t>Instrumentation</t>
        </is>
      </c>
      <c r="J5783" s="12" t="inlineStr">
        <is>
          <t>Instrumentation ITC / PLTC, IS, #18 shielded pairs, blue jacket</t>
        </is>
      </c>
      <c r="K5783" s="12" t="inlineStr">
        <is>
          <t>ITC|24 pr|18</t>
        </is>
      </c>
      <c r="L5783" s="12" t="inlineStr">
        <is>
          <t>24 pr</t>
        </is>
      </c>
      <c r="M5783" s="12" t="inlineStr">
        <is>
          <t>18</t>
        </is>
      </c>
      <c r="N5783" s="12" t="n">
        <v>1</v>
      </c>
      <c r="O5783" s="12" t="n">
        <v>1</v>
      </c>
      <c r="P5783" s="12" t="n"/>
      <c r="Q5783" s="12" t="n"/>
      <c r="R5783" s="12" t="n"/>
      <c r="S5783" s="12" t="inlineStr">
        <is>
          <t>Duct bank</t>
        </is>
      </c>
      <c r="T5783" s="16" t="n">
        <v>0</v>
      </c>
      <c r="U5783" s="16" t="n">
        <v>49</v>
      </c>
      <c r="V5783" s="16">
        <f>ROUNDUP((T5783+U5783+2*'Read Me'!$B$13)*(1+'Read Me'!$B$12),-1)</f>
        <v/>
      </c>
      <c r="W5783" s="16">
        <f>V5783*N5783*O5783</f>
        <v/>
      </c>
      <c r="X5783" s="12">
        <f>IF(LEFT(I5783,2)="MV",2*N5783*IF(L5783="1/C",O5783,1),0)</f>
        <v/>
      </c>
      <c r="Y5783" s="12">
        <f>IF(OR(LEFT(K5783,4)="LVAX",LEFT(K5783,6)="MV15AX",LEFT(K5783,4)="CTAX",LEFT(K5783,2)="W|"),2*N5783*O5783,0)</f>
        <v/>
      </c>
      <c r="Z5783" s="12" t="inlineStr"/>
      <c r="AA5783" s="12">
        <f>N5783*O5783</f>
        <v/>
      </c>
    </row>
    <row r="5784">
      <c r="A5784" s="12" t="inlineStr">
        <is>
          <t>K-I-0045</t>
        </is>
      </c>
      <c r="B5784" s="12" t="inlineStr">
        <is>
          <t>K</t>
        </is>
      </c>
      <c r="C5784" s="12" t="inlineStr">
        <is>
          <t>Fuel supply (adjacent market)</t>
        </is>
      </c>
      <c r="D5784" s="12" t="inlineStr">
        <is>
          <t>Analog instrument to JB JB-H2 26: H2 compress-AI01: 12 x 1 pr (field cables)</t>
        </is>
      </c>
      <c r="E5784" s="12" t="inlineStr"/>
      <c r="F5784" s="12" t="inlineStr">
        <is>
          <t>H2 26: H2 compressor 1 (40 ft ISO)</t>
        </is>
      </c>
      <c r="G5784" s="12" t="inlineStr">
        <is>
          <t>JB-H2 26: H2 compress-AI01</t>
        </is>
      </c>
      <c r="H5784" s="12" t="inlineStr">
        <is>
          <t>H2 26: H2 compressor 1 (40 ft ISO)</t>
        </is>
      </c>
      <c r="I5784" s="12" t="inlineStr">
        <is>
          <t>Instrumentation</t>
        </is>
      </c>
      <c r="J5784" s="12" t="inlineStr">
        <is>
          <t>Instrumentation ITC / PLTC, IS, #18 shielded pairs, blue jacket</t>
        </is>
      </c>
      <c r="K5784" s="12" t="inlineStr">
        <is>
          <t>ITC|1 pr|16</t>
        </is>
      </c>
      <c r="L5784" s="12" t="inlineStr">
        <is>
          <t>1 pr</t>
        </is>
      </c>
      <c r="M5784" s="12" t="inlineStr">
        <is>
          <t>16</t>
        </is>
      </c>
      <c r="N5784" s="12" t="n">
        <v>12</v>
      </c>
      <c r="O5784" s="12" t="n">
        <v>1</v>
      </c>
      <c r="P5784" s="12" t="n"/>
      <c r="Q5784" s="12" t="n"/>
      <c r="R5784" s="12" t="n"/>
      <c r="S5784" s="12" t="inlineStr">
        <is>
          <t>Tray / conduit</t>
        </is>
      </c>
      <c r="T5784" s="16" t="n">
        <v>53</v>
      </c>
      <c r="U5784" s="16" t="n">
        <v>10</v>
      </c>
      <c r="V5784" s="16">
        <f>ROUNDUP((T5784+U5784+2*'Read Me'!$B$13)*(1+'Read Me'!$B$12),-1)</f>
        <v/>
      </c>
      <c r="W5784" s="16">
        <f>V5784*N5784*O5784</f>
        <v/>
      </c>
      <c r="X5784" s="12">
        <f>IF(LEFT(I5784,2)="MV",2*N5784*IF(L5784="1/C",O5784,1),0)</f>
        <v/>
      </c>
      <c r="Y5784" s="12">
        <f>IF(OR(LEFT(K5784,4)="LVAX",LEFT(K5784,6)="MV15AX",LEFT(K5784,4)="CTAX",LEFT(K5784,2)="W|"),2*N5784*O5784,0)</f>
        <v/>
      </c>
      <c r="Z5784" s="12" t="inlineStr">
        <is>
          <t>device-to-JB field wiring, one cable per device</t>
        </is>
      </c>
      <c r="AA5784" s="12">
        <f>N5784*O5784</f>
        <v/>
      </c>
    </row>
    <row r="5785">
      <c r="A5785" s="12" t="inlineStr">
        <is>
          <t>K-I-0046</t>
        </is>
      </c>
      <c r="B5785" s="12" t="inlineStr">
        <is>
          <t>K</t>
        </is>
      </c>
      <c r="C5785" s="12" t="inlineStr">
        <is>
          <t>Fuel supply (adjacent market)</t>
        </is>
      </c>
      <c r="D5785" s="12" t="inlineStr">
        <is>
          <t>Home run JB-H2 26: H2 compress-AI01 to the control / marshalling room</t>
        </is>
      </c>
      <c r="E5785" s="12" t="inlineStr"/>
      <c r="F5785" s="12" t="inlineStr">
        <is>
          <t>H2 20: 13.8 kV e-house</t>
        </is>
      </c>
      <c r="G5785" s="12" t="inlineStr">
        <is>
          <t>JB-H2 26: H2 compress-AI01</t>
        </is>
      </c>
      <c r="H5785" s="12" t="inlineStr">
        <is>
          <t>H2 26: H2 compressor 1 (40 ft ISO)</t>
        </is>
      </c>
      <c r="I5785" s="12" t="inlineStr">
        <is>
          <t>Instrumentation</t>
        </is>
      </c>
      <c r="J5785" s="12" t="inlineStr">
        <is>
          <t>Instrumentation ITC / PLTC, IS, #18 shielded pairs, blue jacket</t>
        </is>
      </c>
      <c r="K5785" s="12" t="inlineStr">
        <is>
          <t>ITC|24 pr|18</t>
        </is>
      </c>
      <c r="L5785" s="12" t="inlineStr">
        <is>
          <t>24 pr</t>
        </is>
      </c>
      <c r="M5785" s="12" t="inlineStr">
        <is>
          <t>18</t>
        </is>
      </c>
      <c r="N5785" s="12" t="n">
        <v>1</v>
      </c>
      <c r="O5785" s="12" t="n">
        <v>1</v>
      </c>
      <c r="P5785" s="12" t="n"/>
      <c r="Q5785" s="12" t="n"/>
      <c r="R5785" s="12" t="n"/>
      <c r="S5785" s="12" t="inlineStr">
        <is>
          <t>Duct bank</t>
        </is>
      </c>
      <c r="T5785" s="16" t="n">
        <v>50</v>
      </c>
      <c r="U5785" s="16" t="n">
        <v>32</v>
      </c>
      <c r="V5785" s="16">
        <f>ROUNDUP((T5785+U5785+2*'Read Me'!$B$13)*(1+'Read Me'!$B$12),-1)</f>
        <v/>
      </c>
      <c r="W5785" s="16">
        <f>V5785*N5785*O5785</f>
        <v/>
      </c>
      <c r="X5785" s="12">
        <f>IF(LEFT(I5785,2)="MV",2*N5785*IF(L5785="1/C",O5785,1),0)</f>
        <v/>
      </c>
      <c r="Y5785" s="12">
        <f>IF(OR(LEFT(K5785,4)="LVAX",LEFT(K5785,6)="MV15AX",LEFT(K5785,4)="CTAX",LEFT(K5785,2)="W|"),2*N5785*O5785,0)</f>
        <v/>
      </c>
      <c r="Z5785" s="12" t="inlineStr"/>
      <c r="AA5785" s="12">
        <f>N5785*O5785</f>
        <v/>
      </c>
    </row>
    <row r="5786">
      <c r="A5786" s="12" t="inlineStr">
        <is>
          <t>K-I-0047</t>
        </is>
      </c>
      <c r="B5786" s="12" t="inlineStr">
        <is>
          <t>K</t>
        </is>
      </c>
      <c r="C5786" s="12" t="inlineStr">
        <is>
          <t>Fuel supply (adjacent market)</t>
        </is>
      </c>
      <c r="D5786" s="12" t="inlineStr">
        <is>
          <t>Discrete device to JB JB-H2 26: H2 compress-DI01: 12 x 1 pr (field cables)</t>
        </is>
      </c>
      <c r="E5786" s="12" t="inlineStr"/>
      <c r="F5786" s="12" t="inlineStr">
        <is>
          <t>H2 26: H2 compressor 1 (40 ft ISO)</t>
        </is>
      </c>
      <c r="G5786" s="12" t="inlineStr">
        <is>
          <t>JB-H2 26: H2 compress-DI01</t>
        </is>
      </c>
      <c r="H5786" s="12" t="inlineStr">
        <is>
          <t>H2 26: H2 compressor 1 (40 ft ISO)</t>
        </is>
      </c>
      <c r="I5786" s="12" t="inlineStr">
        <is>
          <t>Instrumentation</t>
        </is>
      </c>
      <c r="J5786" s="12" t="inlineStr">
        <is>
          <t>Instrumentation ITC / PLTC, IS, #18 shielded pairs, blue jacket</t>
        </is>
      </c>
      <c r="K5786" s="12" t="inlineStr">
        <is>
          <t>ITC|1 pr|16</t>
        </is>
      </c>
      <c r="L5786" s="12" t="inlineStr">
        <is>
          <t>1 pr</t>
        </is>
      </c>
      <c r="M5786" s="12" t="inlineStr">
        <is>
          <t>16</t>
        </is>
      </c>
      <c r="N5786" s="12" t="n">
        <v>12</v>
      </c>
      <c r="O5786" s="12" t="n">
        <v>1</v>
      </c>
      <c r="P5786" s="12" t="n"/>
      <c r="Q5786" s="12" t="n"/>
      <c r="R5786" s="12" t="n"/>
      <c r="S5786" s="12" t="inlineStr">
        <is>
          <t>Tray / conduit</t>
        </is>
      </c>
      <c r="T5786" s="16" t="n">
        <v>53</v>
      </c>
      <c r="U5786" s="16" t="n">
        <v>10</v>
      </c>
      <c r="V5786" s="16">
        <f>ROUNDUP((T5786+U5786+2*'Read Me'!$B$13)*(1+'Read Me'!$B$12),-1)</f>
        <v/>
      </c>
      <c r="W5786" s="16">
        <f>V5786*N5786*O5786</f>
        <v/>
      </c>
      <c r="X5786" s="12">
        <f>IF(LEFT(I5786,2)="MV",2*N5786*IF(L5786="1/C",O5786,1),0)</f>
        <v/>
      </c>
      <c r="Y5786" s="12">
        <f>IF(OR(LEFT(K5786,4)="LVAX",LEFT(K5786,6)="MV15AX",LEFT(K5786,4)="CTAX",LEFT(K5786,2)="W|"),2*N5786*O5786,0)</f>
        <v/>
      </c>
      <c r="Z5786" s="12" t="inlineStr">
        <is>
          <t>device-to-JB field wiring, one cable per device</t>
        </is>
      </c>
      <c r="AA5786" s="12">
        <f>N5786*O5786</f>
        <v/>
      </c>
    </row>
    <row r="5787">
      <c r="A5787" s="12" t="inlineStr">
        <is>
          <t>K-I-0048</t>
        </is>
      </c>
      <c r="B5787" s="12" t="inlineStr">
        <is>
          <t>K</t>
        </is>
      </c>
      <c r="C5787" s="12" t="inlineStr">
        <is>
          <t>Fuel supply (adjacent market)</t>
        </is>
      </c>
      <c r="D5787" s="12" t="inlineStr">
        <is>
          <t>Home run JB-H2 26: H2 compress-DI01 to the control / marshalling room</t>
        </is>
      </c>
      <c r="E5787" s="12" t="inlineStr"/>
      <c r="F5787" s="12" t="inlineStr">
        <is>
          <t>H2 20: 13.8 kV e-house</t>
        </is>
      </c>
      <c r="G5787" s="12" t="inlineStr">
        <is>
          <t>JB-H2 26: H2 compress-DI01</t>
        </is>
      </c>
      <c r="H5787" s="12" t="inlineStr">
        <is>
          <t>H2 26: H2 compressor 1 (40 ft ISO)</t>
        </is>
      </c>
      <c r="I5787" s="12" t="inlineStr">
        <is>
          <t>Instrumentation</t>
        </is>
      </c>
      <c r="J5787" s="12" t="inlineStr">
        <is>
          <t>Instrumentation ITC / PLTC, IS, #18 shielded pairs, blue jacket</t>
        </is>
      </c>
      <c r="K5787" s="12" t="inlineStr">
        <is>
          <t>ITC|24 pr|18</t>
        </is>
      </c>
      <c r="L5787" s="12" t="inlineStr">
        <is>
          <t>24 pr</t>
        </is>
      </c>
      <c r="M5787" s="12" t="inlineStr">
        <is>
          <t>18</t>
        </is>
      </c>
      <c r="N5787" s="12" t="n">
        <v>1</v>
      </c>
      <c r="O5787" s="12" t="n">
        <v>1</v>
      </c>
      <c r="P5787" s="12" t="n"/>
      <c r="Q5787" s="12" t="n"/>
      <c r="R5787" s="12" t="n"/>
      <c r="S5787" s="12" t="inlineStr">
        <is>
          <t>Duct bank</t>
        </is>
      </c>
      <c r="T5787" s="16" t="n">
        <v>50</v>
      </c>
      <c r="U5787" s="16" t="n">
        <v>32</v>
      </c>
      <c r="V5787" s="16">
        <f>ROUNDUP((T5787+U5787+2*'Read Me'!$B$13)*(1+'Read Me'!$B$12),-1)</f>
        <v/>
      </c>
      <c r="W5787" s="16">
        <f>V5787*N5787*O5787</f>
        <v/>
      </c>
      <c r="X5787" s="12">
        <f>IF(LEFT(I5787,2)="MV",2*N5787*IF(L5787="1/C",O5787,1),0)</f>
        <v/>
      </c>
      <c r="Y5787" s="12">
        <f>IF(OR(LEFT(K5787,4)="LVAX",LEFT(K5787,6)="MV15AX",LEFT(K5787,4)="CTAX",LEFT(K5787,2)="W|"),2*N5787*O5787,0)</f>
        <v/>
      </c>
      <c r="Z5787" s="12" t="inlineStr"/>
      <c r="AA5787" s="12">
        <f>N5787*O5787</f>
        <v/>
      </c>
    </row>
    <row r="5788">
      <c r="A5788" s="12" t="inlineStr">
        <is>
          <t>K-I-0049</t>
        </is>
      </c>
      <c r="B5788" s="12" t="inlineStr">
        <is>
          <t>K</t>
        </is>
      </c>
      <c r="C5788" s="12" t="inlineStr">
        <is>
          <t>Fuel supply (adjacent market)</t>
        </is>
      </c>
      <c r="D5788" s="12" t="inlineStr">
        <is>
          <t>Analog instrument to JB JB-H2 26: H2 compress-AI01: 12 x 1 pr (field cables)</t>
        </is>
      </c>
      <c r="E5788" s="12" t="inlineStr"/>
      <c r="F5788" s="12" t="inlineStr">
        <is>
          <t>H2 26: H2 compressor 2 (40 ft ISO)</t>
        </is>
      </c>
      <c r="G5788" s="12" t="inlineStr">
        <is>
          <t>JB-H2 26: H2 compress-AI01</t>
        </is>
      </c>
      <c r="H5788" s="12" t="inlineStr">
        <is>
          <t>H2 26: H2 compressor 2 (40 ft ISO)</t>
        </is>
      </c>
      <c r="I5788" s="12" t="inlineStr">
        <is>
          <t>Instrumentation</t>
        </is>
      </c>
      <c r="J5788" s="12" t="inlineStr">
        <is>
          <t>Instrumentation ITC / PLTC, IS, #18 shielded pairs, blue jacket</t>
        </is>
      </c>
      <c r="K5788" s="12" t="inlineStr">
        <is>
          <t>ITC|1 pr|16</t>
        </is>
      </c>
      <c r="L5788" s="12" t="inlineStr">
        <is>
          <t>1 pr</t>
        </is>
      </c>
      <c r="M5788" s="12" t="inlineStr">
        <is>
          <t>16</t>
        </is>
      </c>
      <c r="N5788" s="12" t="n">
        <v>12</v>
      </c>
      <c r="O5788" s="12" t="n">
        <v>1</v>
      </c>
      <c r="P5788" s="12" t="n"/>
      <c r="Q5788" s="12" t="n"/>
      <c r="R5788" s="12" t="n"/>
      <c r="S5788" s="12" t="inlineStr">
        <is>
          <t>Tray / conduit</t>
        </is>
      </c>
      <c r="T5788" s="16" t="n">
        <v>53</v>
      </c>
      <c r="U5788" s="16" t="n">
        <v>10</v>
      </c>
      <c r="V5788" s="16">
        <f>ROUNDUP((T5788+U5788+2*'Read Me'!$B$13)*(1+'Read Me'!$B$12),-1)</f>
        <v/>
      </c>
      <c r="W5788" s="16">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K-I-0050</t>
        </is>
      </c>
      <c r="B5789" s="12" t="inlineStr">
        <is>
          <t>K</t>
        </is>
      </c>
      <c r="C5789" s="12" t="inlineStr">
        <is>
          <t>Fuel supply (adjacent market)</t>
        </is>
      </c>
      <c r="D5789" s="12" t="inlineStr">
        <is>
          <t>Home run JB-H2 26: H2 compress-AI01 to the control / marshalling room</t>
        </is>
      </c>
      <c r="E5789" s="12" t="inlineStr"/>
      <c r="F5789" s="12" t="inlineStr">
        <is>
          <t>H2 20: 13.8 kV e-house</t>
        </is>
      </c>
      <c r="G5789" s="12" t="inlineStr">
        <is>
          <t>JB-H2 26: H2 compress-AI01</t>
        </is>
      </c>
      <c r="H5789" s="12" t="inlineStr">
        <is>
          <t>H2 26: H2 compressor 2 (40 ft ISO)</t>
        </is>
      </c>
      <c r="I5789" s="12" t="inlineStr">
        <is>
          <t>Instrumentation</t>
        </is>
      </c>
      <c r="J5789" s="12" t="inlineStr">
        <is>
          <t>Instrumentation ITC / PLTC, IS, #18 shielded pairs, blue jacket</t>
        </is>
      </c>
      <c r="K5789" s="12" t="inlineStr">
        <is>
          <t>ITC|24 pr|18</t>
        </is>
      </c>
      <c r="L5789" s="12" t="inlineStr">
        <is>
          <t>24 pr</t>
        </is>
      </c>
      <c r="M5789" s="12" t="inlineStr">
        <is>
          <t>18</t>
        </is>
      </c>
      <c r="N5789" s="12" t="n">
        <v>1</v>
      </c>
      <c r="O5789" s="12" t="n">
        <v>1</v>
      </c>
      <c r="P5789" s="12" t="n"/>
      <c r="Q5789" s="12" t="n"/>
      <c r="R5789" s="12" t="n"/>
      <c r="S5789" s="12" t="inlineStr">
        <is>
          <t>Duct bank</t>
        </is>
      </c>
      <c r="T5789" s="16" t="n">
        <v>50</v>
      </c>
      <c r="U5789" s="16" t="n">
        <v>47</v>
      </c>
      <c r="V5789" s="16">
        <f>ROUNDUP((T5789+U5789+2*'Read Me'!$B$13)*(1+'Read Me'!$B$12),-1)</f>
        <v/>
      </c>
      <c r="W5789" s="16">
        <f>V5789*N5789*O5789</f>
        <v/>
      </c>
      <c r="X5789" s="12">
        <f>IF(LEFT(I5789,2)="MV",2*N5789*IF(L5789="1/C",O5789,1),0)</f>
        <v/>
      </c>
      <c r="Y5789" s="12">
        <f>IF(OR(LEFT(K5789,4)="LVAX",LEFT(K5789,6)="MV15AX",LEFT(K5789,4)="CTAX",LEFT(K5789,2)="W|"),2*N5789*O5789,0)</f>
        <v/>
      </c>
      <c r="Z5789" s="12" t="inlineStr"/>
      <c r="AA5789" s="12">
        <f>N5789*O5789</f>
        <v/>
      </c>
    </row>
    <row r="5790">
      <c r="A5790" s="12" t="inlineStr">
        <is>
          <t>K-I-0051</t>
        </is>
      </c>
      <c r="B5790" s="12" t="inlineStr">
        <is>
          <t>K</t>
        </is>
      </c>
      <c r="C5790" s="12" t="inlineStr">
        <is>
          <t>Fuel supply (adjacent market)</t>
        </is>
      </c>
      <c r="D5790" s="12" t="inlineStr">
        <is>
          <t>Discrete device to JB JB-H2 26: H2 compress-DI01: 12 x 1 pr (field cables)</t>
        </is>
      </c>
      <c r="E5790" s="12" t="inlineStr"/>
      <c r="F5790" s="12" t="inlineStr">
        <is>
          <t>H2 26: H2 compressor 2 (40 ft ISO)</t>
        </is>
      </c>
      <c r="G5790" s="12" t="inlineStr">
        <is>
          <t>JB-H2 26: H2 compress-DI01</t>
        </is>
      </c>
      <c r="H5790" s="12" t="inlineStr">
        <is>
          <t>H2 26: H2 compressor 2 (40 ft ISO)</t>
        </is>
      </c>
      <c r="I5790" s="12" t="inlineStr">
        <is>
          <t>Instrumentation</t>
        </is>
      </c>
      <c r="J5790" s="12" t="inlineStr">
        <is>
          <t>Instrumentation ITC / PLTC, IS, #18 shielded pairs, blue jacket</t>
        </is>
      </c>
      <c r="K5790" s="12" t="inlineStr">
        <is>
          <t>ITC|1 pr|16</t>
        </is>
      </c>
      <c r="L5790" s="12" t="inlineStr">
        <is>
          <t>1 pr</t>
        </is>
      </c>
      <c r="M5790" s="12" t="inlineStr">
        <is>
          <t>16</t>
        </is>
      </c>
      <c r="N5790" s="12" t="n">
        <v>12</v>
      </c>
      <c r="O5790" s="12" t="n">
        <v>1</v>
      </c>
      <c r="P5790" s="12" t="n"/>
      <c r="Q5790" s="12" t="n"/>
      <c r="R5790" s="12" t="n"/>
      <c r="S5790" s="12" t="inlineStr">
        <is>
          <t>Tray / conduit</t>
        </is>
      </c>
      <c r="T5790" s="16" t="n">
        <v>53</v>
      </c>
      <c r="U5790" s="16" t="n">
        <v>10</v>
      </c>
      <c r="V5790" s="16">
        <f>ROUNDUP((T5790+U5790+2*'Read Me'!$B$13)*(1+'Read Me'!$B$12),-1)</f>
        <v/>
      </c>
      <c r="W5790" s="16">
        <f>V5790*N5790*O5790</f>
        <v/>
      </c>
      <c r="X5790" s="12">
        <f>IF(LEFT(I5790,2)="MV",2*N5790*IF(L5790="1/C",O5790,1),0)</f>
        <v/>
      </c>
      <c r="Y5790" s="12">
        <f>IF(OR(LEFT(K5790,4)="LVAX",LEFT(K5790,6)="MV15AX",LEFT(K5790,4)="CTAX",LEFT(K5790,2)="W|"),2*N5790*O5790,0)</f>
        <v/>
      </c>
      <c r="Z5790" s="12" t="inlineStr">
        <is>
          <t>device-to-JB field wiring, one cable per device</t>
        </is>
      </c>
      <c r="AA5790" s="12">
        <f>N5790*O5790</f>
        <v/>
      </c>
    </row>
    <row r="5791">
      <c r="A5791" s="12" t="inlineStr">
        <is>
          <t>K-I-0052</t>
        </is>
      </c>
      <c r="B5791" s="12" t="inlineStr">
        <is>
          <t>K</t>
        </is>
      </c>
      <c r="C5791" s="12" t="inlineStr">
        <is>
          <t>Fuel supply (adjacent market)</t>
        </is>
      </c>
      <c r="D5791" s="12" t="inlineStr">
        <is>
          <t>Home run JB-H2 26: H2 compress-DI01 to the control / marshalling room</t>
        </is>
      </c>
      <c r="E5791" s="12" t="inlineStr"/>
      <c r="F5791" s="12" t="inlineStr">
        <is>
          <t>H2 20: 13.8 kV e-house</t>
        </is>
      </c>
      <c r="G5791" s="12" t="inlineStr">
        <is>
          <t>JB-H2 26: H2 compress-DI01</t>
        </is>
      </c>
      <c r="H5791" s="12" t="inlineStr">
        <is>
          <t>H2 26: H2 compressor 2 (40 ft ISO)</t>
        </is>
      </c>
      <c r="I5791" s="12" t="inlineStr">
        <is>
          <t>Instrumentation</t>
        </is>
      </c>
      <c r="J5791" s="12" t="inlineStr">
        <is>
          <t>Instrumentation ITC / PLTC, IS, #18 shielded pairs, blue jacket</t>
        </is>
      </c>
      <c r="K5791" s="12" t="inlineStr">
        <is>
          <t>ITC|24 pr|18</t>
        </is>
      </c>
      <c r="L5791" s="12" t="inlineStr">
        <is>
          <t>24 pr</t>
        </is>
      </c>
      <c r="M5791" s="12" t="inlineStr">
        <is>
          <t>18</t>
        </is>
      </c>
      <c r="N5791" s="12" t="n">
        <v>1</v>
      </c>
      <c r="O5791" s="12" t="n">
        <v>1</v>
      </c>
      <c r="P5791" s="12" t="n"/>
      <c r="Q5791" s="12" t="n"/>
      <c r="R5791" s="12" t="n"/>
      <c r="S5791" s="12" t="inlineStr">
        <is>
          <t>Duct bank</t>
        </is>
      </c>
      <c r="T5791" s="16" t="n">
        <v>50</v>
      </c>
      <c r="U5791" s="16" t="n">
        <v>47</v>
      </c>
      <c r="V5791" s="16">
        <f>ROUNDUP((T5791+U5791+2*'Read Me'!$B$13)*(1+'Read Me'!$B$12),-1)</f>
        <v/>
      </c>
      <c r="W5791" s="16">
        <f>V5791*N5791*O5791</f>
        <v/>
      </c>
      <c r="X5791" s="12">
        <f>IF(LEFT(I5791,2)="MV",2*N5791*IF(L5791="1/C",O5791,1),0)</f>
        <v/>
      </c>
      <c r="Y5791" s="12">
        <f>IF(OR(LEFT(K5791,4)="LVAX",LEFT(K5791,6)="MV15AX",LEFT(K5791,4)="CTAX",LEFT(K5791,2)="W|"),2*N5791*O5791,0)</f>
        <v/>
      </c>
      <c r="Z5791" s="12" t="inlineStr"/>
      <c r="AA5791" s="12">
        <f>N5791*O5791</f>
        <v/>
      </c>
    </row>
    <row r="5792">
      <c r="A5792" s="12" t="inlineStr">
        <is>
          <t>K-I-0053</t>
        </is>
      </c>
      <c r="B5792" s="12" t="inlineStr">
        <is>
          <t>K</t>
        </is>
      </c>
      <c r="C5792" s="12" t="inlineStr">
        <is>
          <t>Fuel supply (adjacent market)</t>
        </is>
      </c>
      <c r="D5792" s="12" t="inlineStr">
        <is>
          <t>Analog instrument to JB JB-H2 27: storage tub-AI01: 12 x 1 pr (field cables)</t>
        </is>
      </c>
      <c r="E5792" s="12" t="inlineStr"/>
      <c r="F5792" s="12" t="inlineStr">
        <is>
          <t>H2 27: storage tube bank (~40 ft tubes)</t>
        </is>
      </c>
      <c r="G5792" s="12" t="inlineStr">
        <is>
          <t>JB-H2 27: storage tub-AI01</t>
        </is>
      </c>
      <c r="H5792" s="12" t="inlineStr">
        <is>
          <t>H2 27: storage tube bank (~40 ft tubes)</t>
        </is>
      </c>
      <c r="I5792" s="12" t="inlineStr">
        <is>
          <t>Instrumentation</t>
        </is>
      </c>
      <c r="J5792" s="12" t="inlineStr">
        <is>
          <t>Instrumentation ITC / PLTC, IS, #18 shielded pairs, blue jacket</t>
        </is>
      </c>
      <c r="K5792" s="12" t="inlineStr">
        <is>
          <t>ITC|1 pr|16</t>
        </is>
      </c>
      <c r="L5792" s="12" t="inlineStr">
        <is>
          <t>1 pr</t>
        </is>
      </c>
      <c r="M5792" s="12" t="inlineStr">
        <is>
          <t>16</t>
        </is>
      </c>
      <c r="N5792" s="12" t="n">
        <v>12</v>
      </c>
      <c r="O5792" s="12" t="n">
        <v>1</v>
      </c>
      <c r="P5792" s="12" t="n"/>
      <c r="Q5792" s="12" t="n"/>
      <c r="R5792" s="12" t="n"/>
      <c r="S5792" s="12" t="inlineStr">
        <is>
          <t>Tray / conduit</t>
        </is>
      </c>
      <c r="T5792" s="16" t="n">
        <v>54</v>
      </c>
      <c r="U5792" s="16" t="n">
        <v>10</v>
      </c>
      <c r="V5792" s="16">
        <f>ROUNDUP((T5792+U5792+2*'Read Me'!$B$13)*(1+'Read Me'!$B$12),-1)</f>
        <v/>
      </c>
      <c r="W5792" s="16">
        <f>V5792*N5792*O5792</f>
        <v/>
      </c>
      <c r="X5792" s="12">
        <f>IF(LEFT(I5792,2)="MV",2*N5792*IF(L5792="1/C",O5792,1),0)</f>
        <v/>
      </c>
      <c r="Y5792" s="12">
        <f>IF(OR(LEFT(K5792,4)="LVAX",LEFT(K5792,6)="MV15AX",LEFT(K5792,4)="CTAX",LEFT(K5792,2)="W|"),2*N5792*O5792,0)</f>
        <v/>
      </c>
      <c r="Z5792" s="12" t="inlineStr">
        <is>
          <t>device-to-JB field wiring, one cable per device</t>
        </is>
      </c>
      <c r="AA5792" s="12">
        <f>N5792*O5792</f>
        <v/>
      </c>
    </row>
    <row r="5793">
      <c r="A5793" s="12" t="inlineStr">
        <is>
          <t>K-I-0054</t>
        </is>
      </c>
      <c r="B5793" s="12" t="inlineStr">
        <is>
          <t>K</t>
        </is>
      </c>
      <c r="C5793" s="12" t="inlineStr">
        <is>
          <t>Fuel supply (adjacent market)</t>
        </is>
      </c>
      <c r="D5793" s="12" t="inlineStr">
        <is>
          <t>Home run JB-H2 27: storage tub-AI01 to the control / marshalling room</t>
        </is>
      </c>
      <c r="E5793" s="12" t="inlineStr"/>
      <c r="F5793" s="12" t="inlineStr">
        <is>
          <t>H2 20: 13.8 kV e-house</t>
        </is>
      </c>
      <c r="G5793" s="12" t="inlineStr">
        <is>
          <t>JB-H2 27: storage tub-AI01</t>
        </is>
      </c>
      <c r="H5793" s="12" t="inlineStr">
        <is>
          <t>H2 27: storage tube bank (~40 ft tubes)</t>
        </is>
      </c>
      <c r="I5793" s="12" t="inlineStr">
        <is>
          <t>Instrumentation</t>
        </is>
      </c>
      <c r="J5793" s="12" t="inlineStr">
        <is>
          <t>Instrumentation ITC / PLTC, IS, #18 shielded pairs, blue jacket</t>
        </is>
      </c>
      <c r="K5793" s="12" t="inlineStr">
        <is>
          <t>ITC|24 pr|18</t>
        </is>
      </c>
      <c r="L5793" s="12" t="inlineStr">
        <is>
          <t>24 pr</t>
        </is>
      </c>
      <c r="M5793" s="12" t="inlineStr">
        <is>
          <t>18</t>
        </is>
      </c>
      <c r="N5793" s="12" t="n">
        <v>1</v>
      </c>
      <c r="O5793" s="12" t="n">
        <v>1</v>
      </c>
      <c r="P5793" s="12" t="n"/>
      <c r="Q5793" s="12" t="n"/>
      <c r="R5793" s="12" t="n"/>
      <c r="S5793" s="12" t="inlineStr">
        <is>
          <t>Duct bank</t>
        </is>
      </c>
      <c r="T5793" s="16" t="n">
        <v>50</v>
      </c>
      <c r="U5793" s="16" t="n">
        <v>97</v>
      </c>
      <c r="V5793" s="16">
        <f>ROUNDUP((T5793+U5793+2*'Read Me'!$B$13)*(1+'Read Me'!$B$12),-1)</f>
        <v/>
      </c>
      <c r="W5793" s="16">
        <f>V5793*N5793*O5793</f>
        <v/>
      </c>
      <c r="X5793" s="12">
        <f>IF(LEFT(I5793,2)="MV",2*N5793*IF(L5793="1/C",O5793,1),0)</f>
        <v/>
      </c>
      <c r="Y5793" s="12">
        <f>IF(OR(LEFT(K5793,4)="LVAX",LEFT(K5793,6)="MV15AX",LEFT(K5793,4)="CTAX",LEFT(K5793,2)="W|"),2*N5793*O5793,0)</f>
        <v/>
      </c>
      <c r="Z5793" s="12" t="inlineStr"/>
      <c r="AA5793" s="12">
        <f>N5793*O5793</f>
        <v/>
      </c>
    </row>
    <row r="5794">
      <c r="A5794" s="12" t="inlineStr">
        <is>
          <t>K-I-0055</t>
        </is>
      </c>
      <c r="B5794" s="12" t="inlineStr">
        <is>
          <t>K</t>
        </is>
      </c>
      <c r="C5794" s="12" t="inlineStr">
        <is>
          <t>Fuel supply (adjacent market)</t>
        </is>
      </c>
      <c r="D5794" s="12" t="inlineStr">
        <is>
          <t>Discrete device to JB JB-H2 27: storage tub-DI01: 12 x 1 pr (field cables)</t>
        </is>
      </c>
      <c r="E5794" s="12" t="inlineStr"/>
      <c r="F5794" s="12" t="inlineStr">
        <is>
          <t>H2 27: storage tube bank (~40 ft tubes)</t>
        </is>
      </c>
      <c r="G5794" s="12" t="inlineStr">
        <is>
          <t>JB-H2 27: storage tub-DI01</t>
        </is>
      </c>
      <c r="H5794" s="12" t="inlineStr">
        <is>
          <t>H2 27: storage tube bank (~40 ft tubes)</t>
        </is>
      </c>
      <c r="I5794" s="12" t="inlineStr">
        <is>
          <t>Instrumentation</t>
        </is>
      </c>
      <c r="J5794" s="12" t="inlineStr">
        <is>
          <t>Instrumentation ITC / PLTC, IS, #18 shielded pairs, blue jacket</t>
        </is>
      </c>
      <c r="K5794" s="12" t="inlineStr">
        <is>
          <t>ITC|1 pr|16</t>
        </is>
      </c>
      <c r="L5794" s="12" t="inlineStr">
        <is>
          <t>1 pr</t>
        </is>
      </c>
      <c r="M5794" s="12" t="inlineStr">
        <is>
          <t>16</t>
        </is>
      </c>
      <c r="N5794" s="12" t="n">
        <v>12</v>
      </c>
      <c r="O5794" s="12" t="n">
        <v>1</v>
      </c>
      <c r="P5794" s="12" t="n"/>
      <c r="Q5794" s="12" t="n"/>
      <c r="R5794" s="12" t="n"/>
      <c r="S5794" s="12" t="inlineStr">
        <is>
          <t>Tray / conduit</t>
        </is>
      </c>
      <c r="T5794" s="16" t="n">
        <v>54</v>
      </c>
      <c r="U5794" s="16" t="n">
        <v>10</v>
      </c>
      <c r="V5794" s="16">
        <f>ROUNDUP((T5794+U5794+2*'Read Me'!$B$13)*(1+'Read Me'!$B$12),-1)</f>
        <v/>
      </c>
      <c r="W5794" s="16">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K-I-0056</t>
        </is>
      </c>
      <c r="B5795" s="12" t="inlineStr">
        <is>
          <t>K</t>
        </is>
      </c>
      <c r="C5795" s="12" t="inlineStr">
        <is>
          <t>Fuel supply (adjacent market)</t>
        </is>
      </c>
      <c r="D5795" s="12" t="inlineStr">
        <is>
          <t>Home run JB-H2 27: storage tub-DI01 to the control / marshalling room</t>
        </is>
      </c>
      <c r="E5795" s="12" t="inlineStr"/>
      <c r="F5795" s="12" t="inlineStr">
        <is>
          <t>H2 20: 13.8 kV e-house</t>
        </is>
      </c>
      <c r="G5795" s="12" t="inlineStr">
        <is>
          <t>JB-H2 27: storage tub-DI01</t>
        </is>
      </c>
      <c r="H5795" s="12" t="inlineStr">
        <is>
          <t>H2 27: storage tube bank (~40 ft tubes)</t>
        </is>
      </c>
      <c r="I5795" s="12" t="inlineStr">
        <is>
          <t>Instrumentation</t>
        </is>
      </c>
      <c r="J5795" s="12" t="inlineStr">
        <is>
          <t>Instrumentation ITC / PLTC, IS, #18 shielded pairs, blue jacket</t>
        </is>
      </c>
      <c r="K5795" s="12" t="inlineStr">
        <is>
          <t>ITC|24 pr|18</t>
        </is>
      </c>
      <c r="L5795" s="12" t="inlineStr">
        <is>
          <t>24 pr</t>
        </is>
      </c>
      <c r="M5795" s="12" t="inlineStr">
        <is>
          <t>18</t>
        </is>
      </c>
      <c r="N5795" s="12" t="n">
        <v>1</v>
      </c>
      <c r="O5795" s="12" t="n">
        <v>1</v>
      </c>
      <c r="P5795" s="12" t="n"/>
      <c r="Q5795" s="12" t="n"/>
      <c r="R5795" s="12" t="n"/>
      <c r="S5795" s="12" t="inlineStr">
        <is>
          <t>Duct bank</t>
        </is>
      </c>
      <c r="T5795" s="16" t="n">
        <v>50</v>
      </c>
      <c r="U5795" s="16" t="n">
        <v>97</v>
      </c>
      <c r="V5795" s="16">
        <f>ROUNDUP((T5795+U5795+2*'Read Me'!$B$13)*(1+'Read Me'!$B$12),-1)</f>
        <v/>
      </c>
      <c r="W5795" s="16">
        <f>V5795*N5795*O5795</f>
        <v/>
      </c>
      <c r="X5795" s="12">
        <f>IF(LEFT(I5795,2)="MV",2*N5795*IF(L5795="1/C",O5795,1),0)</f>
        <v/>
      </c>
      <c r="Y5795" s="12">
        <f>IF(OR(LEFT(K5795,4)="LVAX",LEFT(K5795,6)="MV15AX",LEFT(K5795,4)="CTAX",LEFT(K5795,2)="W|"),2*N5795*O5795,0)</f>
        <v/>
      </c>
      <c r="Z5795" s="12" t="inlineStr"/>
      <c r="AA5795" s="12">
        <f>N5795*O5795</f>
        <v/>
      </c>
    </row>
    <row r="5796">
      <c r="A5796" s="12" t="inlineStr">
        <is>
          <t>K-I-0057</t>
        </is>
      </c>
      <c r="B5796" s="12" t="inlineStr">
        <is>
          <t>K</t>
        </is>
      </c>
      <c r="C5796" s="12" t="inlineStr">
        <is>
          <t>Fuel supply (adjacent market)</t>
        </is>
      </c>
      <c r="D5796" s="12" t="inlineStr">
        <is>
          <t>Analog instrument to JB JB-H2 27: storage tub-AI01: 12 x 1 pr (field cables)</t>
        </is>
      </c>
      <c r="E5796" s="12" t="inlineStr"/>
      <c r="F5796" s="12" t="inlineStr">
        <is>
          <t>H2 27: storage tube bank (~40 ft tubes)</t>
        </is>
      </c>
      <c r="G5796" s="12" t="inlineStr">
        <is>
          <t>JB-H2 27: storage tub-AI01</t>
        </is>
      </c>
      <c r="H5796" s="12" t="inlineStr">
        <is>
          <t>H2 27: storage tube bank (~40 ft tubes)</t>
        </is>
      </c>
      <c r="I5796" s="12" t="inlineStr">
        <is>
          <t>Instrumentation</t>
        </is>
      </c>
      <c r="J5796" s="12" t="inlineStr">
        <is>
          <t>Instrumentation ITC / PLTC, IS, #18 shielded pairs, blue jacket</t>
        </is>
      </c>
      <c r="K5796" s="12" t="inlineStr">
        <is>
          <t>ITC|1 pr|16</t>
        </is>
      </c>
      <c r="L5796" s="12" t="inlineStr">
        <is>
          <t>1 pr</t>
        </is>
      </c>
      <c r="M5796" s="12" t="inlineStr">
        <is>
          <t>16</t>
        </is>
      </c>
      <c r="N5796" s="12" t="n">
        <v>12</v>
      </c>
      <c r="O5796" s="12" t="n">
        <v>1</v>
      </c>
      <c r="P5796" s="12" t="n"/>
      <c r="Q5796" s="12" t="n"/>
      <c r="R5796" s="12" t="n"/>
      <c r="S5796" s="12" t="inlineStr">
        <is>
          <t>Tray / conduit</t>
        </is>
      </c>
      <c r="T5796" s="16" t="n">
        <v>54</v>
      </c>
      <c r="U5796" s="16" t="n">
        <v>10</v>
      </c>
      <c r="V5796" s="16">
        <f>ROUNDUP((T5796+U5796+2*'Read Me'!$B$13)*(1+'Read Me'!$B$12),-1)</f>
        <v/>
      </c>
      <c r="W5796" s="16">
        <f>V5796*N5796*O5796</f>
        <v/>
      </c>
      <c r="X5796" s="12">
        <f>IF(LEFT(I5796,2)="MV",2*N5796*IF(L5796="1/C",O5796,1),0)</f>
        <v/>
      </c>
      <c r="Y5796" s="12">
        <f>IF(OR(LEFT(K5796,4)="LVAX",LEFT(K5796,6)="MV15AX",LEFT(K5796,4)="CTAX",LEFT(K5796,2)="W|"),2*N5796*O5796,0)</f>
        <v/>
      </c>
      <c r="Z5796" s="12" t="inlineStr">
        <is>
          <t>device-to-JB field wiring, one cable per device</t>
        </is>
      </c>
      <c r="AA5796" s="12">
        <f>N5796*O5796</f>
        <v/>
      </c>
    </row>
    <row r="5797">
      <c r="A5797" s="12" t="inlineStr">
        <is>
          <t>K-I-0058</t>
        </is>
      </c>
      <c r="B5797" s="12" t="inlineStr">
        <is>
          <t>K</t>
        </is>
      </c>
      <c r="C5797" s="12" t="inlineStr">
        <is>
          <t>Fuel supply (adjacent market)</t>
        </is>
      </c>
      <c r="D5797" s="12" t="inlineStr">
        <is>
          <t>Home run JB-H2 27: storage tub-AI01 to the control / marshalling room</t>
        </is>
      </c>
      <c r="E5797" s="12" t="inlineStr"/>
      <c r="F5797" s="12" t="inlineStr">
        <is>
          <t>H2 20: 13.8 kV e-house</t>
        </is>
      </c>
      <c r="G5797" s="12" t="inlineStr">
        <is>
          <t>JB-H2 27: storage tub-AI01</t>
        </is>
      </c>
      <c r="H5797" s="12" t="inlineStr">
        <is>
          <t>H2 27: storage tube bank (~40 ft tubes)</t>
        </is>
      </c>
      <c r="I5797" s="12" t="inlineStr">
        <is>
          <t>Instrumentation</t>
        </is>
      </c>
      <c r="J5797" s="12" t="inlineStr">
        <is>
          <t>Instrumentation ITC / PLTC, IS, #18 shielded pairs, blue jacket</t>
        </is>
      </c>
      <c r="K5797" s="12" t="inlineStr">
        <is>
          <t>ITC|24 pr|18</t>
        </is>
      </c>
      <c r="L5797" s="12" t="inlineStr">
        <is>
          <t>24 pr</t>
        </is>
      </c>
      <c r="M5797" s="12" t="inlineStr">
        <is>
          <t>18</t>
        </is>
      </c>
      <c r="N5797" s="12" t="n">
        <v>1</v>
      </c>
      <c r="O5797" s="12" t="n">
        <v>1</v>
      </c>
      <c r="P5797" s="12" t="n"/>
      <c r="Q5797" s="12" t="n"/>
      <c r="R5797" s="12" t="n"/>
      <c r="S5797" s="12" t="inlineStr">
        <is>
          <t>Duct bank</t>
        </is>
      </c>
      <c r="T5797" s="16" t="n">
        <v>50</v>
      </c>
      <c r="U5797" s="16" t="n">
        <v>117</v>
      </c>
      <c r="V5797" s="16">
        <f>ROUNDUP((T5797+U5797+2*'Read Me'!$B$13)*(1+'Read Me'!$B$12),-1)</f>
        <v/>
      </c>
      <c r="W5797" s="16">
        <f>V5797*N5797*O5797</f>
        <v/>
      </c>
      <c r="X5797" s="12">
        <f>IF(LEFT(I5797,2)="MV",2*N5797*IF(L5797="1/C",O5797,1),0)</f>
        <v/>
      </c>
      <c r="Y5797" s="12">
        <f>IF(OR(LEFT(K5797,4)="LVAX",LEFT(K5797,6)="MV15AX",LEFT(K5797,4)="CTAX",LEFT(K5797,2)="W|"),2*N5797*O5797,0)</f>
        <v/>
      </c>
      <c r="Z5797" s="12" t="inlineStr"/>
      <c r="AA5797" s="12">
        <f>N5797*O5797</f>
        <v/>
      </c>
    </row>
    <row r="5798">
      <c r="A5798" s="12" t="inlineStr">
        <is>
          <t>K-I-0059</t>
        </is>
      </c>
      <c r="B5798" s="12" t="inlineStr">
        <is>
          <t>K</t>
        </is>
      </c>
      <c r="C5798" s="12" t="inlineStr">
        <is>
          <t>Fuel supply (adjacent market)</t>
        </is>
      </c>
      <c r="D5798" s="12" t="inlineStr">
        <is>
          <t>Discrete device to JB JB-H2 27: storage tub-DI01: 12 x 1 pr (field cables)</t>
        </is>
      </c>
      <c r="E5798" s="12" t="inlineStr"/>
      <c r="F5798" s="12" t="inlineStr">
        <is>
          <t>H2 27: storage tube bank (~40 ft tubes)</t>
        </is>
      </c>
      <c r="G5798" s="12" t="inlineStr">
        <is>
          <t>JB-H2 27: storage tub-DI01</t>
        </is>
      </c>
      <c r="H5798" s="12" t="inlineStr">
        <is>
          <t>H2 27: storage tube bank (~40 ft tubes)</t>
        </is>
      </c>
      <c r="I5798" s="12" t="inlineStr">
        <is>
          <t>Instrumentation</t>
        </is>
      </c>
      <c r="J5798" s="12" t="inlineStr">
        <is>
          <t>Instrumentation ITC / PLTC, IS, #18 shielded pairs, blue jacket</t>
        </is>
      </c>
      <c r="K5798" s="12" t="inlineStr">
        <is>
          <t>ITC|1 pr|16</t>
        </is>
      </c>
      <c r="L5798" s="12" t="inlineStr">
        <is>
          <t>1 pr</t>
        </is>
      </c>
      <c r="M5798" s="12" t="inlineStr">
        <is>
          <t>16</t>
        </is>
      </c>
      <c r="N5798" s="12" t="n">
        <v>12</v>
      </c>
      <c r="O5798" s="12" t="n">
        <v>1</v>
      </c>
      <c r="P5798" s="12" t="n"/>
      <c r="Q5798" s="12" t="n"/>
      <c r="R5798" s="12" t="n"/>
      <c r="S5798" s="12" t="inlineStr">
        <is>
          <t>Tray / conduit</t>
        </is>
      </c>
      <c r="T5798" s="16" t="n">
        <v>54</v>
      </c>
      <c r="U5798" s="16" t="n">
        <v>10</v>
      </c>
      <c r="V5798" s="16">
        <f>ROUNDUP((T5798+U5798+2*'Read Me'!$B$13)*(1+'Read Me'!$B$12),-1)</f>
        <v/>
      </c>
      <c r="W5798" s="16">
        <f>V5798*N5798*O5798</f>
        <v/>
      </c>
      <c r="X5798" s="12">
        <f>IF(LEFT(I5798,2)="MV",2*N5798*IF(L5798="1/C",O5798,1),0)</f>
        <v/>
      </c>
      <c r="Y5798" s="12">
        <f>IF(OR(LEFT(K5798,4)="LVAX",LEFT(K5798,6)="MV15AX",LEFT(K5798,4)="CTAX",LEFT(K5798,2)="W|"),2*N5798*O5798,0)</f>
        <v/>
      </c>
      <c r="Z5798" s="12" t="inlineStr">
        <is>
          <t>device-to-JB field wiring, one cable per device</t>
        </is>
      </c>
      <c r="AA5798" s="12">
        <f>N5798*O5798</f>
        <v/>
      </c>
    </row>
    <row r="5799">
      <c r="A5799" s="12" t="inlineStr">
        <is>
          <t>K-I-0060</t>
        </is>
      </c>
      <c r="B5799" s="12" t="inlineStr">
        <is>
          <t>K</t>
        </is>
      </c>
      <c r="C5799" s="12" t="inlineStr">
        <is>
          <t>Fuel supply (adjacent market)</t>
        </is>
      </c>
      <c r="D5799" s="12" t="inlineStr">
        <is>
          <t>Home run JB-H2 27: storage tub-DI01 to the control / marshalling room</t>
        </is>
      </c>
      <c r="E5799" s="12" t="inlineStr"/>
      <c r="F5799" s="12" t="inlineStr">
        <is>
          <t>H2 20: 13.8 kV e-house</t>
        </is>
      </c>
      <c r="G5799" s="12" t="inlineStr">
        <is>
          <t>JB-H2 27: storage tub-DI01</t>
        </is>
      </c>
      <c r="H5799" s="12" t="inlineStr">
        <is>
          <t>H2 27: storage tube bank (~40 ft tubes)</t>
        </is>
      </c>
      <c r="I5799" s="12" t="inlineStr">
        <is>
          <t>Instrumentation</t>
        </is>
      </c>
      <c r="J5799" s="12" t="inlineStr">
        <is>
          <t>Instrumentation ITC / PLTC, IS, #18 shielded pairs, blue jacket</t>
        </is>
      </c>
      <c r="K5799" s="12" t="inlineStr">
        <is>
          <t>ITC|24 pr|18</t>
        </is>
      </c>
      <c r="L5799" s="12" t="inlineStr">
        <is>
          <t>24 pr</t>
        </is>
      </c>
      <c r="M5799" s="12" t="inlineStr">
        <is>
          <t>18</t>
        </is>
      </c>
      <c r="N5799" s="12" t="n">
        <v>1</v>
      </c>
      <c r="O5799" s="12" t="n">
        <v>1</v>
      </c>
      <c r="P5799" s="12" t="n"/>
      <c r="Q5799" s="12" t="n"/>
      <c r="R5799" s="12" t="n"/>
      <c r="S5799" s="12" t="inlineStr">
        <is>
          <t>Duct bank</t>
        </is>
      </c>
      <c r="T5799" s="16" t="n">
        <v>50</v>
      </c>
      <c r="U5799" s="16" t="n">
        <v>117</v>
      </c>
      <c r="V5799" s="16">
        <f>ROUNDUP((T5799+U5799+2*'Read Me'!$B$13)*(1+'Read Me'!$B$12),-1)</f>
        <v/>
      </c>
      <c r="W5799" s="16">
        <f>V5799*N5799*O5799</f>
        <v/>
      </c>
      <c r="X5799" s="12">
        <f>IF(LEFT(I5799,2)="MV",2*N5799*IF(L5799="1/C",O5799,1),0)</f>
        <v/>
      </c>
      <c r="Y5799" s="12">
        <f>IF(OR(LEFT(K5799,4)="LVAX",LEFT(K5799,6)="MV15AX",LEFT(K5799,4)="CTAX",LEFT(K5799,2)="W|"),2*N5799*O5799,0)</f>
        <v/>
      </c>
      <c r="Z5799" s="12" t="inlineStr"/>
      <c r="AA5799" s="12">
        <f>N5799*O5799</f>
        <v/>
      </c>
    </row>
    <row r="5800">
      <c r="A5800" s="12" t="inlineStr">
        <is>
          <t>K-I-0061</t>
        </is>
      </c>
      <c r="B5800" s="12" t="inlineStr">
        <is>
          <t>K</t>
        </is>
      </c>
      <c r="C5800" s="12" t="inlineStr">
        <is>
          <t>Fuel supply (adjacent market)</t>
        </is>
      </c>
      <c r="D5800" s="12" t="inlineStr">
        <is>
          <t>Analog instrument to JB JB-H2 27: storage tub-AI01: 12 x 1 pr (field cables)</t>
        </is>
      </c>
      <c r="E5800" s="12" t="inlineStr"/>
      <c r="F5800" s="12" t="inlineStr">
        <is>
          <t>H2 27: storage tube bank (~40 ft tubes)</t>
        </is>
      </c>
      <c r="G5800" s="12" t="inlineStr">
        <is>
          <t>JB-H2 27: storage tub-AI01</t>
        </is>
      </c>
      <c r="H5800" s="12" t="inlineStr">
        <is>
          <t>H2 27: storage tube bank (~40 ft tubes)</t>
        </is>
      </c>
      <c r="I5800" s="12" t="inlineStr">
        <is>
          <t>Instrumentation</t>
        </is>
      </c>
      <c r="J5800" s="12" t="inlineStr">
        <is>
          <t>Instrumentation ITC / PLTC, IS, #18 shielded pairs, blue jacket</t>
        </is>
      </c>
      <c r="K5800" s="12" t="inlineStr">
        <is>
          <t>ITC|1 pr|16</t>
        </is>
      </c>
      <c r="L5800" s="12" t="inlineStr">
        <is>
          <t>1 pr</t>
        </is>
      </c>
      <c r="M5800" s="12" t="inlineStr">
        <is>
          <t>16</t>
        </is>
      </c>
      <c r="N5800" s="12" t="n">
        <v>12</v>
      </c>
      <c r="O5800" s="12" t="n">
        <v>1</v>
      </c>
      <c r="P5800" s="12" t="n"/>
      <c r="Q5800" s="12" t="n"/>
      <c r="R5800" s="12" t="n"/>
      <c r="S5800" s="12" t="inlineStr">
        <is>
          <t>Tray / conduit</t>
        </is>
      </c>
      <c r="T5800" s="16" t="n">
        <v>54</v>
      </c>
      <c r="U5800" s="16" t="n">
        <v>10</v>
      </c>
      <c r="V5800" s="16">
        <f>ROUNDUP((T5800+U5800+2*'Read Me'!$B$13)*(1+'Read Me'!$B$12),-1)</f>
        <v/>
      </c>
      <c r="W5800" s="16">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K-I-0062</t>
        </is>
      </c>
      <c r="B5801" s="12" t="inlineStr">
        <is>
          <t>K</t>
        </is>
      </c>
      <c r="C5801" s="12" t="inlineStr">
        <is>
          <t>Fuel supply (adjacent market)</t>
        </is>
      </c>
      <c r="D5801" s="12" t="inlineStr">
        <is>
          <t>Home run JB-H2 27: storage tub-AI01 to the control / marshalling room</t>
        </is>
      </c>
      <c r="E5801" s="12" t="inlineStr"/>
      <c r="F5801" s="12" t="inlineStr">
        <is>
          <t>H2 20: 13.8 kV e-house</t>
        </is>
      </c>
      <c r="G5801" s="12" t="inlineStr">
        <is>
          <t>JB-H2 27: storage tub-AI01</t>
        </is>
      </c>
      <c r="H5801" s="12" t="inlineStr">
        <is>
          <t>H2 27: storage tube bank (~40 ft tubes)</t>
        </is>
      </c>
      <c r="I5801" s="12" t="inlineStr">
        <is>
          <t>Instrumentation</t>
        </is>
      </c>
      <c r="J5801" s="12" t="inlineStr">
        <is>
          <t>Instrumentation ITC / PLTC, IS, #18 shielded pairs, blue jacket</t>
        </is>
      </c>
      <c r="K5801" s="12" t="inlineStr">
        <is>
          <t>ITC|24 pr|18</t>
        </is>
      </c>
      <c r="L5801" s="12" t="inlineStr">
        <is>
          <t>24 pr</t>
        </is>
      </c>
      <c r="M5801" s="12" t="inlineStr">
        <is>
          <t>18</t>
        </is>
      </c>
      <c r="N5801" s="12" t="n">
        <v>1</v>
      </c>
      <c r="O5801" s="12" t="n">
        <v>1</v>
      </c>
      <c r="P5801" s="12" t="n"/>
      <c r="Q5801" s="12" t="n"/>
      <c r="R5801" s="12" t="n"/>
      <c r="S5801" s="12" t="inlineStr">
        <is>
          <t>Duct bank</t>
        </is>
      </c>
      <c r="T5801" s="16" t="n">
        <v>50</v>
      </c>
      <c r="U5801" s="16" t="n">
        <v>97</v>
      </c>
      <c r="V5801" s="16">
        <f>ROUNDUP((T5801+U5801+2*'Read Me'!$B$13)*(1+'Read Me'!$B$12),-1)</f>
        <v/>
      </c>
      <c r="W5801" s="16">
        <f>V5801*N5801*O5801</f>
        <v/>
      </c>
      <c r="X5801" s="12">
        <f>IF(LEFT(I5801,2)="MV",2*N5801*IF(L5801="1/C",O5801,1),0)</f>
        <v/>
      </c>
      <c r="Y5801" s="12">
        <f>IF(OR(LEFT(K5801,4)="LVAX",LEFT(K5801,6)="MV15AX",LEFT(K5801,4)="CTAX",LEFT(K5801,2)="W|"),2*N5801*O5801,0)</f>
        <v/>
      </c>
      <c r="Z5801" s="12" t="inlineStr"/>
      <c r="AA5801" s="12">
        <f>N5801*O5801</f>
        <v/>
      </c>
    </row>
    <row r="5802">
      <c r="A5802" s="12" t="inlineStr">
        <is>
          <t>K-I-0063</t>
        </is>
      </c>
      <c r="B5802" s="12" t="inlineStr">
        <is>
          <t>K</t>
        </is>
      </c>
      <c r="C5802" s="12" t="inlineStr">
        <is>
          <t>Fuel supply (adjacent market)</t>
        </is>
      </c>
      <c r="D5802" s="12" t="inlineStr">
        <is>
          <t>Discrete device to JB JB-H2 27: storage tub-DI01: 12 x 1 pr (field cables)</t>
        </is>
      </c>
      <c r="E5802" s="12" t="inlineStr"/>
      <c r="F5802" s="12" t="inlineStr">
        <is>
          <t>H2 27: storage tube bank (~40 ft tubes)</t>
        </is>
      </c>
      <c r="G5802" s="12" t="inlineStr">
        <is>
          <t>JB-H2 27: storage tub-DI01</t>
        </is>
      </c>
      <c r="H5802" s="12" t="inlineStr">
        <is>
          <t>H2 27: storage tube bank (~40 ft tubes)</t>
        </is>
      </c>
      <c r="I5802" s="12" t="inlineStr">
        <is>
          <t>Instrumentation</t>
        </is>
      </c>
      <c r="J5802" s="12" t="inlineStr">
        <is>
          <t>Instrumentation ITC / PLTC, IS, #18 shielded pairs, blue jacket</t>
        </is>
      </c>
      <c r="K5802" s="12" t="inlineStr">
        <is>
          <t>ITC|1 pr|16</t>
        </is>
      </c>
      <c r="L5802" s="12" t="inlineStr">
        <is>
          <t>1 pr</t>
        </is>
      </c>
      <c r="M5802" s="12" t="inlineStr">
        <is>
          <t>16</t>
        </is>
      </c>
      <c r="N5802" s="12" t="n">
        <v>12</v>
      </c>
      <c r="O5802" s="12" t="n">
        <v>1</v>
      </c>
      <c r="P5802" s="12" t="n"/>
      <c r="Q5802" s="12" t="n"/>
      <c r="R5802" s="12" t="n"/>
      <c r="S5802" s="12" t="inlineStr">
        <is>
          <t>Tray / conduit</t>
        </is>
      </c>
      <c r="T5802" s="16" t="n">
        <v>54</v>
      </c>
      <c r="U5802" s="16" t="n">
        <v>10</v>
      </c>
      <c r="V5802" s="16">
        <f>ROUNDUP((T5802+U5802+2*'Read Me'!$B$13)*(1+'Read Me'!$B$12),-1)</f>
        <v/>
      </c>
      <c r="W5802" s="16">
        <f>V5802*N5802*O5802</f>
        <v/>
      </c>
      <c r="X5802" s="12">
        <f>IF(LEFT(I5802,2)="MV",2*N5802*IF(L5802="1/C",O5802,1),0)</f>
        <v/>
      </c>
      <c r="Y5802" s="12">
        <f>IF(OR(LEFT(K5802,4)="LVAX",LEFT(K5802,6)="MV15AX",LEFT(K5802,4)="CTAX",LEFT(K5802,2)="W|"),2*N5802*O5802,0)</f>
        <v/>
      </c>
      <c r="Z5802" s="12" t="inlineStr">
        <is>
          <t>device-to-JB field wiring, one cable per device</t>
        </is>
      </c>
      <c r="AA5802" s="12">
        <f>N5802*O5802</f>
        <v/>
      </c>
    </row>
    <row r="5803">
      <c r="A5803" s="12" t="inlineStr">
        <is>
          <t>K-I-0064</t>
        </is>
      </c>
      <c r="B5803" s="12" t="inlineStr">
        <is>
          <t>K</t>
        </is>
      </c>
      <c r="C5803" s="12" t="inlineStr">
        <is>
          <t>Fuel supply (adjacent market)</t>
        </is>
      </c>
      <c r="D5803" s="12" t="inlineStr">
        <is>
          <t>Home run JB-H2 27: storage tub-DI01 to the control / marshalling room</t>
        </is>
      </c>
      <c r="E5803" s="12" t="inlineStr"/>
      <c r="F5803" s="12" t="inlineStr">
        <is>
          <t>H2 20: 13.8 kV e-house</t>
        </is>
      </c>
      <c r="G5803" s="12" t="inlineStr">
        <is>
          <t>JB-H2 27: storage tub-DI01</t>
        </is>
      </c>
      <c r="H5803" s="12" t="inlineStr">
        <is>
          <t>H2 27: storage tube bank (~40 ft tubes)</t>
        </is>
      </c>
      <c r="I5803" s="12" t="inlineStr">
        <is>
          <t>Instrumentation</t>
        </is>
      </c>
      <c r="J5803" s="12" t="inlineStr">
        <is>
          <t>Instrumentation ITC / PLTC, IS, #18 shielded pairs, blue jacket</t>
        </is>
      </c>
      <c r="K5803" s="12" t="inlineStr">
        <is>
          <t>ITC|24 pr|18</t>
        </is>
      </c>
      <c r="L5803" s="12" t="inlineStr">
        <is>
          <t>24 pr</t>
        </is>
      </c>
      <c r="M5803" s="12" t="inlineStr">
        <is>
          <t>18</t>
        </is>
      </c>
      <c r="N5803" s="12" t="n">
        <v>1</v>
      </c>
      <c r="O5803" s="12" t="n">
        <v>1</v>
      </c>
      <c r="P5803" s="12" t="n"/>
      <c r="Q5803" s="12" t="n"/>
      <c r="R5803" s="12" t="n"/>
      <c r="S5803" s="12" t="inlineStr">
        <is>
          <t>Duct bank</t>
        </is>
      </c>
      <c r="T5803" s="16" t="n">
        <v>50</v>
      </c>
      <c r="U5803" s="16" t="n">
        <v>97</v>
      </c>
      <c r="V5803" s="16">
        <f>ROUNDUP((T5803+U5803+2*'Read Me'!$B$13)*(1+'Read Me'!$B$12),-1)</f>
        <v/>
      </c>
      <c r="W5803" s="16">
        <f>V5803*N5803*O5803</f>
        <v/>
      </c>
      <c r="X5803" s="12">
        <f>IF(LEFT(I5803,2)="MV",2*N5803*IF(L5803="1/C",O5803,1),0)</f>
        <v/>
      </c>
      <c r="Y5803" s="12">
        <f>IF(OR(LEFT(K5803,4)="LVAX",LEFT(K5803,6)="MV15AX",LEFT(K5803,4)="CTAX",LEFT(K5803,2)="W|"),2*N5803*O5803,0)</f>
        <v/>
      </c>
      <c r="Z5803" s="12" t="inlineStr"/>
      <c r="AA5803" s="12">
        <f>N5803*O5803</f>
        <v/>
      </c>
    </row>
    <row r="5804">
      <c r="A5804" s="12" t="inlineStr">
        <is>
          <t>K-I-0065</t>
        </is>
      </c>
      <c r="B5804" s="12" t="inlineStr">
        <is>
          <t>K</t>
        </is>
      </c>
      <c r="C5804" s="12" t="inlineStr">
        <is>
          <t>Fuel supply (adjacent market)</t>
        </is>
      </c>
      <c r="D5804" s="12" t="inlineStr">
        <is>
          <t>Analog instrument to JB JB-H2 27: storage tub-AI01: 12 x 1 pr (field cables)</t>
        </is>
      </c>
      <c r="E5804" s="12" t="inlineStr"/>
      <c r="F5804" s="12" t="inlineStr">
        <is>
          <t>H2 27: storage tube bank (~40 ft tubes)</t>
        </is>
      </c>
      <c r="G5804" s="12" t="inlineStr">
        <is>
          <t>JB-H2 27: storage tub-AI01</t>
        </is>
      </c>
      <c r="H5804" s="12" t="inlineStr">
        <is>
          <t>H2 27: storage tube bank (~40 ft tubes)</t>
        </is>
      </c>
      <c r="I5804" s="12" t="inlineStr">
        <is>
          <t>Instrumentation</t>
        </is>
      </c>
      <c r="J5804" s="12" t="inlineStr">
        <is>
          <t>Instrumentation ITC / PLTC, IS, #18 shielded pairs, blue jacket</t>
        </is>
      </c>
      <c r="K5804" s="12" t="inlineStr">
        <is>
          <t>ITC|1 pr|16</t>
        </is>
      </c>
      <c r="L5804" s="12" t="inlineStr">
        <is>
          <t>1 pr</t>
        </is>
      </c>
      <c r="M5804" s="12" t="inlineStr">
        <is>
          <t>16</t>
        </is>
      </c>
      <c r="N5804" s="12" t="n">
        <v>12</v>
      </c>
      <c r="O5804" s="12" t="n">
        <v>1</v>
      </c>
      <c r="P5804" s="12" t="n"/>
      <c r="Q5804" s="12" t="n"/>
      <c r="R5804" s="12" t="n"/>
      <c r="S5804" s="12" t="inlineStr">
        <is>
          <t>Tray / conduit</t>
        </is>
      </c>
      <c r="T5804" s="16" t="n">
        <v>54</v>
      </c>
      <c r="U5804" s="16" t="n">
        <v>10</v>
      </c>
      <c r="V5804" s="16">
        <f>ROUNDUP((T5804+U5804+2*'Read Me'!$B$13)*(1+'Read Me'!$B$12),-1)</f>
        <v/>
      </c>
      <c r="W5804" s="16">
        <f>V5804*N5804*O5804</f>
        <v/>
      </c>
      <c r="X5804" s="12">
        <f>IF(LEFT(I5804,2)="MV",2*N5804*IF(L5804="1/C",O5804,1),0)</f>
        <v/>
      </c>
      <c r="Y5804" s="12">
        <f>IF(OR(LEFT(K5804,4)="LVAX",LEFT(K5804,6)="MV15AX",LEFT(K5804,4)="CTAX",LEFT(K5804,2)="W|"),2*N5804*O5804,0)</f>
        <v/>
      </c>
      <c r="Z5804" s="12" t="inlineStr">
        <is>
          <t>device-to-JB field wiring, one cable per device</t>
        </is>
      </c>
      <c r="AA5804" s="12">
        <f>N5804*O5804</f>
        <v/>
      </c>
    </row>
    <row r="5805">
      <c r="A5805" s="12" t="inlineStr">
        <is>
          <t>K-I-0066</t>
        </is>
      </c>
      <c r="B5805" s="12" t="inlineStr">
        <is>
          <t>K</t>
        </is>
      </c>
      <c r="C5805" s="12" t="inlineStr">
        <is>
          <t>Fuel supply (adjacent market)</t>
        </is>
      </c>
      <c r="D5805" s="12" t="inlineStr">
        <is>
          <t>Home run JB-H2 27: storage tub-AI01 to the control / marshalling room</t>
        </is>
      </c>
      <c r="E5805" s="12" t="inlineStr"/>
      <c r="F5805" s="12" t="inlineStr">
        <is>
          <t>H2 20: 13.8 kV e-house</t>
        </is>
      </c>
      <c r="G5805" s="12" t="inlineStr">
        <is>
          <t>JB-H2 27: storage tub-AI01</t>
        </is>
      </c>
      <c r="H5805" s="12" t="inlineStr">
        <is>
          <t>H2 27: storage tube bank (~40 ft tubes)</t>
        </is>
      </c>
      <c r="I5805" s="12" t="inlineStr">
        <is>
          <t>Instrumentation</t>
        </is>
      </c>
      <c r="J5805" s="12" t="inlineStr">
        <is>
          <t>Instrumentation ITC / PLTC, IS, #18 shielded pairs, blue jacket</t>
        </is>
      </c>
      <c r="K5805" s="12" t="inlineStr">
        <is>
          <t>ITC|24 pr|18</t>
        </is>
      </c>
      <c r="L5805" s="12" t="inlineStr">
        <is>
          <t>24 pr</t>
        </is>
      </c>
      <c r="M5805" s="12" t="inlineStr">
        <is>
          <t>18</t>
        </is>
      </c>
      <c r="N5805" s="12" t="n">
        <v>1</v>
      </c>
      <c r="O5805" s="12" t="n">
        <v>1</v>
      </c>
      <c r="P5805" s="12" t="n"/>
      <c r="Q5805" s="12" t="n"/>
      <c r="R5805" s="12" t="n"/>
      <c r="S5805" s="12" t="inlineStr">
        <is>
          <t>Duct bank</t>
        </is>
      </c>
      <c r="T5805" s="16" t="n">
        <v>50</v>
      </c>
      <c r="U5805" s="16" t="n">
        <v>117</v>
      </c>
      <c r="V5805" s="16">
        <f>ROUNDUP((T5805+U5805+2*'Read Me'!$B$13)*(1+'Read Me'!$B$12),-1)</f>
        <v/>
      </c>
      <c r="W5805" s="16">
        <f>V5805*N5805*O5805</f>
        <v/>
      </c>
      <c r="X5805" s="12">
        <f>IF(LEFT(I5805,2)="MV",2*N5805*IF(L5805="1/C",O5805,1),0)</f>
        <v/>
      </c>
      <c r="Y5805" s="12">
        <f>IF(OR(LEFT(K5805,4)="LVAX",LEFT(K5805,6)="MV15AX",LEFT(K5805,4)="CTAX",LEFT(K5805,2)="W|"),2*N5805*O5805,0)</f>
        <v/>
      </c>
      <c r="Z5805" s="12" t="inlineStr"/>
      <c r="AA5805" s="12">
        <f>N5805*O5805</f>
        <v/>
      </c>
    </row>
    <row r="5806">
      <c r="A5806" s="12" t="inlineStr">
        <is>
          <t>K-I-0067</t>
        </is>
      </c>
      <c r="B5806" s="12" t="inlineStr">
        <is>
          <t>K</t>
        </is>
      </c>
      <c r="C5806" s="12" t="inlineStr">
        <is>
          <t>Fuel supply (adjacent market)</t>
        </is>
      </c>
      <c r="D5806" s="12" t="inlineStr">
        <is>
          <t>Discrete device to JB JB-H2 27: storage tub-DI01: 12 x 1 pr (field cables)</t>
        </is>
      </c>
      <c r="E5806" s="12" t="inlineStr"/>
      <c r="F5806" s="12" t="inlineStr">
        <is>
          <t>H2 27: storage tube bank (~40 ft tubes)</t>
        </is>
      </c>
      <c r="G5806" s="12" t="inlineStr">
        <is>
          <t>JB-H2 27: storage tub-DI01</t>
        </is>
      </c>
      <c r="H5806" s="12" t="inlineStr">
        <is>
          <t>H2 27: storage tube bank (~40 ft tubes)</t>
        </is>
      </c>
      <c r="I5806" s="12" t="inlineStr">
        <is>
          <t>Instrumentation</t>
        </is>
      </c>
      <c r="J5806" s="12" t="inlineStr">
        <is>
          <t>Instrumentation ITC / PLTC, IS, #18 shielded pairs, blue jacket</t>
        </is>
      </c>
      <c r="K5806" s="12" t="inlineStr">
        <is>
          <t>ITC|1 pr|16</t>
        </is>
      </c>
      <c r="L5806" s="12" t="inlineStr">
        <is>
          <t>1 pr</t>
        </is>
      </c>
      <c r="M5806" s="12" t="inlineStr">
        <is>
          <t>16</t>
        </is>
      </c>
      <c r="N5806" s="12" t="n">
        <v>12</v>
      </c>
      <c r="O5806" s="12" t="n">
        <v>1</v>
      </c>
      <c r="P5806" s="12" t="n"/>
      <c r="Q5806" s="12" t="n"/>
      <c r="R5806" s="12" t="n"/>
      <c r="S5806" s="12" t="inlineStr">
        <is>
          <t>Tray / conduit</t>
        </is>
      </c>
      <c r="T5806" s="16" t="n">
        <v>54</v>
      </c>
      <c r="U5806" s="16" t="n">
        <v>10</v>
      </c>
      <c r="V5806" s="16">
        <f>ROUNDUP((T5806+U5806+2*'Read Me'!$B$13)*(1+'Read Me'!$B$12),-1)</f>
        <v/>
      </c>
      <c r="W5806" s="16">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K-I-0068</t>
        </is>
      </c>
      <c r="B5807" s="12" t="inlineStr">
        <is>
          <t>K</t>
        </is>
      </c>
      <c r="C5807" s="12" t="inlineStr">
        <is>
          <t>Fuel supply (adjacent market)</t>
        </is>
      </c>
      <c r="D5807" s="12" t="inlineStr">
        <is>
          <t>Home run JB-H2 27: storage tub-DI01 to the control / marshalling room</t>
        </is>
      </c>
      <c r="E5807" s="12" t="inlineStr"/>
      <c r="F5807" s="12" t="inlineStr">
        <is>
          <t>H2 20: 13.8 kV e-house</t>
        </is>
      </c>
      <c r="G5807" s="12" t="inlineStr">
        <is>
          <t>JB-H2 27: storage tub-DI01</t>
        </is>
      </c>
      <c r="H5807" s="12" t="inlineStr">
        <is>
          <t>H2 27: storage tube bank (~40 ft tubes)</t>
        </is>
      </c>
      <c r="I5807" s="12" t="inlineStr">
        <is>
          <t>Instrumentation</t>
        </is>
      </c>
      <c r="J5807" s="12" t="inlineStr">
        <is>
          <t>Instrumentation ITC / PLTC, IS, #18 shielded pairs, blue jacket</t>
        </is>
      </c>
      <c r="K5807" s="12" t="inlineStr">
        <is>
          <t>ITC|24 pr|18</t>
        </is>
      </c>
      <c r="L5807" s="12" t="inlineStr">
        <is>
          <t>24 pr</t>
        </is>
      </c>
      <c r="M5807" s="12" t="inlineStr">
        <is>
          <t>18</t>
        </is>
      </c>
      <c r="N5807" s="12" t="n">
        <v>1</v>
      </c>
      <c r="O5807" s="12" t="n">
        <v>1</v>
      </c>
      <c r="P5807" s="12" t="n"/>
      <c r="Q5807" s="12" t="n"/>
      <c r="R5807" s="12" t="n"/>
      <c r="S5807" s="12" t="inlineStr">
        <is>
          <t>Duct bank</t>
        </is>
      </c>
      <c r="T5807" s="16" t="n">
        <v>50</v>
      </c>
      <c r="U5807" s="16" t="n">
        <v>117</v>
      </c>
      <c r="V5807" s="16">
        <f>ROUNDUP((T5807+U5807+2*'Read Me'!$B$13)*(1+'Read Me'!$B$12),-1)</f>
        <v/>
      </c>
      <c r="W5807" s="16">
        <f>V5807*N5807*O5807</f>
        <v/>
      </c>
      <c r="X5807" s="12">
        <f>IF(LEFT(I5807,2)="MV",2*N5807*IF(L5807="1/C",O5807,1),0)</f>
        <v/>
      </c>
      <c r="Y5807" s="12">
        <f>IF(OR(LEFT(K5807,4)="LVAX",LEFT(K5807,6)="MV15AX",LEFT(K5807,4)="CTAX",LEFT(K5807,2)="W|"),2*N5807*O5807,0)</f>
        <v/>
      </c>
      <c r="Z5807" s="12" t="inlineStr"/>
      <c r="AA5807" s="12">
        <f>N5807*O5807</f>
        <v/>
      </c>
    </row>
    <row r="5808">
      <c r="A5808" s="12" t="inlineStr">
        <is>
          <t>K-I-0069</t>
        </is>
      </c>
      <c r="B5808" s="12" t="inlineStr">
        <is>
          <t>K</t>
        </is>
      </c>
      <c r="C5808" s="12" t="inlineStr">
        <is>
          <t>Fuel supply (adjacent market)</t>
        </is>
      </c>
      <c r="D5808" s="12" t="inlineStr">
        <is>
          <t>Analog instrument to JB JB-H2 28: N2 purge su-AI01: 12 x 1 pr (field cables)</t>
        </is>
      </c>
      <c r="E5808" s="12" t="inlineStr"/>
      <c r="F5808" s="12" t="inlineStr">
        <is>
          <t>H2 28: N2 purge supply</t>
        </is>
      </c>
      <c r="G5808" s="12" t="inlineStr">
        <is>
          <t>JB-H2 28: N2 purge su-AI01</t>
        </is>
      </c>
      <c r="H5808" s="12" t="inlineStr">
        <is>
          <t>H2 28: N2 purge supply</t>
        </is>
      </c>
      <c r="I5808" s="12" t="inlineStr">
        <is>
          <t>Instrumentation</t>
        </is>
      </c>
      <c r="J5808" s="12" t="inlineStr">
        <is>
          <t>Instrumentation ITC / PLTC, IS, #18 shielded pairs, blue jacket</t>
        </is>
      </c>
      <c r="K5808" s="12" t="inlineStr">
        <is>
          <t>ITC|1 pr|16</t>
        </is>
      </c>
      <c r="L5808" s="12" t="inlineStr">
        <is>
          <t>1 pr</t>
        </is>
      </c>
      <c r="M5808" s="12" t="inlineStr">
        <is>
          <t>16</t>
        </is>
      </c>
      <c r="N5808" s="12" t="n">
        <v>12</v>
      </c>
      <c r="O5808" s="12" t="n">
        <v>1</v>
      </c>
      <c r="P5808" s="12" t="n"/>
      <c r="Q5808" s="12" t="n"/>
      <c r="R5808" s="12" t="n"/>
      <c r="S5808" s="12" t="inlineStr">
        <is>
          <t>Tray / conduit</t>
        </is>
      </c>
      <c r="T5808" s="16" t="n">
        <v>56</v>
      </c>
      <c r="U5808" s="16" t="n">
        <v>10</v>
      </c>
      <c r="V5808" s="16">
        <f>ROUNDUP((T5808+U5808+2*'Read Me'!$B$13)*(1+'Read Me'!$B$12),-1)</f>
        <v/>
      </c>
      <c r="W5808" s="16">
        <f>V5808*N5808*O5808</f>
        <v/>
      </c>
      <c r="X5808" s="12">
        <f>IF(LEFT(I5808,2)="MV",2*N5808*IF(L5808="1/C",O5808,1),0)</f>
        <v/>
      </c>
      <c r="Y5808" s="12">
        <f>IF(OR(LEFT(K5808,4)="LVAX",LEFT(K5808,6)="MV15AX",LEFT(K5808,4)="CTAX",LEFT(K5808,2)="W|"),2*N5808*O5808,0)</f>
        <v/>
      </c>
      <c r="Z5808" s="12" t="inlineStr">
        <is>
          <t>device-to-JB field wiring, one cable per device</t>
        </is>
      </c>
      <c r="AA5808" s="12">
        <f>N5808*O5808</f>
        <v/>
      </c>
    </row>
    <row r="5809">
      <c r="A5809" s="12" t="inlineStr">
        <is>
          <t>K-I-0070</t>
        </is>
      </c>
      <c r="B5809" s="12" t="inlineStr">
        <is>
          <t>K</t>
        </is>
      </c>
      <c r="C5809" s="12" t="inlineStr">
        <is>
          <t>Fuel supply (adjacent market)</t>
        </is>
      </c>
      <c r="D5809" s="12" t="inlineStr">
        <is>
          <t>Home run JB-H2 28: N2 purge su-AI01 to the control / marshalling room</t>
        </is>
      </c>
      <c r="E5809" s="12" t="inlineStr"/>
      <c r="F5809" s="12" t="inlineStr">
        <is>
          <t>H2 20: 13.8 kV e-house</t>
        </is>
      </c>
      <c r="G5809" s="12" t="inlineStr">
        <is>
          <t>JB-H2 28: N2 purge su-AI01</t>
        </is>
      </c>
      <c r="H5809" s="12" t="inlineStr">
        <is>
          <t>H2 28: N2 purge supply</t>
        </is>
      </c>
      <c r="I5809" s="12" t="inlineStr">
        <is>
          <t>Instrumentation</t>
        </is>
      </c>
      <c r="J5809" s="12" t="inlineStr">
        <is>
          <t>Instrumentation ITC / PLTC, IS, #18 shielded pairs, blue jacket</t>
        </is>
      </c>
      <c r="K5809" s="12" t="inlineStr">
        <is>
          <t>ITC|24 pr|18</t>
        </is>
      </c>
      <c r="L5809" s="12" t="inlineStr">
        <is>
          <t>24 pr</t>
        </is>
      </c>
      <c r="M5809" s="12" t="inlineStr">
        <is>
          <t>18</t>
        </is>
      </c>
      <c r="N5809" s="12" t="n">
        <v>1</v>
      </c>
      <c r="O5809" s="12" t="n">
        <v>1</v>
      </c>
      <c r="P5809" s="12" t="n"/>
      <c r="Q5809" s="12" t="n"/>
      <c r="R5809" s="12" t="n"/>
      <c r="S5809" s="12" t="inlineStr">
        <is>
          <t>Duct bank</t>
        </is>
      </c>
      <c r="T5809" s="16" t="n">
        <v>53</v>
      </c>
      <c r="U5809" s="16" t="n">
        <v>36</v>
      </c>
      <c r="V5809" s="16">
        <f>ROUNDUP((T5809+U5809+2*'Read Me'!$B$13)*(1+'Read Me'!$B$12),-1)</f>
        <v/>
      </c>
      <c r="W5809" s="16">
        <f>V5809*N5809*O5809</f>
        <v/>
      </c>
      <c r="X5809" s="12">
        <f>IF(LEFT(I5809,2)="MV",2*N5809*IF(L5809="1/C",O5809,1),0)</f>
        <v/>
      </c>
      <c r="Y5809" s="12">
        <f>IF(OR(LEFT(K5809,4)="LVAX",LEFT(K5809,6)="MV15AX",LEFT(K5809,4)="CTAX",LEFT(K5809,2)="W|"),2*N5809*O5809,0)</f>
        <v/>
      </c>
      <c r="Z5809" s="12" t="inlineStr"/>
      <c r="AA5809" s="12">
        <f>N5809*O5809</f>
        <v/>
      </c>
    </row>
    <row r="5810">
      <c r="A5810" s="12" t="inlineStr">
        <is>
          <t>K-I-0071</t>
        </is>
      </c>
      <c r="B5810" s="12" t="inlineStr">
        <is>
          <t>K</t>
        </is>
      </c>
      <c r="C5810" s="12" t="inlineStr">
        <is>
          <t>Fuel supply (adjacent market)</t>
        </is>
      </c>
      <c r="D5810" s="12" t="inlineStr">
        <is>
          <t>Discrete device to JB JB-H2 28: N2 purge su-DI01: 12 x 1 pr (field cables)</t>
        </is>
      </c>
      <c r="E5810" s="12" t="inlineStr"/>
      <c r="F5810" s="12" t="inlineStr">
        <is>
          <t>H2 28: N2 purge supply</t>
        </is>
      </c>
      <c r="G5810" s="12" t="inlineStr">
        <is>
          <t>JB-H2 28: N2 purge su-DI01</t>
        </is>
      </c>
      <c r="H5810" s="12" t="inlineStr">
        <is>
          <t>H2 28: N2 purge supply</t>
        </is>
      </c>
      <c r="I5810" s="12" t="inlineStr">
        <is>
          <t>Instrumentation</t>
        </is>
      </c>
      <c r="J5810" s="12" t="inlineStr">
        <is>
          <t>Instrumentation ITC / PLTC, IS, #18 shielded pairs, blue jacket</t>
        </is>
      </c>
      <c r="K5810" s="12" t="inlineStr">
        <is>
          <t>ITC|1 pr|16</t>
        </is>
      </c>
      <c r="L5810" s="12" t="inlineStr">
        <is>
          <t>1 pr</t>
        </is>
      </c>
      <c r="M5810" s="12" t="inlineStr">
        <is>
          <t>16</t>
        </is>
      </c>
      <c r="N5810" s="12" t="n">
        <v>12</v>
      </c>
      <c r="O5810" s="12" t="n">
        <v>1</v>
      </c>
      <c r="P5810" s="12" t="n"/>
      <c r="Q5810" s="12" t="n"/>
      <c r="R5810" s="12" t="n"/>
      <c r="S5810" s="12" t="inlineStr">
        <is>
          <t>Tray / conduit</t>
        </is>
      </c>
      <c r="T5810" s="16" t="n">
        <v>56</v>
      </c>
      <c r="U5810" s="16" t="n">
        <v>10</v>
      </c>
      <c r="V5810" s="16">
        <f>ROUNDUP((T5810+U5810+2*'Read Me'!$B$13)*(1+'Read Me'!$B$12),-1)</f>
        <v/>
      </c>
      <c r="W5810" s="16">
        <f>V5810*N5810*O5810</f>
        <v/>
      </c>
      <c r="X5810" s="12">
        <f>IF(LEFT(I5810,2)="MV",2*N5810*IF(L5810="1/C",O5810,1),0)</f>
        <v/>
      </c>
      <c r="Y5810" s="12">
        <f>IF(OR(LEFT(K5810,4)="LVAX",LEFT(K5810,6)="MV15AX",LEFT(K5810,4)="CTAX",LEFT(K5810,2)="W|"),2*N5810*O5810,0)</f>
        <v/>
      </c>
      <c r="Z5810" s="12" t="inlineStr">
        <is>
          <t>device-to-JB field wiring, one cable per device</t>
        </is>
      </c>
      <c r="AA5810" s="12">
        <f>N5810*O5810</f>
        <v/>
      </c>
    </row>
    <row r="5811">
      <c r="A5811" s="12" t="inlineStr">
        <is>
          <t>K-I-0072</t>
        </is>
      </c>
      <c r="B5811" s="12" t="inlineStr">
        <is>
          <t>K</t>
        </is>
      </c>
      <c r="C5811" s="12" t="inlineStr">
        <is>
          <t>Fuel supply (adjacent market)</t>
        </is>
      </c>
      <c r="D5811" s="12" t="inlineStr">
        <is>
          <t>Home run JB-H2 28: N2 purge su-DI01 to the control / marshalling room</t>
        </is>
      </c>
      <c r="E5811" s="12" t="inlineStr"/>
      <c r="F5811" s="12" t="inlineStr">
        <is>
          <t>H2 20: 13.8 kV e-house</t>
        </is>
      </c>
      <c r="G5811" s="12" t="inlineStr">
        <is>
          <t>JB-H2 28: N2 purge su-DI01</t>
        </is>
      </c>
      <c r="H5811" s="12" t="inlineStr">
        <is>
          <t>H2 28: N2 purge supply</t>
        </is>
      </c>
      <c r="I5811" s="12" t="inlineStr">
        <is>
          <t>Instrumentation</t>
        </is>
      </c>
      <c r="J5811" s="12" t="inlineStr">
        <is>
          <t>Instrumentation ITC / PLTC, IS, #18 shielded pairs, blue jacket</t>
        </is>
      </c>
      <c r="K5811" s="12" t="inlineStr">
        <is>
          <t>ITC|24 pr|18</t>
        </is>
      </c>
      <c r="L5811" s="12" t="inlineStr">
        <is>
          <t>24 pr</t>
        </is>
      </c>
      <c r="M5811" s="12" t="inlineStr">
        <is>
          <t>18</t>
        </is>
      </c>
      <c r="N5811" s="12" t="n">
        <v>1</v>
      </c>
      <c r="O5811" s="12" t="n">
        <v>1</v>
      </c>
      <c r="P5811" s="12" t="n"/>
      <c r="Q5811" s="12" t="n"/>
      <c r="R5811" s="12" t="n"/>
      <c r="S5811" s="12" t="inlineStr">
        <is>
          <t>Duct bank</t>
        </is>
      </c>
      <c r="T5811" s="16" t="n">
        <v>53</v>
      </c>
      <c r="U5811" s="16" t="n">
        <v>36</v>
      </c>
      <c r="V5811" s="16">
        <f>ROUNDUP((T5811+U5811+2*'Read Me'!$B$13)*(1+'Read Me'!$B$12),-1)</f>
        <v/>
      </c>
      <c r="W5811" s="16">
        <f>V5811*N5811*O5811</f>
        <v/>
      </c>
      <c r="X5811" s="12">
        <f>IF(LEFT(I5811,2)="MV",2*N5811*IF(L5811="1/C",O5811,1),0)</f>
        <v/>
      </c>
      <c r="Y5811" s="12">
        <f>IF(OR(LEFT(K5811,4)="LVAX",LEFT(K5811,6)="MV15AX",LEFT(K5811,4)="CTAX",LEFT(K5811,2)="W|"),2*N5811*O5811,0)</f>
        <v/>
      </c>
      <c r="Z5811" s="12" t="inlineStr"/>
      <c r="AA5811" s="12">
        <f>N5811*O5811</f>
        <v/>
      </c>
    </row>
    <row r="5812">
      <c r="A5812" s="12" t="inlineStr">
        <is>
          <t>K-I-0073</t>
        </is>
      </c>
      <c r="B5812" s="12" t="inlineStr">
        <is>
          <t>K</t>
        </is>
      </c>
      <c r="C5812" s="12" t="inlineStr">
        <is>
          <t>Fuel supply (adjacent market)</t>
        </is>
      </c>
      <c r="D5812" s="12" t="inlineStr">
        <is>
          <t>Analog instrument to JB JB-H2 29: vent stack-AI01: 12 x 1 pr (field cables)</t>
        </is>
      </c>
      <c r="E5812" s="12" t="inlineStr"/>
      <c r="F5812" s="12" t="inlineStr">
        <is>
          <t>H2 29: vent stack</t>
        </is>
      </c>
      <c r="G5812" s="12" t="inlineStr">
        <is>
          <t>JB-H2 29: vent stack-AI01</t>
        </is>
      </c>
      <c r="H5812" s="12" t="inlineStr">
        <is>
          <t>H2 29: vent stack</t>
        </is>
      </c>
      <c r="I5812" s="12" t="inlineStr">
        <is>
          <t>Instrumentation</t>
        </is>
      </c>
      <c r="J5812" s="12" t="inlineStr">
        <is>
          <t>Instrumentation ITC / PLTC, IS, #18 shielded pairs, blue jacket</t>
        </is>
      </c>
      <c r="K5812" s="12" t="inlineStr">
        <is>
          <t>ITC|1 pr|16</t>
        </is>
      </c>
      <c r="L5812" s="12" t="inlineStr">
        <is>
          <t>1 pr</t>
        </is>
      </c>
      <c r="M5812" s="12" t="inlineStr">
        <is>
          <t>16</t>
        </is>
      </c>
      <c r="N5812" s="12" t="n">
        <v>12</v>
      </c>
      <c r="O5812" s="12" t="n">
        <v>1</v>
      </c>
      <c r="P5812" s="12" t="n"/>
      <c r="Q5812" s="12" t="n"/>
      <c r="R5812" s="12" t="n"/>
      <c r="S5812" s="12" t="inlineStr">
        <is>
          <t>Tray / conduit</t>
        </is>
      </c>
      <c r="T5812" s="16" t="n">
        <v>45</v>
      </c>
      <c r="U5812" s="16" t="n">
        <v>10</v>
      </c>
      <c r="V5812" s="16">
        <f>ROUNDUP((T5812+U5812+2*'Read Me'!$B$13)*(1+'Read Me'!$B$12),-1)</f>
        <v/>
      </c>
      <c r="W5812" s="16">
        <f>V5812*N5812*O5812</f>
        <v/>
      </c>
      <c r="X5812" s="12">
        <f>IF(LEFT(I5812,2)="MV",2*N5812*IF(L5812="1/C",O5812,1),0)</f>
        <v/>
      </c>
      <c r="Y5812" s="12">
        <f>IF(OR(LEFT(K5812,4)="LVAX",LEFT(K5812,6)="MV15AX",LEFT(K5812,4)="CTAX",LEFT(K5812,2)="W|"),2*N5812*O5812,0)</f>
        <v/>
      </c>
      <c r="Z5812" s="12" t="inlineStr">
        <is>
          <t>device-to-JB field wiring, one cable per device</t>
        </is>
      </c>
      <c r="AA5812" s="12">
        <f>N5812*O5812</f>
        <v/>
      </c>
    </row>
    <row r="5813">
      <c r="A5813" s="12" t="inlineStr">
        <is>
          <t>K-I-0074</t>
        </is>
      </c>
      <c r="B5813" s="12" t="inlineStr">
        <is>
          <t>K</t>
        </is>
      </c>
      <c r="C5813" s="12" t="inlineStr">
        <is>
          <t>Fuel supply (adjacent market)</t>
        </is>
      </c>
      <c r="D5813" s="12" t="inlineStr">
        <is>
          <t>Home run JB-H2 29: vent stack-AI01 to the control / marshalling room</t>
        </is>
      </c>
      <c r="E5813" s="12" t="inlineStr"/>
      <c r="F5813" s="12" t="inlineStr">
        <is>
          <t>H2 20: 13.8 kV e-house</t>
        </is>
      </c>
      <c r="G5813" s="12" t="inlineStr">
        <is>
          <t>JB-H2 29: vent stack-AI01</t>
        </is>
      </c>
      <c r="H5813" s="12" t="inlineStr">
        <is>
          <t>H2 29: vent stack</t>
        </is>
      </c>
      <c r="I5813" s="12" t="inlineStr">
        <is>
          <t>Instrumentation</t>
        </is>
      </c>
      <c r="J5813" s="12" t="inlineStr">
        <is>
          <t>Instrumentation ITC / PLTC, IS, #18 shielded pairs, blue jacket</t>
        </is>
      </c>
      <c r="K5813" s="12" t="inlineStr">
        <is>
          <t>ITC|24 pr|18</t>
        </is>
      </c>
      <c r="L5813" s="12" t="inlineStr">
        <is>
          <t>24 pr</t>
        </is>
      </c>
      <c r="M5813" s="12" t="inlineStr">
        <is>
          <t>18</t>
        </is>
      </c>
      <c r="N5813" s="12" t="n">
        <v>1</v>
      </c>
      <c r="O5813" s="12" t="n">
        <v>1</v>
      </c>
      <c r="P5813" s="12" t="n"/>
      <c r="Q5813" s="12" t="n"/>
      <c r="R5813" s="12" t="n"/>
      <c r="S5813" s="12" t="inlineStr">
        <is>
          <t>Duct bank</t>
        </is>
      </c>
      <c r="T5813" s="16" t="n">
        <v>55</v>
      </c>
      <c r="U5813" s="16" t="n">
        <v>205</v>
      </c>
      <c r="V5813" s="16">
        <f>ROUNDUP((T5813+U5813+2*'Read Me'!$B$13)*(1+'Read Me'!$B$12),-1)</f>
        <v/>
      </c>
      <c r="W5813" s="16">
        <f>V5813*N5813*O5813</f>
        <v/>
      </c>
      <c r="X5813" s="12">
        <f>IF(LEFT(I5813,2)="MV",2*N5813*IF(L5813="1/C",O5813,1),0)</f>
        <v/>
      </c>
      <c r="Y5813" s="12">
        <f>IF(OR(LEFT(K5813,4)="LVAX",LEFT(K5813,6)="MV15AX",LEFT(K5813,4)="CTAX",LEFT(K5813,2)="W|"),2*N5813*O5813,0)</f>
        <v/>
      </c>
      <c r="Z5813" s="12" t="inlineStr"/>
      <c r="AA5813" s="12">
        <f>N5813*O5813</f>
        <v/>
      </c>
    </row>
    <row r="5814">
      <c r="A5814" s="12" t="inlineStr">
        <is>
          <t>K-I-0075</t>
        </is>
      </c>
      <c r="B5814" s="12" t="inlineStr">
        <is>
          <t>K</t>
        </is>
      </c>
      <c r="C5814" s="12" t="inlineStr">
        <is>
          <t>Fuel supply (adjacent market)</t>
        </is>
      </c>
      <c r="D5814" s="12" t="inlineStr">
        <is>
          <t>Discrete device to JB JB-H2 29: vent stack-DI01: 12 x 1 pr (field cables)</t>
        </is>
      </c>
      <c r="E5814" s="12" t="inlineStr"/>
      <c r="F5814" s="12" t="inlineStr">
        <is>
          <t>H2 29: vent stack</t>
        </is>
      </c>
      <c r="G5814" s="12" t="inlineStr">
        <is>
          <t>JB-H2 29: vent stack-DI01</t>
        </is>
      </c>
      <c r="H5814" s="12" t="inlineStr">
        <is>
          <t>H2 29: vent stack</t>
        </is>
      </c>
      <c r="I5814" s="12" t="inlineStr">
        <is>
          <t>Instrumentation</t>
        </is>
      </c>
      <c r="J5814" s="12" t="inlineStr">
        <is>
          <t>Instrumentation ITC / PLTC, IS, #18 shielded pairs, blue jacket</t>
        </is>
      </c>
      <c r="K5814" s="12" t="inlineStr">
        <is>
          <t>ITC|1 pr|16</t>
        </is>
      </c>
      <c r="L5814" s="12" t="inlineStr">
        <is>
          <t>1 pr</t>
        </is>
      </c>
      <c r="M5814" s="12" t="inlineStr">
        <is>
          <t>16</t>
        </is>
      </c>
      <c r="N5814" s="12" t="n">
        <v>12</v>
      </c>
      <c r="O5814" s="12" t="n">
        <v>1</v>
      </c>
      <c r="P5814" s="12" t="n"/>
      <c r="Q5814" s="12" t="n"/>
      <c r="R5814" s="12" t="n"/>
      <c r="S5814" s="12" t="inlineStr">
        <is>
          <t>Tray / conduit</t>
        </is>
      </c>
      <c r="T5814" s="16" t="n">
        <v>45</v>
      </c>
      <c r="U5814" s="16" t="n">
        <v>10</v>
      </c>
      <c r="V5814" s="16">
        <f>ROUNDUP((T5814+U5814+2*'Read Me'!$B$13)*(1+'Read Me'!$B$12),-1)</f>
        <v/>
      </c>
      <c r="W5814" s="16">
        <f>V5814*N5814*O5814</f>
        <v/>
      </c>
      <c r="X5814" s="12">
        <f>IF(LEFT(I5814,2)="MV",2*N5814*IF(L5814="1/C",O5814,1),0)</f>
        <v/>
      </c>
      <c r="Y5814" s="12">
        <f>IF(OR(LEFT(K5814,4)="LVAX",LEFT(K5814,6)="MV15AX",LEFT(K5814,4)="CTAX",LEFT(K5814,2)="W|"),2*N5814*O5814,0)</f>
        <v/>
      </c>
      <c r="Z5814" s="12" t="inlineStr">
        <is>
          <t>device-to-JB field wiring, one cable per device</t>
        </is>
      </c>
      <c r="AA5814" s="12">
        <f>N5814*O5814</f>
        <v/>
      </c>
    </row>
    <row r="5815">
      <c r="A5815" s="12" t="inlineStr">
        <is>
          <t>K-I-0076</t>
        </is>
      </c>
      <c r="B5815" s="12" t="inlineStr">
        <is>
          <t>K</t>
        </is>
      </c>
      <c r="C5815" s="12" t="inlineStr">
        <is>
          <t>Fuel supply (adjacent market)</t>
        </is>
      </c>
      <c r="D5815" s="12" t="inlineStr">
        <is>
          <t>Home run JB-H2 29: vent stack-DI01 to the control / marshalling room</t>
        </is>
      </c>
      <c r="E5815" s="12" t="inlineStr"/>
      <c r="F5815" s="12" t="inlineStr">
        <is>
          <t>H2 20: 13.8 kV e-house</t>
        </is>
      </c>
      <c r="G5815" s="12" t="inlineStr">
        <is>
          <t>JB-H2 29: vent stack-DI01</t>
        </is>
      </c>
      <c r="H5815" s="12" t="inlineStr">
        <is>
          <t>H2 29: vent stack</t>
        </is>
      </c>
      <c r="I5815" s="12" t="inlineStr">
        <is>
          <t>Instrumentation</t>
        </is>
      </c>
      <c r="J5815" s="12" t="inlineStr">
        <is>
          <t>Instrumentation ITC / PLTC, IS, #18 shielded pairs, blue jacket</t>
        </is>
      </c>
      <c r="K5815" s="12" t="inlineStr">
        <is>
          <t>ITC|24 pr|18</t>
        </is>
      </c>
      <c r="L5815" s="12" t="inlineStr">
        <is>
          <t>24 pr</t>
        </is>
      </c>
      <c r="M5815" s="12" t="inlineStr">
        <is>
          <t>18</t>
        </is>
      </c>
      <c r="N5815" s="12" t="n">
        <v>1</v>
      </c>
      <c r="O5815" s="12" t="n">
        <v>1</v>
      </c>
      <c r="P5815" s="12" t="n"/>
      <c r="Q5815" s="12" t="n"/>
      <c r="R5815" s="12" t="n"/>
      <c r="S5815" s="12" t="inlineStr">
        <is>
          <t>Duct bank</t>
        </is>
      </c>
      <c r="T5815" s="16" t="n">
        <v>55</v>
      </c>
      <c r="U5815" s="16" t="n">
        <v>205</v>
      </c>
      <c r="V5815" s="16">
        <f>ROUNDUP((T5815+U5815+2*'Read Me'!$B$13)*(1+'Read Me'!$B$12),-1)</f>
        <v/>
      </c>
      <c r="W5815" s="16">
        <f>V5815*N5815*O5815</f>
        <v/>
      </c>
      <c r="X5815" s="12">
        <f>IF(LEFT(I5815,2)="MV",2*N5815*IF(L5815="1/C",O5815,1),0)</f>
        <v/>
      </c>
      <c r="Y5815" s="12">
        <f>IF(OR(LEFT(K5815,4)="LVAX",LEFT(K5815,6)="MV15AX",LEFT(K5815,4)="CTAX",LEFT(K5815,2)="W|"),2*N5815*O5815,0)</f>
        <v/>
      </c>
      <c r="Z5815" s="12" t="inlineStr"/>
      <c r="AA5815" s="12">
        <f>N5815*O5815</f>
        <v/>
      </c>
    </row>
    <row r="5816">
      <c r="A5816" s="12" t="inlineStr">
        <is>
          <t>K-I-0077</t>
        </is>
      </c>
      <c r="B5816" s="12" t="inlineStr">
        <is>
          <t>K</t>
        </is>
      </c>
      <c r="C5816" s="12" t="inlineStr">
        <is>
          <t>Fuel supply (adjacent market)</t>
        </is>
      </c>
      <c r="D5816" s="12" t="inlineStr">
        <is>
          <t>Analog instrument to JB JB-H2 30: H2 / gas bl-AI01: 12 x 1 pr (field cables)</t>
        </is>
      </c>
      <c r="E5816" s="12" t="inlineStr"/>
      <c r="F5816" s="12" t="inlineStr">
        <is>
          <t>H2 30: H2 / gas blending station (plant gas yard)</t>
        </is>
      </c>
      <c r="G5816" s="12" t="inlineStr">
        <is>
          <t>JB-H2 30: H2 / gas bl-AI01</t>
        </is>
      </c>
      <c r="H5816" s="12" t="inlineStr">
        <is>
          <t>H2 30: H2 / gas blending station (plant gas yard)</t>
        </is>
      </c>
      <c r="I5816" s="12" t="inlineStr">
        <is>
          <t>Instrumentation</t>
        </is>
      </c>
      <c r="J5816" s="12" t="inlineStr">
        <is>
          <t>Instrumentation ITC / PLTC, IS, #18 shielded pairs, blue jacket</t>
        </is>
      </c>
      <c r="K5816" s="12" t="inlineStr">
        <is>
          <t>ITC|1 pr|16</t>
        </is>
      </c>
      <c r="L5816" s="12" t="inlineStr">
        <is>
          <t>1 pr</t>
        </is>
      </c>
      <c r="M5816" s="12" t="inlineStr">
        <is>
          <t>16</t>
        </is>
      </c>
      <c r="N5816" s="12" t="n">
        <v>12</v>
      </c>
      <c r="O5816" s="12" t="n">
        <v>1</v>
      </c>
      <c r="P5816" s="12" t="n"/>
      <c r="Q5816" s="12" t="n"/>
      <c r="R5816" s="12" t="n"/>
      <c r="S5816" s="12" t="inlineStr">
        <is>
          <t>Tray / conduit</t>
        </is>
      </c>
      <c r="T5816" s="16" t="n">
        <v>129</v>
      </c>
      <c r="U5816" s="16" t="n">
        <v>10</v>
      </c>
      <c r="V5816" s="16">
        <f>ROUNDUP((T5816+U5816+2*'Read Me'!$B$13)*(1+'Read Me'!$B$12),-1)</f>
        <v/>
      </c>
      <c r="W5816" s="16">
        <f>V5816*N5816*O5816</f>
        <v/>
      </c>
      <c r="X5816" s="12">
        <f>IF(LEFT(I5816,2)="MV",2*N5816*IF(L5816="1/C",O5816,1),0)</f>
        <v/>
      </c>
      <c r="Y5816" s="12">
        <f>IF(OR(LEFT(K5816,4)="LVAX",LEFT(K5816,6)="MV15AX",LEFT(K5816,4)="CTAX",LEFT(K5816,2)="W|"),2*N5816*O5816,0)</f>
        <v/>
      </c>
      <c r="Z5816" s="12" t="inlineStr">
        <is>
          <t>device-to-JB field wiring, one cable per device</t>
        </is>
      </c>
      <c r="AA5816" s="12">
        <f>N5816*O5816</f>
        <v/>
      </c>
    </row>
    <row r="5817">
      <c r="A5817" s="12" t="inlineStr">
        <is>
          <t>K-I-0078</t>
        </is>
      </c>
      <c r="B5817" s="12" t="inlineStr">
        <is>
          <t>K</t>
        </is>
      </c>
      <c r="C5817" s="12" t="inlineStr">
        <is>
          <t>Fuel supply (adjacent market)</t>
        </is>
      </c>
      <c r="D5817" s="12" t="inlineStr">
        <is>
          <t>Home run JB-H2 30: H2 / gas bl-AI01 to the control / marshalling room</t>
        </is>
      </c>
      <c r="E5817" s="12" t="inlineStr"/>
      <c r="F5817" s="12" t="inlineStr">
        <is>
          <t>LNG 17: LNG e-house (13.8 kV / 480 V)</t>
        </is>
      </c>
      <c r="G5817" s="12" t="inlineStr">
        <is>
          <t>JB-H2 30: H2 / gas bl-AI01</t>
        </is>
      </c>
      <c r="H5817" s="12" t="inlineStr">
        <is>
          <t>H2 30: H2 / gas blending station (plant gas yard)</t>
        </is>
      </c>
      <c r="I5817" s="12" t="inlineStr">
        <is>
          <t>Instrumentation</t>
        </is>
      </c>
      <c r="J5817" s="12" t="inlineStr">
        <is>
          <t>Instrumentation ITC / PLTC, IS, #18 shielded pairs, blue jacket</t>
        </is>
      </c>
      <c r="K5817" s="12" t="inlineStr">
        <is>
          <t>ITC|24 pr|18</t>
        </is>
      </c>
      <c r="L5817" s="12" t="inlineStr">
        <is>
          <t>24 pr</t>
        </is>
      </c>
      <c r="M5817" s="12" t="inlineStr">
        <is>
          <t>18</t>
        </is>
      </c>
      <c r="N5817" s="12" t="n">
        <v>1</v>
      </c>
      <c r="O5817" s="12" t="n">
        <v>1</v>
      </c>
      <c r="P5817" s="12" t="n"/>
      <c r="Q5817" s="12" t="n"/>
      <c r="R5817" s="12" t="n"/>
      <c r="S5817" s="12" t="inlineStr">
        <is>
          <t>Duct bank</t>
        </is>
      </c>
      <c r="T5817" s="16" t="n">
        <v>994</v>
      </c>
      <c r="U5817" s="16" t="n">
        <v>114</v>
      </c>
      <c r="V5817" s="16">
        <f>ROUNDUP((T5817+U5817+2*'Read Me'!$B$13)*(1+'Read Me'!$B$12),-1)</f>
        <v/>
      </c>
      <c r="W5817" s="16">
        <f>V5817*N5817*O5817</f>
        <v/>
      </c>
      <c r="X5817" s="12">
        <f>IF(LEFT(I5817,2)="MV",2*N5817*IF(L5817="1/C",O5817,1),0)</f>
        <v/>
      </c>
      <c r="Y5817" s="12">
        <f>IF(OR(LEFT(K5817,4)="LVAX",LEFT(K5817,6)="MV15AX",LEFT(K5817,4)="CTAX",LEFT(K5817,2)="W|"),2*N5817*O5817,0)</f>
        <v/>
      </c>
      <c r="Z5817" s="12" t="inlineStr"/>
      <c r="AA5817" s="12">
        <f>N5817*O5817</f>
        <v/>
      </c>
    </row>
    <row r="5818">
      <c r="A5818" s="12" t="inlineStr">
        <is>
          <t>K-I-0079</t>
        </is>
      </c>
      <c r="B5818" s="12" t="inlineStr">
        <is>
          <t>K</t>
        </is>
      </c>
      <c r="C5818" s="12" t="inlineStr">
        <is>
          <t>Fuel supply (adjacent market)</t>
        </is>
      </c>
      <c r="D5818" s="12" t="inlineStr">
        <is>
          <t>Discrete device to JB JB-H2 30: H2 / gas bl-DI01: 12 x 1 pr (field cables)</t>
        </is>
      </c>
      <c r="E5818" s="12" t="inlineStr"/>
      <c r="F5818" s="12" t="inlineStr">
        <is>
          <t>H2 30: H2 / gas blending station (plant gas yard)</t>
        </is>
      </c>
      <c r="G5818" s="12" t="inlineStr">
        <is>
          <t>JB-H2 30: H2 / gas bl-DI01</t>
        </is>
      </c>
      <c r="H5818" s="12" t="inlineStr">
        <is>
          <t>H2 30: H2 / gas blending station (plant gas yard)</t>
        </is>
      </c>
      <c r="I5818" s="12" t="inlineStr">
        <is>
          <t>Instrumentation</t>
        </is>
      </c>
      <c r="J5818" s="12" t="inlineStr">
        <is>
          <t>Instrumentation ITC / PLTC, IS, #18 shielded pairs, blue jacket</t>
        </is>
      </c>
      <c r="K5818" s="12" t="inlineStr">
        <is>
          <t>ITC|1 pr|16</t>
        </is>
      </c>
      <c r="L5818" s="12" t="inlineStr">
        <is>
          <t>1 pr</t>
        </is>
      </c>
      <c r="M5818" s="12" t="inlineStr">
        <is>
          <t>16</t>
        </is>
      </c>
      <c r="N5818" s="12" t="n">
        <v>12</v>
      </c>
      <c r="O5818" s="12" t="n">
        <v>1</v>
      </c>
      <c r="P5818" s="12" t="n"/>
      <c r="Q5818" s="12" t="n"/>
      <c r="R5818" s="12" t="n"/>
      <c r="S5818" s="12" t="inlineStr">
        <is>
          <t>Tray / conduit</t>
        </is>
      </c>
      <c r="T5818" s="16" t="n">
        <v>129</v>
      </c>
      <c r="U5818" s="16" t="n">
        <v>10</v>
      </c>
      <c r="V5818" s="16">
        <f>ROUNDUP((T5818+U5818+2*'Read Me'!$B$13)*(1+'Read Me'!$B$12),-1)</f>
        <v/>
      </c>
      <c r="W5818" s="16">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K-I-0080</t>
        </is>
      </c>
      <c r="B5819" s="12" t="inlineStr">
        <is>
          <t>K</t>
        </is>
      </c>
      <c r="C5819" s="12" t="inlineStr">
        <is>
          <t>Fuel supply (adjacent market)</t>
        </is>
      </c>
      <c r="D5819" s="12" t="inlineStr">
        <is>
          <t>Home run JB-H2 30: H2 / gas bl-DI01 to the control / marshalling room</t>
        </is>
      </c>
      <c r="E5819" s="12" t="inlineStr"/>
      <c r="F5819" s="12" t="inlineStr">
        <is>
          <t>LNG 17: LNG e-house (13.8 kV / 480 V)</t>
        </is>
      </c>
      <c r="G5819" s="12" t="inlineStr">
        <is>
          <t>JB-H2 30: H2 / gas bl-DI01</t>
        </is>
      </c>
      <c r="H5819" s="12" t="inlineStr">
        <is>
          <t>H2 30: H2 / gas blending station (plant gas yard)</t>
        </is>
      </c>
      <c r="I5819" s="12" t="inlineStr">
        <is>
          <t>Instrumentation</t>
        </is>
      </c>
      <c r="J5819" s="12" t="inlineStr">
        <is>
          <t>Instrumentation ITC / PLTC, IS, #18 shielded pairs, blue jacket</t>
        </is>
      </c>
      <c r="K5819" s="12" t="inlineStr">
        <is>
          <t>ITC|24 pr|18</t>
        </is>
      </c>
      <c r="L5819" s="12" t="inlineStr">
        <is>
          <t>24 pr</t>
        </is>
      </c>
      <c r="M5819" s="12" t="inlineStr">
        <is>
          <t>18</t>
        </is>
      </c>
      <c r="N5819" s="12" t="n">
        <v>1</v>
      </c>
      <c r="O5819" s="12" t="n">
        <v>1</v>
      </c>
      <c r="P5819" s="12" t="n"/>
      <c r="Q5819" s="12" t="n"/>
      <c r="R5819" s="12" t="n"/>
      <c r="S5819" s="12" t="inlineStr">
        <is>
          <t>Duct bank</t>
        </is>
      </c>
      <c r="T5819" s="16" t="n">
        <v>994</v>
      </c>
      <c r="U5819" s="16" t="n">
        <v>114</v>
      </c>
      <c r="V5819" s="16">
        <f>ROUNDUP((T5819+U5819+2*'Read Me'!$B$13)*(1+'Read Me'!$B$12),-1)</f>
        <v/>
      </c>
      <c r="W5819" s="16">
        <f>V5819*N5819*O5819</f>
        <v/>
      </c>
      <c r="X5819" s="12">
        <f>IF(LEFT(I5819,2)="MV",2*N5819*IF(L5819="1/C",O5819,1),0)</f>
        <v/>
      </c>
      <c r="Y5819" s="12">
        <f>IF(OR(LEFT(K5819,4)="LVAX",LEFT(K5819,6)="MV15AX",LEFT(K5819,4)="CTAX",LEFT(K5819,2)="W|"),2*N5819*O5819,0)</f>
        <v/>
      </c>
      <c r="Z5819" s="12" t="inlineStr"/>
      <c r="AA5819" s="12">
        <f>N5819*O5819</f>
        <v/>
      </c>
    </row>
    <row r="5820">
      <c r="A5820" s="12" t="inlineStr">
        <is>
          <t>K-I-0081</t>
        </is>
      </c>
      <c r="B5820" s="12" t="inlineStr">
        <is>
          <t>K</t>
        </is>
      </c>
      <c r="C5820" s="12" t="inlineStr">
        <is>
          <t>Fuel supply (adjacent market)</t>
        </is>
      </c>
      <c r="D5820" s="12" t="inlineStr">
        <is>
          <t>Analog instrument to JB JB-H2 pipe track and -AI01: 10 x 1 pr (field cables)</t>
        </is>
      </c>
      <c r="E5820" s="12" t="inlineStr"/>
      <c r="F5820" s="12" t="inlineStr">
        <is>
          <t>H2 pipe track and cable trench, hall -&gt; dryer / compressors (N2, instr</t>
        </is>
      </c>
      <c r="G5820" s="12" t="inlineStr">
        <is>
          <t>JB-H2 pipe track and -AI01</t>
        </is>
      </c>
      <c r="H5820" s="12" t="inlineStr">
        <is>
          <t>H2 pipe track and cable trench, hall -&gt; dryer / compressors (N2, instr</t>
        </is>
      </c>
      <c r="I5820" s="12" t="inlineStr">
        <is>
          <t>Instrumentation</t>
        </is>
      </c>
      <c r="J5820" s="12" t="inlineStr">
        <is>
          <t>Instrumentation ITC / PLTC, IS, #18 shielded pairs, blue jacket</t>
        </is>
      </c>
      <c r="K5820" s="12" t="inlineStr">
        <is>
          <t>ITC|1 pr|16</t>
        </is>
      </c>
      <c r="L5820" s="12" t="inlineStr">
        <is>
          <t>1 pr</t>
        </is>
      </c>
      <c r="M5820" s="12" t="inlineStr">
        <is>
          <t>16</t>
        </is>
      </c>
      <c r="N5820" s="12" t="n">
        <v>10</v>
      </c>
      <c r="O5820" s="12" t="n">
        <v>1</v>
      </c>
      <c r="P5820" s="12" t="n"/>
      <c r="Q5820" s="12" t="n"/>
      <c r="R5820" s="12" t="n"/>
      <c r="S5820" s="12" t="inlineStr">
        <is>
          <t>Tray / conduit</t>
        </is>
      </c>
      <c r="T5820" s="16" t="n">
        <v>70</v>
      </c>
      <c r="U5820" s="16" t="n">
        <v>10</v>
      </c>
      <c r="V5820" s="16">
        <f>ROUNDUP((T5820+U5820+2*'Read Me'!$B$13)*(1+'Read Me'!$B$12),-1)</f>
        <v/>
      </c>
      <c r="W5820" s="16">
        <f>V5820*N5820*O5820</f>
        <v/>
      </c>
      <c r="X5820" s="12">
        <f>IF(LEFT(I5820,2)="MV",2*N5820*IF(L5820="1/C",O5820,1),0)</f>
        <v/>
      </c>
      <c r="Y5820" s="12">
        <f>IF(OR(LEFT(K5820,4)="LVAX",LEFT(K5820,6)="MV15AX",LEFT(K5820,4)="CTAX",LEFT(K5820,2)="W|"),2*N5820*O5820,0)</f>
        <v/>
      </c>
      <c r="Z5820" s="12" t="inlineStr">
        <is>
          <t>device-to-JB field wiring, one cable per device</t>
        </is>
      </c>
      <c r="AA5820" s="12">
        <f>N5820*O5820</f>
        <v/>
      </c>
    </row>
    <row r="5821">
      <c r="A5821" s="12" t="inlineStr">
        <is>
          <t>K-I-0082</t>
        </is>
      </c>
      <c r="B5821" s="12" t="inlineStr">
        <is>
          <t>K</t>
        </is>
      </c>
      <c r="C5821" s="12" t="inlineStr">
        <is>
          <t>Fuel supply (adjacent market)</t>
        </is>
      </c>
      <c r="D5821" s="12" t="inlineStr">
        <is>
          <t>Home run JB-H2 pipe track and -AI01 to the control / marshalling room</t>
        </is>
      </c>
      <c r="E5821" s="12" t="inlineStr"/>
      <c r="F5821" s="12" t="inlineStr">
        <is>
          <t>H2 20: 13.8 kV e-house</t>
        </is>
      </c>
      <c r="G5821" s="12" t="inlineStr">
        <is>
          <t>JB-H2 pipe track and -AI01</t>
        </is>
      </c>
      <c r="H5821" s="12" t="inlineStr">
        <is>
          <t>H2 pipe track and cable trench, hall -&gt; dryer / compressors (N2, instr</t>
        </is>
      </c>
      <c r="I5821" s="12" t="inlineStr">
        <is>
          <t>Instrumentation</t>
        </is>
      </c>
      <c r="J5821" s="12" t="inlineStr">
        <is>
          <t>Instrumentation ITC / PLTC, IS, #18 shielded pairs, blue jacket</t>
        </is>
      </c>
      <c r="K5821" s="12" t="inlineStr">
        <is>
          <t>ITC|24 pr|18</t>
        </is>
      </c>
      <c r="L5821" s="12" t="inlineStr">
        <is>
          <t>24 pr</t>
        </is>
      </c>
      <c r="M5821" s="12" t="inlineStr">
        <is>
          <t>18</t>
        </is>
      </c>
      <c r="N5821" s="12" t="n">
        <v>1</v>
      </c>
      <c r="O5821" s="12" t="n">
        <v>1</v>
      </c>
      <c r="P5821" s="12" t="n"/>
      <c r="Q5821" s="12" t="n"/>
      <c r="R5821" s="12" t="n"/>
      <c r="S5821" s="12" t="inlineStr">
        <is>
          <t>Duct bank</t>
        </is>
      </c>
      <c r="T5821" s="16" t="n">
        <v>53</v>
      </c>
      <c r="U5821" s="16" t="n">
        <v>62</v>
      </c>
      <c r="V5821" s="16">
        <f>ROUNDUP((T5821+U5821+2*'Read Me'!$B$13)*(1+'Read Me'!$B$12),-1)</f>
        <v/>
      </c>
      <c r="W5821" s="16">
        <f>V5821*N5821*O5821</f>
        <v/>
      </c>
      <c r="X5821" s="12">
        <f>IF(LEFT(I5821,2)="MV",2*N5821*IF(L5821="1/C",O5821,1),0)</f>
        <v/>
      </c>
      <c r="Y5821" s="12">
        <f>IF(OR(LEFT(K5821,4)="LVAX",LEFT(K5821,6)="MV15AX",LEFT(K5821,4)="CTAX",LEFT(K5821,2)="W|"),2*N5821*O5821,0)</f>
        <v/>
      </c>
      <c r="Z5821" s="12" t="inlineStr"/>
      <c r="AA5821" s="12">
        <f>N5821*O5821</f>
        <v/>
      </c>
    </row>
    <row r="5822">
      <c r="A5822" s="12" t="inlineStr">
        <is>
          <t>K-I-0083</t>
        </is>
      </c>
      <c r="B5822" s="12" t="inlineStr">
        <is>
          <t>K</t>
        </is>
      </c>
      <c r="C5822" s="12" t="inlineStr">
        <is>
          <t>Fuel supply (adjacent market)</t>
        </is>
      </c>
      <c r="D5822" s="12" t="inlineStr">
        <is>
          <t>Discrete device to JB JB-H2 pipe track and -DI01: 10 x 1 pr (field cables)</t>
        </is>
      </c>
      <c r="E5822" s="12" t="inlineStr"/>
      <c r="F5822" s="12" t="inlineStr">
        <is>
          <t>H2 pipe track and cable trench, hall -&gt; dryer / compressors (N2, instr</t>
        </is>
      </c>
      <c r="G5822" s="12" t="inlineStr">
        <is>
          <t>JB-H2 pipe track and -DI01</t>
        </is>
      </c>
      <c r="H5822" s="12" t="inlineStr">
        <is>
          <t>H2 pipe track and cable trench, hall -&gt; dryer / compressors (N2, instr</t>
        </is>
      </c>
      <c r="I5822" s="12" t="inlineStr">
        <is>
          <t>Instrumentation</t>
        </is>
      </c>
      <c r="J5822" s="12" t="inlineStr">
        <is>
          <t>Instrumentation ITC / PLTC, IS, #18 shielded pairs, blue jacket</t>
        </is>
      </c>
      <c r="K5822" s="12" t="inlineStr">
        <is>
          <t>ITC|1 pr|16</t>
        </is>
      </c>
      <c r="L5822" s="12" t="inlineStr">
        <is>
          <t>1 pr</t>
        </is>
      </c>
      <c r="M5822" s="12" t="inlineStr">
        <is>
          <t>16</t>
        </is>
      </c>
      <c r="N5822" s="12" t="n">
        <v>10</v>
      </c>
      <c r="O5822" s="12" t="n">
        <v>1</v>
      </c>
      <c r="P5822" s="12" t="n"/>
      <c r="Q5822" s="12" t="n"/>
      <c r="R5822" s="12" t="n"/>
      <c r="S5822" s="12" t="inlineStr">
        <is>
          <t>Tray / conduit</t>
        </is>
      </c>
      <c r="T5822" s="16" t="n">
        <v>70</v>
      </c>
      <c r="U5822" s="16" t="n">
        <v>10</v>
      </c>
      <c r="V5822" s="16">
        <f>ROUNDUP((T5822+U5822+2*'Read Me'!$B$13)*(1+'Read Me'!$B$12),-1)</f>
        <v/>
      </c>
      <c r="W5822" s="16">
        <f>V5822*N5822*O5822</f>
        <v/>
      </c>
      <c r="X5822" s="12">
        <f>IF(LEFT(I5822,2)="MV",2*N5822*IF(L5822="1/C",O5822,1),0)</f>
        <v/>
      </c>
      <c r="Y5822" s="12">
        <f>IF(OR(LEFT(K5822,4)="LVAX",LEFT(K5822,6)="MV15AX",LEFT(K5822,4)="CTAX",LEFT(K5822,2)="W|"),2*N5822*O5822,0)</f>
        <v/>
      </c>
      <c r="Z5822" s="12" t="inlineStr">
        <is>
          <t>device-to-JB field wiring, one cable per device</t>
        </is>
      </c>
      <c r="AA5822" s="12">
        <f>N5822*O5822</f>
        <v/>
      </c>
    </row>
    <row r="5823">
      <c r="A5823" s="12" t="inlineStr">
        <is>
          <t>K-I-0084</t>
        </is>
      </c>
      <c r="B5823" s="12" t="inlineStr">
        <is>
          <t>K</t>
        </is>
      </c>
      <c r="C5823" s="12" t="inlineStr">
        <is>
          <t>Fuel supply (adjacent market)</t>
        </is>
      </c>
      <c r="D5823" s="12" t="inlineStr">
        <is>
          <t>Home run JB-H2 pipe track and -DI01 to the control / marshalling room</t>
        </is>
      </c>
      <c r="E5823" s="12" t="inlineStr"/>
      <c r="F5823" s="12" t="inlineStr">
        <is>
          <t>H2 20: 13.8 kV e-house</t>
        </is>
      </c>
      <c r="G5823" s="12" t="inlineStr">
        <is>
          <t>JB-H2 pipe track and -DI01</t>
        </is>
      </c>
      <c r="H5823" s="12" t="inlineStr">
        <is>
          <t>H2 pipe track and cable trench, hall -&gt; dryer / compressors (N2, instr</t>
        </is>
      </c>
      <c r="I5823" s="12" t="inlineStr">
        <is>
          <t>Instrumentation</t>
        </is>
      </c>
      <c r="J5823" s="12" t="inlineStr">
        <is>
          <t>Instrumentation ITC / PLTC, IS, #18 shielded pairs, blue jacket</t>
        </is>
      </c>
      <c r="K5823" s="12" t="inlineStr">
        <is>
          <t>ITC|24 pr|18</t>
        </is>
      </c>
      <c r="L5823" s="12" t="inlineStr">
        <is>
          <t>24 pr</t>
        </is>
      </c>
      <c r="M5823" s="12" t="inlineStr">
        <is>
          <t>18</t>
        </is>
      </c>
      <c r="N5823" s="12" t="n">
        <v>1</v>
      </c>
      <c r="O5823" s="12" t="n">
        <v>1</v>
      </c>
      <c r="P5823" s="12" t="n"/>
      <c r="Q5823" s="12" t="n"/>
      <c r="R5823" s="12" t="n"/>
      <c r="S5823" s="12" t="inlineStr">
        <is>
          <t>Duct bank</t>
        </is>
      </c>
      <c r="T5823" s="16" t="n">
        <v>53</v>
      </c>
      <c r="U5823" s="16" t="n">
        <v>62</v>
      </c>
      <c r="V5823" s="16">
        <f>ROUNDUP((T5823+U5823+2*'Read Me'!$B$13)*(1+'Read Me'!$B$12),-1)</f>
        <v/>
      </c>
      <c r="W5823" s="16">
        <f>V5823*N5823*O5823</f>
        <v/>
      </c>
      <c r="X5823" s="12">
        <f>IF(LEFT(I5823,2)="MV",2*N5823*IF(L5823="1/C",O5823,1),0)</f>
        <v/>
      </c>
      <c r="Y5823" s="12">
        <f>IF(OR(LEFT(K5823,4)="LVAX",LEFT(K5823,6)="MV15AX",LEFT(K5823,4)="CTAX",LEFT(K5823,2)="W|"),2*N5823*O5823,0)</f>
        <v/>
      </c>
      <c r="Z5823" s="12" t="inlineStr"/>
      <c r="AA5823" s="12">
        <f>N5823*O5823</f>
        <v/>
      </c>
    </row>
    <row r="5824">
      <c r="A5824" s="12" t="inlineStr">
        <is>
          <t>K-I-0085</t>
        </is>
      </c>
      <c r="B5824" s="12" t="inlineStr">
        <is>
          <t>K</t>
        </is>
      </c>
      <c r="C5824" s="12" t="inlineStr">
        <is>
          <t>Fuel supply (adjacent market)</t>
        </is>
      </c>
      <c r="D5824" s="12" t="inlineStr">
        <is>
          <t>Instrumentation</t>
        </is>
      </c>
      <c r="E5824" s="12" t="inlineStr"/>
      <c r="F5824" s="12" t="inlineStr">
        <is>
          <t>H2 20: 13.8 kV e-house</t>
        </is>
      </c>
      <c r="G5824" s="12" t="inlineStr">
        <is>
          <t>H2-ST</t>
        </is>
      </c>
      <c r="H5824" s="12" t="inlineStr">
        <is>
          <t>H2 storage tube banks x4</t>
        </is>
      </c>
      <c r="I5824" s="12" t="inlineStr">
        <is>
          <t>Instrumentation</t>
        </is>
      </c>
      <c r="J5824" s="12" t="inlineStr">
        <is>
          <t>Instrumentation ITC / PLTC, IS, #18 shielded pairs, blue jacket</t>
        </is>
      </c>
      <c r="K5824" s="12" t="inlineStr">
        <is>
          <t>ITC|4 pr|18</t>
        </is>
      </c>
      <c r="L5824" s="12" t="inlineStr">
        <is>
          <t>4 pr</t>
        </is>
      </c>
      <c r="M5824" s="12" t="inlineStr">
        <is>
          <t>18</t>
        </is>
      </c>
      <c r="N5824" s="12" t="n">
        <v>1</v>
      </c>
      <c r="O5824" s="12" t="n">
        <v>1</v>
      </c>
      <c r="P5824" s="12" t="n"/>
      <c r="Q5824" s="12" t="n"/>
      <c r="R5824" s="12" t="n"/>
      <c r="S5824" s="12" t="inlineStr">
        <is>
          <t>Duct bank</t>
        </is>
      </c>
      <c r="T5824" s="16" t="n">
        <v>50</v>
      </c>
      <c r="U5824" s="16" t="n">
        <v>92</v>
      </c>
      <c r="V5824" s="16">
        <f>ROUNDUP((T5824+U5824+2*'Read Me'!$B$13)*(1+'Read Me'!$B$12),-1)</f>
        <v/>
      </c>
      <c r="W5824" s="16">
        <f>V5824*N5824*O5824</f>
        <v/>
      </c>
      <c r="X5824" s="12">
        <f>IF(LEFT(I5824,2)="MV",2*N5824*IF(L5824="1/C",O5824,1),0)</f>
        <v/>
      </c>
      <c r="Y5824" s="12">
        <f>IF(OR(LEFT(K5824,4)="LVAX",LEFT(K5824,6)="MV15AX",LEFT(K5824,4)="CTAX",LEFT(K5824,2)="W|"),2*N5824*O5824,0)</f>
        <v/>
      </c>
      <c r="Z5824" s="12" t="inlineStr"/>
      <c r="AA5824" s="12">
        <f>N5824*O5824</f>
        <v/>
      </c>
    </row>
    <row r="5825">
      <c r="A5825" s="12" t="inlineStr">
        <is>
          <t>K-I-0086</t>
        </is>
      </c>
      <c r="B5825" s="12" t="inlineStr">
        <is>
          <t>K</t>
        </is>
      </c>
      <c r="C5825" s="12" t="inlineStr">
        <is>
          <t>Fuel supply (adjacent market)</t>
        </is>
      </c>
      <c r="D5825" s="12" t="inlineStr">
        <is>
          <t>Instrumentation</t>
        </is>
      </c>
      <c r="E5825" s="12" t="inlineStr"/>
      <c r="F5825" s="12" t="inlineStr">
        <is>
          <t>H2 20: 13.8 kV e-house</t>
        </is>
      </c>
      <c r="G5825" s="12" t="inlineStr">
        <is>
          <t>H2R</t>
        </is>
      </c>
      <c r="H5825" s="12" t="inlineStr">
        <is>
          <t>H2R: hydrogen pipeline receiving station (pig receiver, filters, meter</t>
        </is>
      </c>
      <c r="I5825" s="12" t="inlineStr">
        <is>
          <t>Instrumentation</t>
        </is>
      </c>
      <c r="J5825" s="12" t="inlineStr">
        <is>
          <t>Instrumentation ITC / PLTC, IS, #18 shielded pairs, blue jacket</t>
        </is>
      </c>
      <c r="K5825" s="12" t="inlineStr">
        <is>
          <t>ITC|4 pr|18</t>
        </is>
      </c>
      <c r="L5825" s="12" t="inlineStr">
        <is>
          <t>4 pr</t>
        </is>
      </c>
      <c r="M5825" s="12" t="inlineStr">
        <is>
          <t>18</t>
        </is>
      </c>
      <c r="N5825" s="12" t="n">
        <v>1</v>
      </c>
      <c r="O5825" s="12" t="n">
        <v>1</v>
      </c>
      <c r="P5825" s="12" t="n"/>
      <c r="Q5825" s="12" t="n"/>
      <c r="R5825" s="12" t="n"/>
      <c r="S5825" s="12" t="inlineStr">
        <is>
          <t>Duct bank</t>
        </is>
      </c>
      <c r="T5825" s="16" t="n">
        <v>40</v>
      </c>
      <c r="U5825" s="16" t="n">
        <v>32</v>
      </c>
      <c r="V5825" s="16">
        <f>ROUNDUP((T5825+U5825+2*'Read Me'!$B$13)*(1+'Read Me'!$B$12),-1)</f>
        <v/>
      </c>
      <c r="W5825" s="16">
        <f>V5825*N5825*O5825</f>
        <v/>
      </c>
      <c r="X5825" s="12">
        <f>IF(LEFT(I5825,2)="MV",2*N5825*IF(L5825="1/C",O5825,1),0)</f>
        <v/>
      </c>
      <c r="Y5825" s="12">
        <f>IF(OR(LEFT(K5825,4)="LVAX",LEFT(K5825,6)="MV15AX",LEFT(K5825,4)="CTAX",LEFT(K5825,2)="W|"),2*N5825*O5825,0)</f>
        <v/>
      </c>
      <c r="Z5825" s="12" t="inlineStr"/>
      <c r="AA5825" s="12">
        <f>N5825*O5825</f>
        <v/>
      </c>
    </row>
    <row r="5826">
      <c r="A5826" s="12" t="inlineStr">
        <is>
          <t>K-I-0087</t>
        </is>
      </c>
      <c r="B5826" s="12" t="inlineStr">
        <is>
          <t>K</t>
        </is>
      </c>
      <c r="C5826" s="12" t="inlineStr">
        <is>
          <t>Fuel supply (adjacent market)</t>
        </is>
      </c>
      <c r="D5826" s="12" t="inlineStr">
        <is>
          <t>Analog instrument to JB JB-LNG 10: truck unlo-AI01: 12 x 1 pr (field cables)</t>
        </is>
      </c>
      <c r="E5826" s="12" t="inlineStr"/>
      <c r="F5826" s="12" t="inlineStr">
        <is>
          <t>LNG 10: truck unloading bay 1</t>
        </is>
      </c>
      <c r="G5826" s="12" t="inlineStr">
        <is>
          <t>JB-LNG 10: truck unlo-AI01</t>
        </is>
      </c>
      <c r="H5826" s="12" t="inlineStr">
        <is>
          <t>LNG 10: truck unloading bay 1</t>
        </is>
      </c>
      <c r="I5826" s="12" t="inlineStr">
        <is>
          <t>Instrumentation</t>
        </is>
      </c>
      <c r="J5826" s="12" t="inlineStr">
        <is>
          <t>Instrumentation ITC / PLTC, IS, #18 shielded pairs, blue jacket</t>
        </is>
      </c>
      <c r="K5826" s="12" t="inlineStr">
        <is>
          <t>ITC|1 pr|16</t>
        </is>
      </c>
      <c r="L5826" s="12" t="inlineStr">
        <is>
          <t>1 pr</t>
        </is>
      </c>
      <c r="M5826" s="12" t="inlineStr">
        <is>
          <t>16</t>
        </is>
      </c>
      <c r="N5826" s="12" t="n">
        <v>12</v>
      </c>
      <c r="O5826" s="12" t="n">
        <v>1</v>
      </c>
      <c r="P5826" s="12" t="n"/>
      <c r="Q5826" s="12" t="n"/>
      <c r="R5826" s="12" t="n"/>
      <c r="S5826" s="12" t="inlineStr">
        <is>
          <t>Tray / conduit</t>
        </is>
      </c>
      <c r="T5826" s="16" t="n">
        <v>72</v>
      </c>
      <c r="U5826" s="16" t="n">
        <v>10</v>
      </c>
      <c r="V5826" s="16">
        <f>ROUNDUP((T5826+U5826+2*'Read Me'!$B$13)*(1+'Read Me'!$B$12),-1)</f>
        <v/>
      </c>
      <c r="W5826" s="16">
        <f>V5826*N5826*O5826</f>
        <v/>
      </c>
      <c r="X5826" s="12">
        <f>IF(LEFT(I5826,2)="MV",2*N5826*IF(L5826="1/C",O5826,1),0)</f>
        <v/>
      </c>
      <c r="Y5826" s="12">
        <f>IF(OR(LEFT(K5826,4)="LVAX",LEFT(K5826,6)="MV15AX",LEFT(K5826,4)="CTAX",LEFT(K5826,2)="W|"),2*N5826*O5826,0)</f>
        <v/>
      </c>
      <c r="Z5826" s="12" t="inlineStr">
        <is>
          <t>device-to-JB field wiring, one cable per device</t>
        </is>
      </c>
      <c r="AA5826" s="12">
        <f>N5826*O5826</f>
        <v/>
      </c>
    </row>
    <row r="5827">
      <c r="A5827" s="12" t="inlineStr">
        <is>
          <t>K-I-0088</t>
        </is>
      </c>
      <c r="B5827" s="12" t="inlineStr">
        <is>
          <t>K</t>
        </is>
      </c>
      <c r="C5827" s="12" t="inlineStr">
        <is>
          <t>Fuel supply (adjacent market)</t>
        </is>
      </c>
      <c r="D5827" s="12" t="inlineStr">
        <is>
          <t>Home run JB-LNG 10: truck unlo-AI01 to the control / marshalling room</t>
        </is>
      </c>
      <c r="E5827" s="12" t="inlineStr"/>
      <c r="F5827" s="12" t="inlineStr">
        <is>
          <t>LNG 17: LNG e-house (13.8 kV / 480 V)</t>
        </is>
      </c>
      <c r="G5827" s="12" t="inlineStr">
        <is>
          <t>JB-LNG 10: truck unlo-AI01</t>
        </is>
      </c>
      <c r="H5827" s="12" t="inlineStr">
        <is>
          <t>LNG 10: truck unloading bay 1</t>
        </is>
      </c>
      <c r="I5827" s="12" t="inlineStr">
        <is>
          <t>Instrumentation</t>
        </is>
      </c>
      <c r="J5827" s="12" t="inlineStr">
        <is>
          <t>Instrumentation ITC / PLTC, IS, #18 shielded pairs, blue jacket</t>
        </is>
      </c>
      <c r="K5827" s="12" t="inlineStr">
        <is>
          <t>ITC|24 pr|18</t>
        </is>
      </c>
      <c r="L5827" s="12" t="inlineStr">
        <is>
          <t>24 pr</t>
        </is>
      </c>
      <c r="M5827" s="12" t="inlineStr">
        <is>
          <t>18</t>
        </is>
      </c>
      <c r="N5827" s="12" t="n">
        <v>1</v>
      </c>
      <c r="O5827" s="12" t="n">
        <v>1</v>
      </c>
      <c r="P5827" s="12" t="n"/>
      <c r="Q5827" s="12" t="n"/>
      <c r="R5827" s="12" t="n"/>
      <c r="S5827" s="12" t="inlineStr">
        <is>
          <t>Duct bank</t>
        </is>
      </c>
      <c r="T5827" s="16" t="n">
        <v>237</v>
      </c>
      <c r="U5827" s="16" t="n">
        <v>61</v>
      </c>
      <c r="V5827" s="16">
        <f>ROUNDUP((T5827+U5827+2*'Read Me'!$B$13)*(1+'Read Me'!$B$12),-1)</f>
        <v/>
      </c>
      <c r="W5827" s="16">
        <f>V5827*N5827*O5827</f>
        <v/>
      </c>
      <c r="X5827" s="12">
        <f>IF(LEFT(I5827,2)="MV",2*N5827*IF(L5827="1/C",O5827,1),0)</f>
        <v/>
      </c>
      <c r="Y5827" s="12">
        <f>IF(OR(LEFT(K5827,4)="LVAX",LEFT(K5827,6)="MV15AX",LEFT(K5827,4)="CTAX",LEFT(K5827,2)="W|"),2*N5827*O5827,0)</f>
        <v/>
      </c>
      <c r="Z5827" s="12" t="inlineStr"/>
      <c r="AA5827" s="12">
        <f>N5827*O5827</f>
        <v/>
      </c>
    </row>
    <row r="5828">
      <c r="A5828" s="12" t="inlineStr">
        <is>
          <t>K-I-0089</t>
        </is>
      </c>
      <c r="B5828" s="12" t="inlineStr">
        <is>
          <t>K</t>
        </is>
      </c>
      <c r="C5828" s="12" t="inlineStr">
        <is>
          <t>Fuel supply (adjacent market)</t>
        </is>
      </c>
      <c r="D5828" s="12" t="inlineStr">
        <is>
          <t>Discrete device to JB JB-LNG 10: truck unlo-DI01: 12 x 1 pr (field cables)</t>
        </is>
      </c>
      <c r="E5828" s="12" t="inlineStr"/>
      <c r="F5828" s="12" t="inlineStr">
        <is>
          <t>LNG 10: truck unloading bay 1</t>
        </is>
      </c>
      <c r="G5828" s="12" t="inlineStr">
        <is>
          <t>JB-LNG 10: truck unlo-DI01</t>
        </is>
      </c>
      <c r="H5828" s="12" t="inlineStr">
        <is>
          <t>LNG 10: truck unloading bay 1</t>
        </is>
      </c>
      <c r="I5828" s="12" t="inlineStr">
        <is>
          <t>Instrumentation</t>
        </is>
      </c>
      <c r="J5828" s="12" t="inlineStr">
        <is>
          <t>Instrumentation ITC / PLTC, IS, #18 shielded pairs, blue jacket</t>
        </is>
      </c>
      <c r="K5828" s="12" t="inlineStr">
        <is>
          <t>ITC|1 pr|16</t>
        </is>
      </c>
      <c r="L5828" s="12" t="inlineStr">
        <is>
          <t>1 pr</t>
        </is>
      </c>
      <c r="M5828" s="12" t="inlineStr">
        <is>
          <t>16</t>
        </is>
      </c>
      <c r="N5828" s="12" t="n">
        <v>12</v>
      </c>
      <c r="O5828" s="12" t="n">
        <v>1</v>
      </c>
      <c r="P5828" s="12" t="n"/>
      <c r="Q5828" s="12" t="n"/>
      <c r="R5828" s="12" t="n"/>
      <c r="S5828" s="12" t="inlineStr">
        <is>
          <t>Tray / conduit</t>
        </is>
      </c>
      <c r="T5828" s="16" t="n">
        <v>72</v>
      </c>
      <c r="U5828" s="16" t="n">
        <v>10</v>
      </c>
      <c r="V5828" s="16">
        <f>ROUNDUP((T5828+U5828+2*'Read Me'!$B$13)*(1+'Read Me'!$B$12),-1)</f>
        <v/>
      </c>
      <c r="W5828" s="16">
        <f>V5828*N5828*O5828</f>
        <v/>
      </c>
      <c r="X5828" s="12">
        <f>IF(LEFT(I5828,2)="MV",2*N5828*IF(L5828="1/C",O5828,1),0)</f>
        <v/>
      </c>
      <c r="Y5828" s="12">
        <f>IF(OR(LEFT(K5828,4)="LVAX",LEFT(K5828,6)="MV15AX",LEFT(K5828,4)="CTAX",LEFT(K5828,2)="W|"),2*N5828*O5828,0)</f>
        <v/>
      </c>
      <c r="Z5828" s="12" t="inlineStr">
        <is>
          <t>device-to-JB field wiring, one cable per device</t>
        </is>
      </c>
      <c r="AA5828" s="12">
        <f>N5828*O5828</f>
        <v/>
      </c>
    </row>
    <row r="5829">
      <c r="A5829" s="12" t="inlineStr">
        <is>
          <t>K-I-0090</t>
        </is>
      </c>
      <c r="B5829" s="12" t="inlineStr">
        <is>
          <t>K</t>
        </is>
      </c>
      <c r="C5829" s="12" t="inlineStr">
        <is>
          <t>Fuel supply (adjacent market)</t>
        </is>
      </c>
      <c r="D5829" s="12" t="inlineStr">
        <is>
          <t>Home run JB-LNG 10: truck unlo-DI01 to the control / marshalling room</t>
        </is>
      </c>
      <c r="E5829" s="12" t="inlineStr"/>
      <c r="F5829" s="12" t="inlineStr">
        <is>
          <t>LNG 17: LNG e-house (13.8 kV / 480 V)</t>
        </is>
      </c>
      <c r="G5829" s="12" t="inlineStr">
        <is>
          <t>JB-LNG 10: truck unlo-DI01</t>
        </is>
      </c>
      <c r="H5829" s="12" t="inlineStr">
        <is>
          <t>LNG 10: truck unloading bay 1</t>
        </is>
      </c>
      <c r="I5829" s="12" t="inlineStr">
        <is>
          <t>Instrumentation</t>
        </is>
      </c>
      <c r="J5829" s="12" t="inlineStr">
        <is>
          <t>Instrumentation ITC / PLTC, IS, #18 shielded pairs, blue jacket</t>
        </is>
      </c>
      <c r="K5829" s="12" t="inlineStr">
        <is>
          <t>ITC|24 pr|18</t>
        </is>
      </c>
      <c r="L5829" s="12" t="inlineStr">
        <is>
          <t>24 pr</t>
        </is>
      </c>
      <c r="M5829" s="12" t="inlineStr">
        <is>
          <t>18</t>
        </is>
      </c>
      <c r="N5829" s="12" t="n">
        <v>1</v>
      </c>
      <c r="O5829" s="12" t="n">
        <v>1</v>
      </c>
      <c r="P5829" s="12" t="n"/>
      <c r="Q5829" s="12" t="n"/>
      <c r="R5829" s="12" t="n"/>
      <c r="S5829" s="12" t="inlineStr">
        <is>
          <t>Duct bank</t>
        </is>
      </c>
      <c r="T5829" s="16" t="n">
        <v>237</v>
      </c>
      <c r="U5829" s="16" t="n">
        <v>61</v>
      </c>
      <c r="V5829" s="16">
        <f>ROUNDUP((T5829+U5829+2*'Read Me'!$B$13)*(1+'Read Me'!$B$12),-1)</f>
        <v/>
      </c>
      <c r="W5829" s="16">
        <f>V5829*N5829*O5829</f>
        <v/>
      </c>
      <c r="X5829" s="12">
        <f>IF(LEFT(I5829,2)="MV",2*N5829*IF(L5829="1/C",O5829,1),0)</f>
        <v/>
      </c>
      <c r="Y5829" s="12">
        <f>IF(OR(LEFT(K5829,4)="LVAX",LEFT(K5829,6)="MV15AX",LEFT(K5829,4)="CTAX",LEFT(K5829,2)="W|"),2*N5829*O5829,0)</f>
        <v/>
      </c>
      <c r="Z5829" s="12" t="inlineStr"/>
      <c r="AA5829" s="12">
        <f>N5829*O5829</f>
        <v/>
      </c>
    </row>
    <row r="5830">
      <c r="A5830" s="12" t="inlineStr">
        <is>
          <t>K-I-0091</t>
        </is>
      </c>
      <c r="B5830" s="12" t="inlineStr">
        <is>
          <t>K</t>
        </is>
      </c>
      <c r="C5830" s="12" t="inlineStr">
        <is>
          <t>Fuel supply (adjacent market)</t>
        </is>
      </c>
      <c r="D5830" s="12" t="inlineStr">
        <is>
          <t>Analog instrument to JB JB-LNG 10: truck unlo-AI01: 12 x 1 pr (field cables)</t>
        </is>
      </c>
      <c r="E5830" s="12" t="inlineStr"/>
      <c r="F5830" s="12" t="inlineStr">
        <is>
          <t>LNG 10: truck unloading bay 2</t>
        </is>
      </c>
      <c r="G5830" s="12" t="inlineStr">
        <is>
          <t>JB-LNG 10: truck unlo-AI01</t>
        </is>
      </c>
      <c r="H5830" s="12" t="inlineStr">
        <is>
          <t>LNG 10: truck unloading bay 2</t>
        </is>
      </c>
      <c r="I5830" s="12" t="inlineStr">
        <is>
          <t>Instrumentation</t>
        </is>
      </c>
      <c r="J5830" s="12" t="inlineStr">
        <is>
          <t>Instrumentation ITC / PLTC, IS, #18 shielded pairs, blue jacket</t>
        </is>
      </c>
      <c r="K5830" s="12" t="inlineStr">
        <is>
          <t>ITC|1 pr|16</t>
        </is>
      </c>
      <c r="L5830" s="12" t="inlineStr">
        <is>
          <t>1 pr</t>
        </is>
      </c>
      <c r="M5830" s="12" t="inlineStr">
        <is>
          <t>16</t>
        </is>
      </c>
      <c r="N5830" s="12" t="n">
        <v>12</v>
      </c>
      <c r="O5830" s="12" t="n">
        <v>1</v>
      </c>
      <c r="P5830" s="12" t="n"/>
      <c r="Q5830" s="12" t="n"/>
      <c r="R5830" s="12" t="n"/>
      <c r="S5830" s="12" t="inlineStr">
        <is>
          <t>Tray / conduit</t>
        </is>
      </c>
      <c r="T5830" s="16" t="n">
        <v>72</v>
      </c>
      <c r="U5830" s="16" t="n">
        <v>10</v>
      </c>
      <c r="V5830" s="16">
        <f>ROUNDUP((T5830+U5830+2*'Read Me'!$B$13)*(1+'Read Me'!$B$12),-1)</f>
        <v/>
      </c>
      <c r="W5830" s="16">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K-I-0092</t>
        </is>
      </c>
      <c r="B5831" s="12" t="inlineStr">
        <is>
          <t>K</t>
        </is>
      </c>
      <c r="C5831" s="12" t="inlineStr">
        <is>
          <t>Fuel supply (adjacent market)</t>
        </is>
      </c>
      <c r="D5831" s="12" t="inlineStr">
        <is>
          <t>Home run JB-LNG 10: truck unlo-AI01 to the control / marshalling room</t>
        </is>
      </c>
      <c r="E5831" s="12" t="inlineStr"/>
      <c r="F5831" s="12" t="inlineStr">
        <is>
          <t>LNG 17: LNG e-house (13.8 kV / 480 V)</t>
        </is>
      </c>
      <c r="G5831" s="12" t="inlineStr">
        <is>
          <t>JB-LNG 10: truck unlo-AI01</t>
        </is>
      </c>
      <c r="H5831" s="12" t="inlineStr">
        <is>
          <t>LNG 10: truck unloading bay 2</t>
        </is>
      </c>
      <c r="I5831" s="12" t="inlineStr">
        <is>
          <t>Instrumentation</t>
        </is>
      </c>
      <c r="J5831" s="12" t="inlineStr">
        <is>
          <t>Instrumentation ITC / PLTC, IS, #18 shielded pairs, blue jacket</t>
        </is>
      </c>
      <c r="K5831" s="12" t="inlineStr">
        <is>
          <t>ITC|24 pr|18</t>
        </is>
      </c>
      <c r="L5831" s="12" t="inlineStr">
        <is>
          <t>24 pr</t>
        </is>
      </c>
      <c r="M5831" s="12" t="inlineStr">
        <is>
          <t>18</t>
        </is>
      </c>
      <c r="N5831" s="12" t="n">
        <v>1</v>
      </c>
      <c r="O5831" s="12" t="n">
        <v>1</v>
      </c>
      <c r="P5831" s="12" t="n"/>
      <c r="Q5831" s="12" t="n"/>
      <c r="R5831" s="12" t="n"/>
      <c r="S5831" s="12" t="inlineStr">
        <is>
          <t>Duct bank</t>
        </is>
      </c>
      <c r="T5831" s="16" t="n">
        <v>147</v>
      </c>
      <c r="U5831" s="16" t="n">
        <v>66</v>
      </c>
      <c r="V5831" s="16">
        <f>ROUNDUP((T5831+U5831+2*'Read Me'!$B$13)*(1+'Read Me'!$B$12),-1)</f>
        <v/>
      </c>
      <c r="W5831" s="16">
        <f>V5831*N5831*O5831</f>
        <v/>
      </c>
      <c r="X5831" s="12">
        <f>IF(LEFT(I5831,2)="MV",2*N5831*IF(L5831="1/C",O5831,1),0)</f>
        <v/>
      </c>
      <c r="Y5831" s="12">
        <f>IF(OR(LEFT(K5831,4)="LVAX",LEFT(K5831,6)="MV15AX",LEFT(K5831,4)="CTAX",LEFT(K5831,2)="W|"),2*N5831*O5831,0)</f>
        <v/>
      </c>
      <c r="Z5831" s="12" t="inlineStr"/>
      <c r="AA5831" s="12">
        <f>N5831*O5831</f>
        <v/>
      </c>
    </row>
    <row r="5832">
      <c r="A5832" s="12" t="inlineStr">
        <is>
          <t>K-I-0093</t>
        </is>
      </c>
      <c r="B5832" s="12" t="inlineStr">
        <is>
          <t>K</t>
        </is>
      </c>
      <c r="C5832" s="12" t="inlineStr">
        <is>
          <t>Fuel supply (adjacent market)</t>
        </is>
      </c>
      <c r="D5832" s="12" t="inlineStr">
        <is>
          <t>Discrete device to JB JB-LNG 10: truck unlo-DI01: 12 x 1 pr (field cables)</t>
        </is>
      </c>
      <c r="E5832" s="12" t="inlineStr"/>
      <c r="F5832" s="12" t="inlineStr">
        <is>
          <t>LNG 10: truck unloading bay 2</t>
        </is>
      </c>
      <c r="G5832" s="12" t="inlineStr">
        <is>
          <t>JB-LNG 10: truck unlo-DI01</t>
        </is>
      </c>
      <c r="H5832" s="12" t="inlineStr">
        <is>
          <t>LNG 10: truck unloading bay 2</t>
        </is>
      </c>
      <c r="I5832" s="12" t="inlineStr">
        <is>
          <t>Instrumentation</t>
        </is>
      </c>
      <c r="J5832" s="12" t="inlineStr">
        <is>
          <t>Instrumentation ITC / PLTC, IS, #18 shielded pairs, blue jacket</t>
        </is>
      </c>
      <c r="K5832" s="12" t="inlineStr">
        <is>
          <t>ITC|1 pr|16</t>
        </is>
      </c>
      <c r="L5832" s="12" t="inlineStr">
        <is>
          <t>1 pr</t>
        </is>
      </c>
      <c r="M5832" s="12" t="inlineStr">
        <is>
          <t>16</t>
        </is>
      </c>
      <c r="N5832" s="12" t="n">
        <v>12</v>
      </c>
      <c r="O5832" s="12" t="n">
        <v>1</v>
      </c>
      <c r="P5832" s="12" t="n"/>
      <c r="Q5832" s="12" t="n"/>
      <c r="R5832" s="12" t="n"/>
      <c r="S5832" s="12" t="inlineStr">
        <is>
          <t>Tray / conduit</t>
        </is>
      </c>
      <c r="T5832" s="16" t="n">
        <v>72</v>
      </c>
      <c r="U5832" s="16" t="n">
        <v>10</v>
      </c>
      <c r="V5832" s="16">
        <f>ROUNDUP((T5832+U5832+2*'Read Me'!$B$13)*(1+'Read Me'!$B$12),-1)</f>
        <v/>
      </c>
      <c r="W5832" s="16">
        <f>V5832*N5832*O5832</f>
        <v/>
      </c>
      <c r="X5832" s="12">
        <f>IF(LEFT(I5832,2)="MV",2*N5832*IF(L5832="1/C",O5832,1),0)</f>
        <v/>
      </c>
      <c r="Y5832" s="12">
        <f>IF(OR(LEFT(K5832,4)="LVAX",LEFT(K5832,6)="MV15AX",LEFT(K5832,4)="CTAX",LEFT(K5832,2)="W|"),2*N5832*O5832,0)</f>
        <v/>
      </c>
      <c r="Z5832" s="12" t="inlineStr">
        <is>
          <t>device-to-JB field wiring, one cable per device</t>
        </is>
      </c>
      <c r="AA5832" s="12">
        <f>N5832*O5832</f>
        <v/>
      </c>
    </row>
    <row r="5833">
      <c r="A5833" s="12" t="inlineStr">
        <is>
          <t>K-I-0094</t>
        </is>
      </c>
      <c r="B5833" s="12" t="inlineStr">
        <is>
          <t>K</t>
        </is>
      </c>
      <c r="C5833" s="12" t="inlineStr">
        <is>
          <t>Fuel supply (adjacent market)</t>
        </is>
      </c>
      <c r="D5833" s="12" t="inlineStr">
        <is>
          <t>Home run JB-LNG 10: truck unlo-DI01 to the control / marshalling room</t>
        </is>
      </c>
      <c r="E5833" s="12" t="inlineStr"/>
      <c r="F5833" s="12" t="inlineStr">
        <is>
          <t>LNG 17: LNG e-house (13.8 kV / 480 V)</t>
        </is>
      </c>
      <c r="G5833" s="12" t="inlineStr">
        <is>
          <t>JB-LNG 10: truck unlo-DI01</t>
        </is>
      </c>
      <c r="H5833" s="12" t="inlineStr">
        <is>
          <t>LNG 10: truck unloading bay 2</t>
        </is>
      </c>
      <c r="I5833" s="12" t="inlineStr">
        <is>
          <t>Instrumentation</t>
        </is>
      </c>
      <c r="J5833" s="12" t="inlineStr">
        <is>
          <t>Instrumentation ITC / PLTC, IS, #18 shielded pairs, blue jacket</t>
        </is>
      </c>
      <c r="K5833" s="12" t="inlineStr">
        <is>
          <t>ITC|24 pr|18</t>
        </is>
      </c>
      <c r="L5833" s="12" t="inlineStr">
        <is>
          <t>24 pr</t>
        </is>
      </c>
      <c r="M5833" s="12" t="inlineStr">
        <is>
          <t>18</t>
        </is>
      </c>
      <c r="N5833" s="12" t="n">
        <v>1</v>
      </c>
      <c r="O5833" s="12" t="n">
        <v>1</v>
      </c>
      <c r="P5833" s="12" t="n"/>
      <c r="Q5833" s="12" t="n"/>
      <c r="R5833" s="12" t="n"/>
      <c r="S5833" s="12" t="inlineStr">
        <is>
          <t>Duct bank</t>
        </is>
      </c>
      <c r="T5833" s="16" t="n">
        <v>147</v>
      </c>
      <c r="U5833" s="16" t="n">
        <v>66</v>
      </c>
      <c r="V5833" s="16">
        <f>ROUNDUP((T5833+U5833+2*'Read Me'!$B$13)*(1+'Read Me'!$B$12),-1)</f>
        <v/>
      </c>
      <c r="W5833" s="16">
        <f>V5833*N5833*O5833</f>
        <v/>
      </c>
      <c r="X5833" s="12">
        <f>IF(LEFT(I5833,2)="MV",2*N5833*IF(L5833="1/C",O5833,1),0)</f>
        <v/>
      </c>
      <c r="Y5833" s="12">
        <f>IF(OR(LEFT(K5833,4)="LVAX",LEFT(K5833,6)="MV15AX",LEFT(K5833,4)="CTAX",LEFT(K5833,2)="W|"),2*N5833*O5833,0)</f>
        <v/>
      </c>
      <c r="Z5833" s="12" t="inlineStr"/>
      <c r="AA5833" s="12">
        <f>N5833*O5833</f>
        <v/>
      </c>
    </row>
    <row r="5834">
      <c r="A5834" s="12" t="inlineStr">
        <is>
          <t>K-I-0095</t>
        </is>
      </c>
      <c r="B5834" s="12" t="inlineStr">
        <is>
          <t>K</t>
        </is>
      </c>
      <c r="C5834" s="12" t="inlineStr">
        <is>
          <t>Fuel supply (adjacent market)</t>
        </is>
      </c>
      <c r="D5834" s="12" t="inlineStr">
        <is>
          <t>Analog instrument to JB JB-LNG 10: unloading -AI01: 12 x 1 pr (field cables)</t>
        </is>
      </c>
      <c r="E5834" s="12" t="inlineStr"/>
      <c r="F5834" s="12" t="inlineStr">
        <is>
          <t>LNG 10: unloading skid</t>
        </is>
      </c>
      <c r="G5834" s="12" t="inlineStr">
        <is>
          <t>JB-LNG 10: unloading -AI01</t>
        </is>
      </c>
      <c r="H5834" s="12" t="inlineStr">
        <is>
          <t>LNG 10: unloading skid</t>
        </is>
      </c>
      <c r="I5834" s="12" t="inlineStr">
        <is>
          <t>Instrumentation</t>
        </is>
      </c>
      <c r="J5834" s="12" t="inlineStr">
        <is>
          <t>Instrumentation ITC / PLTC, IS, #18 shielded pairs, blue jacket</t>
        </is>
      </c>
      <c r="K5834" s="12" t="inlineStr">
        <is>
          <t>ITC|1 pr|16</t>
        </is>
      </c>
      <c r="L5834" s="12" t="inlineStr">
        <is>
          <t>1 pr</t>
        </is>
      </c>
      <c r="M5834" s="12" t="inlineStr">
        <is>
          <t>16</t>
        </is>
      </c>
      <c r="N5834" s="12" t="n">
        <v>12</v>
      </c>
      <c r="O5834" s="12" t="n">
        <v>1</v>
      </c>
      <c r="P5834" s="12" t="n"/>
      <c r="Q5834" s="12" t="n"/>
      <c r="R5834" s="12" t="n"/>
      <c r="S5834" s="12" t="inlineStr">
        <is>
          <t>Tray / conduit</t>
        </is>
      </c>
      <c r="T5834" s="16" t="n">
        <v>54</v>
      </c>
      <c r="U5834" s="16" t="n">
        <v>10</v>
      </c>
      <c r="V5834" s="16">
        <f>ROUNDUP((T5834+U5834+2*'Read Me'!$B$13)*(1+'Read Me'!$B$12),-1)</f>
        <v/>
      </c>
      <c r="W5834" s="16">
        <f>V5834*N5834*O5834</f>
        <v/>
      </c>
      <c r="X5834" s="12">
        <f>IF(LEFT(I5834,2)="MV",2*N5834*IF(L5834="1/C",O5834,1),0)</f>
        <v/>
      </c>
      <c r="Y5834" s="12">
        <f>IF(OR(LEFT(K5834,4)="LVAX",LEFT(K5834,6)="MV15AX",LEFT(K5834,4)="CTAX",LEFT(K5834,2)="W|"),2*N5834*O5834,0)</f>
        <v/>
      </c>
      <c r="Z5834" s="12" t="inlineStr">
        <is>
          <t>device-to-JB field wiring, one cable per device</t>
        </is>
      </c>
      <c r="AA5834" s="12">
        <f>N5834*O5834</f>
        <v/>
      </c>
    </row>
    <row r="5835">
      <c r="A5835" s="12" t="inlineStr">
        <is>
          <t>K-I-0096</t>
        </is>
      </c>
      <c r="B5835" s="12" t="inlineStr">
        <is>
          <t>K</t>
        </is>
      </c>
      <c r="C5835" s="12" t="inlineStr">
        <is>
          <t>Fuel supply (adjacent market)</t>
        </is>
      </c>
      <c r="D5835" s="12" t="inlineStr">
        <is>
          <t>Home run JB-LNG 10: unloading -AI01 to the control / marshalling room</t>
        </is>
      </c>
      <c r="E5835" s="12" t="inlineStr"/>
      <c r="F5835" s="12" t="inlineStr">
        <is>
          <t>LNG 17: LNG e-house (13.8 kV / 480 V)</t>
        </is>
      </c>
      <c r="G5835" s="12" t="inlineStr">
        <is>
          <t>JB-LNG 10: unloading -AI01</t>
        </is>
      </c>
      <c r="H5835" s="12" t="inlineStr">
        <is>
          <t>LNG 10: unloading skid</t>
        </is>
      </c>
      <c r="I5835" s="12" t="inlineStr">
        <is>
          <t>Instrumentation</t>
        </is>
      </c>
      <c r="J5835" s="12" t="inlineStr">
        <is>
          <t>Instrumentation ITC / PLTC, IS, #18 shielded pairs, blue jacket</t>
        </is>
      </c>
      <c r="K5835" s="12" t="inlineStr">
        <is>
          <t>ITC|24 pr|18</t>
        </is>
      </c>
      <c r="L5835" s="12" t="inlineStr">
        <is>
          <t>24 pr</t>
        </is>
      </c>
      <c r="M5835" s="12" t="inlineStr">
        <is>
          <t>18</t>
        </is>
      </c>
      <c r="N5835" s="12" t="n">
        <v>1</v>
      </c>
      <c r="O5835" s="12" t="n">
        <v>1</v>
      </c>
      <c r="P5835" s="12" t="n"/>
      <c r="Q5835" s="12" t="n"/>
      <c r="R5835" s="12" t="n"/>
      <c r="S5835" s="12" t="inlineStr">
        <is>
          <t>Duct bank</t>
        </is>
      </c>
      <c r="T5835" s="16" t="n">
        <v>237</v>
      </c>
      <c r="U5835" s="16" t="n">
        <v>32</v>
      </c>
      <c r="V5835" s="16">
        <f>ROUNDUP((T5835+U5835+2*'Read Me'!$B$13)*(1+'Read Me'!$B$12),-1)</f>
        <v/>
      </c>
      <c r="W5835" s="16">
        <f>V5835*N5835*O5835</f>
        <v/>
      </c>
      <c r="X5835" s="12">
        <f>IF(LEFT(I5835,2)="MV",2*N5835*IF(L5835="1/C",O5835,1),0)</f>
        <v/>
      </c>
      <c r="Y5835" s="12">
        <f>IF(OR(LEFT(K5835,4)="LVAX",LEFT(K5835,6)="MV15AX",LEFT(K5835,4)="CTAX",LEFT(K5835,2)="W|"),2*N5835*O5835,0)</f>
        <v/>
      </c>
      <c r="Z5835" s="12" t="inlineStr"/>
      <c r="AA5835" s="12">
        <f>N5835*O5835</f>
        <v/>
      </c>
    </row>
    <row r="5836">
      <c r="A5836" s="12" t="inlineStr">
        <is>
          <t>K-I-0097</t>
        </is>
      </c>
      <c r="B5836" s="12" t="inlineStr">
        <is>
          <t>K</t>
        </is>
      </c>
      <c r="C5836" s="12" t="inlineStr">
        <is>
          <t>Fuel supply (adjacent market)</t>
        </is>
      </c>
      <c r="D5836" s="12" t="inlineStr">
        <is>
          <t>Discrete device to JB JB-LNG 10: unloading -DI01: 12 x 1 pr (field cables)</t>
        </is>
      </c>
      <c r="E5836" s="12" t="inlineStr"/>
      <c r="F5836" s="12" t="inlineStr">
        <is>
          <t>LNG 10: unloading skid</t>
        </is>
      </c>
      <c r="G5836" s="12" t="inlineStr">
        <is>
          <t>JB-LNG 10: unloading -DI01</t>
        </is>
      </c>
      <c r="H5836" s="12" t="inlineStr">
        <is>
          <t>LNG 10: unloading skid</t>
        </is>
      </c>
      <c r="I5836" s="12" t="inlineStr">
        <is>
          <t>Instrumentation</t>
        </is>
      </c>
      <c r="J5836" s="12" t="inlineStr">
        <is>
          <t>Instrumentation ITC / PLTC, IS, #18 shielded pairs, blue jacket</t>
        </is>
      </c>
      <c r="K5836" s="12" t="inlineStr">
        <is>
          <t>ITC|1 pr|16</t>
        </is>
      </c>
      <c r="L5836" s="12" t="inlineStr">
        <is>
          <t>1 pr</t>
        </is>
      </c>
      <c r="M5836" s="12" t="inlineStr">
        <is>
          <t>16</t>
        </is>
      </c>
      <c r="N5836" s="12" t="n">
        <v>12</v>
      </c>
      <c r="O5836" s="12" t="n">
        <v>1</v>
      </c>
      <c r="P5836" s="12" t="n"/>
      <c r="Q5836" s="12" t="n"/>
      <c r="R5836" s="12" t="n"/>
      <c r="S5836" s="12" t="inlineStr">
        <is>
          <t>Tray / conduit</t>
        </is>
      </c>
      <c r="T5836" s="16" t="n">
        <v>54</v>
      </c>
      <c r="U5836" s="16" t="n">
        <v>10</v>
      </c>
      <c r="V5836" s="16">
        <f>ROUNDUP((T5836+U5836+2*'Read Me'!$B$13)*(1+'Read Me'!$B$12),-1)</f>
        <v/>
      </c>
      <c r="W5836" s="16">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K-I-0098</t>
        </is>
      </c>
      <c r="B5837" s="12" t="inlineStr">
        <is>
          <t>K</t>
        </is>
      </c>
      <c r="C5837" s="12" t="inlineStr">
        <is>
          <t>Fuel supply (adjacent market)</t>
        </is>
      </c>
      <c r="D5837" s="12" t="inlineStr">
        <is>
          <t>Home run JB-LNG 10: unloading -DI01 to the control / marshalling room</t>
        </is>
      </c>
      <c r="E5837" s="12" t="inlineStr"/>
      <c r="F5837" s="12" t="inlineStr">
        <is>
          <t>LNG 17: LNG e-house (13.8 kV / 480 V)</t>
        </is>
      </c>
      <c r="G5837" s="12" t="inlineStr">
        <is>
          <t>JB-LNG 10: unloading -DI01</t>
        </is>
      </c>
      <c r="H5837" s="12" t="inlineStr">
        <is>
          <t>LNG 10: unloading skid</t>
        </is>
      </c>
      <c r="I5837" s="12" t="inlineStr">
        <is>
          <t>Instrumentation</t>
        </is>
      </c>
      <c r="J5837" s="12" t="inlineStr">
        <is>
          <t>Instrumentation ITC / PLTC, IS, #18 shielded pairs, blue jacket</t>
        </is>
      </c>
      <c r="K5837" s="12" t="inlineStr">
        <is>
          <t>ITC|24 pr|18</t>
        </is>
      </c>
      <c r="L5837" s="12" t="inlineStr">
        <is>
          <t>24 pr</t>
        </is>
      </c>
      <c r="M5837" s="12" t="inlineStr">
        <is>
          <t>18</t>
        </is>
      </c>
      <c r="N5837" s="12" t="n">
        <v>1</v>
      </c>
      <c r="O5837" s="12" t="n">
        <v>1</v>
      </c>
      <c r="P5837" s="12" t="n"/>
      <c r="Q5837" s="12" t="n"/>
      <c r="R5837" s="12" t="n"/>
      <c r="S5837" s="12" t="inlineStr">
        <is>
          <t>Duct bank</t>
        </is>
      </c>
      <c r="T5837" s="16" t="n">
        <v>237</v>
      </c>
      <c r="U5837" s="16" t="n">
        <v>32</v>
      </c>
      <c r="V5837" s="16">
        <f>ROUNDUP((T5837+U5837+2*'Read Me'!$B$13)*(1+'Read Me'!$B$12),-1)</f>
        <v/>
      </c>
      <c r="W5837" s="16">
        <f>V5837*N5837*O5837</f>
        <v/>
      </c>
      <c r="X5837" s="12">
        <f>IF(LEFT(I5837,2)="MV",2*N5837*IF(L5837="1/C",O5837,1),0)</f>
        <v/>
      </c>
      <c r="Y5837" s="12">
        <f>IF(OR(LEFT(K5837,4)="LVAX",LEFT(K5837,6)="MV15AX",LEFT(K5837,4)="CTAX",LEFT(K5837,2)="W|"),2*N5837*O5837,0)</f>
        <v/>
      </c>
      <c r="Z5837" s="12" t="inlineStr"/>
      <c r="AA5837" s="12">
        <f>N5837*O5837</f>
        <v/>
      </c>
    </row>
    <row r="5838">
      <c r="A5838" s="12" t="inlineStr">
        <is>
          <t>K-I-0099</t>
        </is>
      </c>
      <c r="B5838" s="12" t="inlineStr">
        <is>
          <t>K</t>
        </is>
      </c>
      <c r="C5838" s="12" t="inlineStr">
        <is>
          <t>Fuel supply (adjacent market)</t>
        </is>
      </c>
      <c r="D5838" s="12" t="inlineStr">
        <is>
          <t>Analog instrument to JB JB-LNG-T1-AI01: 4 x 1 pr (field cables)</t>
        </is>
      </c>
      <c r="E5838" s="12" t="inlineStr">
        <is>
          <t>LNG-T1</t>
        </is>
      </c>
      <c r="F5838" s="12" t="inlineStr">
        <is>
          <t>LNG 11: tank 1, Chart HS 50000 (51,780 gal)</t>
        </is>
      </c>
      <c r="G5838" s="12" t="inlineStr">
        <is>
          <t>JB-LNG-T1-AI01</t>
        </is>
      </c>
      <c r="H5838" s="12" t="inlineStr">
        <is>
          <t>LNG 11: tank 1, Chart HS 50000 (51,780 gal)</t>
        </is>
      </c>
      <c r="I5838" s="12" t="inlineStr">
        <is>
          <t>Instrumentation</t>
        </is>
      </c>
      <c r="J5838" s="12" t="inlineStr">
        <is>
          <t>Instrumentation ITC / PLTC, IS, #18 shielded pairs, blue jacket</t>
        </is>
      </c>
      <c r="K5838" s="12" t="inlineStr">
        <is>
          <t>ITC|1 pr|16</t>
        </is>
      </c>
      <c r="L5838" s="12" t="inlineStr">
        <is>
          <t>1 pr</t>
        </is>
      </c>
      <c r="M5838" s="12" t="inlineStr">
        <is>
          <t>16</t>
        </is>
      </c>
      <c r="N5838" s="12" t="n">
        <v>4</v>
      </c>
      <c r="O5838" s="12" t="n">
        <v>1</v>
      </c>
      <c r="P5838" s="12" t="n"/>
      <c r="Q5838" s="12" t="n"/>
      <c r="R5838" s="12" t="n"/>
      <c r="S5838" s="12" t="inlineStr">
        <is>
          <t>Tray / conduit</t>
        </is>
      </c>
      <c r="T5838" s="16" t="n">
        <v>77</v>
      </c>
      <c r="U5838" s="16" t="n">
        <v>10</v>
      </c>
      <c r="V5838" s="16">
        <f>ROUNDUP((T5838+U5838+2*'Read Me'!$B$13)*(1+'Read Me'!$B$12),-1)</f>
        <v/>
      </c>
      <c r="W5838" s="16">
        <f>V5838*N5838*O5838</f>
        <v/>
      </c>
      <c r="X5838" s="12">
        <f>IF(LEFT(I5838,2)="MV",2*N5838*IF(L5838="1/C",O5838,1),0)</f>
        <v/>
      </c>
      <c r="Y5838" s="12">
        <f>IF(OR(LEFT(K5838,4)="LVAX",LEFT(K5838,6)="MV15AX",LEFT(K5838,4)="CTAX",LEFT(K5838,2)="W|"),2*N5838*O5838,0)</f>
        <v/>
      </c>
      <c r="Z5838" s="12" t="inlineStr">
        <is>
          <t>device-to-JB field wiring, one cable per device</t>
        </is>
      </c>
      <c r="AA5838" s="12">
        <f>N5838*O5838</f>
        <v/>
      </c>
    </row>
    <row r="5839">
      <c r="A5839" s="12" t="inlineStr">
        <is>
          <t>K-I-0100</t>
        </is>
      </c>
      <c r="B5839" s="12" t="inlineStr">
        <is>
          <t>K</t>
        </is>
      </c>
      <c r="C5839" s="12" t="inlineStr">
        <is>
          <t>Fuel supply (adjacent market)</t>
        </is>
      </c>
      <c r="D5839" s="12" t="inlineStr">
        <is>
          <t>Home run JB-LNG-T1-AI01 to the control / marshalling room</t>
        </is>
      </c>
      <c r="E5839" s="12" t="inlineStr"/>
      <c r="F5839" s="12" t="inlineStr">
        <is>
          <t>LNG 17: LNG e-house (13.8 kV / 480 V)</t>
        </is>
      </c>
      <c r="G5839" s="12" t="inlineStr">
        <is>
          <t>JB-LNG-T1-AI01</t>
        </is>
      </c>
      <c r="H5839" s="12" t="inlineStr">
        <is>
          <t>LNG 11: tank 1, Chart HS 50000 (51,780 gal)</t>
        </is>
      </c>
      <c r="I5839" s="12" t="inlineStr">
        <is>
          <t>Instrumentation</t>
        </is>
      </c>
      <c r="J5839" s="12" t="inlineStr">
        <is>
          <t>Instrumentation ITC / PLTC, IS, #18 shielded pairs, blue jacket</t>
        </is>
      </c>
      <c r="K5839" s="12" t="inlineStr">
        <is>
          <t>ITC|24 pr|18</t>
        </is>
      </c>
      <c r="L5839" s="12" t="inlineStr">
        <is>
          <t>24 pr</t>
        </is>
      </c>
      <c r="M5839" s="12" t="inlineStr">
        <is>
          <t>18</t>
        </is>
      </c>
      <c r="N5839" s="12" t="n">
        <v>1</v>
      </c>
      <c r="O5839" s="12" t="n">
        <v>1</v>
      </c>
      <c r="P5839" s="12" t="n"/>
      <c r="Q5839" s="12" t="n"/>
      <c r="R5839" s="12" t="n"/>
      <c r="S5839" s="12" t="inlineStr">
        <is>
          <t>Duct bank</t>
        </is>
      </c>
      <c r="T5839" s="16" t="n">
        <v>210</v>
      </c>
      <c r="U5839" s="16" t="n">
        <v>32</v>
      </c>
      <c r="V5839" s="16">
        <f>ROUNDUP((T5839+U5839+2*'Read Me'!$B$13)*(1+'Read Me'!$B$12),-1)</f>
        <v/>
      </c>
      <c r="W5839" s="16">
        <f>V5839*N5839*O5839</f>
        <v/>
      </c>
      <c r="X5839" s="12">
        <f>IF(LEFT(I5839,2)="MV",2*N5839*IF(L5839="1/C",O5839,1),0)</f>
        <v/>
      </c>
      <c r="Y5839" s="12">
        <f>IF(OR(LEFT(K5839,4)="LVAX",LEFT(K5839,6)="MV15AX",LEFT(K5839,4)="CTAX",LEFT(K5839,2)="W|"),2*N5839*O5839,0)</f>
        <v/>
      </c>
      <c r="Z5839" s="12" t="inlineStr"/>
      <c r="AA5839" s="12">
        <f>N5839*O5839</f>
        <v/>
      </c>
    </row>
    <row r="5840">
      <c r="A5840" s="12" t="inlineStr">
        <is>
          <t>K-I-0101</t>
        </is>
      </c>
      <c r="B5840" s="12" t="inlineStr">
        <is>
          <t>K</t>
        </is>
      </c>
      <c r="C5840" s="12" t="inlineStr">
        <is>
          <t>Fuel supply (adjacent market)</t>
        </is>
      </c>
      <c r="D5840" s="12" t="inlineStr">
        <is>
          <t>Discrete device to JB JB-LNG-T1-DI01: 4 x 1 pr (field cables)</t>
        </is>
      </c>
      <c r="E5840" s="12" t="inlineStr">
        <is>
          <t>LNG-T1</t>
        </is>
      </c>
      <c r="F5840" s="12" t="inlineStr">
        <is>
          <t>LNG 11: tank 1, Chart HS 50000 (51,780 gal)</t>
        </is>
      </c>
      <c r="G5840" s="12" t="inlineStr">
        <is>
          <t>JB-LNG-T1-DI01</t>
        </is>
      </c>
      <c r="H5840" s="12" t="inlineStr">
        <is>
          <t>LNG 11: tank 1, Chart HS 50000 (51,780 gal)</t>
        </is>
      </c>
      <c r="I5840" s="12" t="inlineStr">
        <is>
          <t>Instrumentation</t>
        </is>
      </c>
      <c r="J5840" s="12" t="inlineStr">
        <is>
          <t>Instrumentation ITC / PLTC, IS, #18 shielded pairs, blue jacket</t>
        </is>
      </c>
      <c r="K5840" s="12" t="inlineStr">
        <is>
          <t>ITC|1 pr|16</t>
        </is>
      </c>
      <c r="L5840" s="12" t="inlineStr">
        <is>
          <t>1 pr</t>
        </is>
      </c>
      <c r="M5840" s="12" t="inlineStr">
        <is>
          <t>16</t>
        </is>
      </c>
      <c r="N5840" s="12" t="n">
        <v>4</v>
      </c>
      <c r="O5840" s="12" t="n">
        <v>1</v>
      </c>
      <c r="P5840" s="12" t="n"/>
      <c r="Q5840" s="12" t="n"/>
      <c r="R5840" s="12" t="n"/>
      <c r="S5840" s="12" t="inlineStr">
        <is>
          <t>Tray / conduit</t>
        </is>
      </c>
      <c r="T5840" s="16" t="n">
        <v>77</v>
      </c>
      <c r="U5840" s="16" t="n">
        <v>10</v>
      </c>
      <c r="V5840" s="16">
        <f>ROUNDUP((T5840+U5840+2*'Read Me'!$B$13)*(1+'Read Me'!$B$12),-1)</f>
        <v/>
      </c>
      <c r="W5840" s="16">
        <f>V5840*N5840*O5840</f>
        <v/>
      </c>
      <c r="X5840" s="12">
        <f>IF(LEFT(I5840,2)="MV",2*N5840*IF(L5840="1/C",O5840,1),0)</f>
        <v/>
      </c>
      <c r="Y5840" s="12">
        <f>IF(OR(LEFT(K5840,4)="LVAX",LEFT(K5840,6)="MV15AX",LEFT(K5840,4)="CTAX",LEFT(K5840,2)="W|"),2*N5840*O5840,0)</f>
        <v/>
      </c>
      <c r="Z5840" s="12" t="inlineStr">
        <is>
          <t>device-to-JB field wiring, one cable per device</t>
        </is>
      </c>
      <c r="AA5840" s="12">
        <f>N5840*O5840</f>
        <v/>
      </c>
    </row>
    <row r="5841">
      <c r="A5841" s="12" t="inlineStr">
        <is>
          <t>K-I-0102</t>
        </is>
      </c>
      <c r="B5841" s="12" t="inlineStr">
        <is>
          <t>K</t>
        </is>
      </c>
      <c r="C5841" s="12" t="inlineStr">
        <is>
          <t>Fuel supply (adjacent market)</t>
        </is>
      </c>
      <c r="D5841" s="12" t="inlineStr">
        <is>
          <t>Home run JB-LNG-T1-DI01 to the control / marshalling room</t>
        </is>
      </c>
      <c r="E5841" s="12" t="inlineStr"/>
      <c r="F5841" s="12" t="inlineStr">
        <is>
          <t>LNG 17: LNG e-house (13.8 kV / 480 V)</t>
        </is>
      </c>
      <c r="G5841" s="12" t="inlineStr">
        <is>
          <t>JB-LNG-T1-DI01</t>
        </is>
      </c>
      <c r="H5841" s="12" t="inlineStr">
        <is>
          <t>LNG 11: tank 1, Chart HS 50000 (51,780 gal)</t>
        </is>
      </c>
      <c r="I5841" s="12" t="inlineStr">
        <is>
          <t>Instrumentation</t>
        </is>
      </c>
      <c r="J5841" s="12" t="inlineStr">
        <is>
          <t>Instrumentation ITC / PLTC, IS, #18 shielded pairs, blue jacket</t>
        </is>
      </c>
      <c r="K5841" s="12" t="inlineStr">
        <is>
          <t>ITC|24 pr|18</t>
        </is>
      </c>
      <c r="L5841" s="12" t="inlineStr">
        <is>
          <t>24 pr</t>
        </is>
      </c>
      <c r="M5841" s="12" t="inlineStr">
        <is>
          <t>18</t>
        </is>
      </c>
      <c r="N5841" s="12" t="n">
        <v>1</v>
      </c>
      <c r="O5841" s="12" t="n">
        <v>1</v>
      </c>
      <c r="P5841" s="12" t="n"/>
      <c r="Q5841" s="12" t="n"/>
      <c r="R5841" s="12" t="n"/>
      <c r="S5841" s="12" t="inlineStr">
        <is>
          <t>Duct bank</t>
        </is>
      </c>
      <c r="T5841" s="16" t="n">
        <v>210</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c r="AA5841" s="12">
        <f>N5841*O5841</f>
        <v/>
      </c>
    </row>
    <row r="5842">
      <c r="A5842" s="12" t="inlineStr">
        <is>
          <t>K-I-0103</t>
        </is>
      </c>
      <c r="B5842" s="12" t="inlineStr">
        <is>
          <t>K</t>
        </is>
      </c>
      <c r="C5842" s="12" t="inlineStr">
        <is>
          <t>Fuel supply (adjacent market)</t>
        </is>
      </c>
      <c r="D5842" s="12" t="inlineStr">
        <is>
          <t>Analog instrument to JB JB-LNG-T2-AI01: 4 x 1 pr (field cables)</t>
        </is>
      </c>
      <c r="E5842" s="12" t="inlineStr">
        <is>
          <t>LNG-T2</t>
        </is>
      </c>
      <c r="F5842" s="12" t="inlineStr">
        <is>
          <t>LNG 11: tank 2, Chart HS 50000 (51,780 gal)</t>
        </is>
      </c>
      <c r="G5842" s="12" t="inlineStr">
        <is>
          <t>JB-LNG-T2-AI01</t>
        </is>
      </c>
      <c r="H5842" s="12" t="inlineStr">
        <is>
          <t>LNG 11: tank 2, Chart HS 50000 (51,780 gal)</t>
        </is>
      </c>
      <c r="I5842" s="12" t="inlineStr">
        <is>
          <t>Instrumentation</t>
        </is>
      </c>
      <c r="J5842" s="12" t="inlineStr">
        <is>
          <t>Instrumentation ITC / PLTC, IS, #18 shielded pairs, blue jacket</t>
        </is>
      </c>
      <c r="K5842" s="12" t="inlineStr">
        <is>
          <t>ITC|1 pr|16</t>
        </is>
      </c>
      <c r="L5842" s="12" t="inlineStr">
        <is>
          <t>1 pr</t>
        </is>
      </c>
      <c r="M5842" s="12" t="inlineStr">
        <is>
          <t>16</t>
        </is>
      </c>
      <c r="N5842" s="12" t="n">
        <v>4</v>
      </c>
      <c r="O5842" s="12" t="n">
        <v>1</v>
      </c>
      <c r="P5842" s="12" t="n"/>
      <c r="Q5842" s="12" t="n"/>
      <c r="R5842" s="12" t="n"/>
      <c r="S5842" s="12" t="inlineStr">
        <is>
          <t>Tray / conduit</t>
        </is>
      </c>
      <c r="T5842" s="16" t="n">
        <v>77</v>
      </c>
      <c r="U5842" s="16" t="n">
        <v>10</v>
      </c>
      <c r="V5842" s="16">
        <f>ROUNDUP((T5842+U5842+2*'Read Me'!$B$13)*(1+'Read Me'!$B$12),-1)</f>
        <v/>
      </c>
      <c r="W5842" s="16">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K-I-0104</t>
        </is>
      </c>
      <c r="B5843" s="12" t="inlineStr">
        <is>
          <t>K</t>
        </is>
      </c>
      <c r="C5843" s="12" t="inlineStr">
        <is>
          <t>Fuel supply (adjacent market)</t>
        </is>
      </c>
      <c r="D5843" s="12" t="inlineStr">
        <is>
          <t>Home run JB-LNG-T2-AI01 to the control / marshalling room</t>
        </is>
      </c>
      <c r="E5843" s="12" t="inlineStr"/>
      <c r="F5843" s="12" t="inlineStr">
        <is>
          <t>LNG 17: LNG e-house (13.8 kV / 480 V)</t>
        </is>
      </c>
      <c r="G5843" s="12" t="inlineStr">
        <is>
          <t>JB-LNG-T2-AI01</t>
        </is>
      </c>
      <c r="H5843" s="12" t="inlineStr">
        <is>
          <t>LNG 11: tank 2, Chart HS 50000 (51,780 gal)</t>
        </is>
      </c>
      <c r="I5843" s="12" t="inlineStr">
        <is>
          <t>Instrumentation</t>
        </is>
      </c>
      <c r="J5843" s="12" t="inlineStr">
        <is>
          <t>Instrumentation ITC / PLTC, IS, #18 shielded pairs, blue jacket</t>
        </is>
      </c>
      <c r="K5843" s="12" t="inlineStr">
        <is>
          <t>ITC|24 pr|18</t>
        </is>
      </c>
      <c r="L5843" s="12" t="inlineStr">
        <is>
          <t>24 pr</t>
        </is>
      </c>
      <c r="M5843" s="12" t="inlineStr">
        <is>
          <t>18</t>
        </is>
      </c>
      <c r="N5843" s="12" t="n">
        <v>1</v>
      </c>
      <c r="O5843" s="12" t="n">
        <v>1</v>
      </c>
      <c r="P5843" s="12" t="n"/>
      <c r="Q5843" s="12" t="n"/>
      <c r="R5843" s="12" t="n"/>
      <c r="S5843" s="12" t="inlineStr">
        <is>
          <t>Duct bank</t>
        </is>
      </c>
      <c r="T5843" s="16" t="n">
        <v>230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c r="AA5843" s="12">
        <f>N5843*O5843</f>
        <v/>
      </c>
    </row>
    <row r="5844">
      <c r="A5844" s="12" t="inlineStr">
        <is>
          <t>K-I-0105</t>
        </is>
      </c>
      <c r="B5844" s="12" t="inlineStr">
        <is>
          <t>K</t>
        </is>
      </c>
      <c r="C5844" s="12" t="inlineStr">
        <is>
          <t>Fuel supply (adjacent market)</t>
        </is>
      </c>
      <c r="D5844" s="12" t="inlineStr">
        <is>
          <t>Discrete device to JB JB-LNG-T2-DI01: 4 x 1 pr (field cables)</t>
        </is>
      </c>
      <c r="E5844" s="12" t="inlineStr">
        <is>
          <t>LNG-T2</t>
        </is>
      </c>
      <c r="F5844" s="12" t="inlineStr">
        <is>
          <t>LNG 11: tank 2, Chart HS 50000 (51,780 gal)</t>
        </is>
      </c>
      <c r="G5844" s="12" t="inlineStr">
        <is>
          <t>JB-LNG-T2-DI01</t>
        </is>
      </c>
      <c r="H5844" s="12" t="inlineStr">
        <is>
          <t>LNG 11: tank 2, Chart HS 50000 (51,780 gal)</t>
        </is>
      </c>
      <c r="I5844" s="12" t="inlineStr">
        <is>
          <t>Instrumentation</t>
        </is>
      </c>
      <c r="J5844" s="12" t="inlineStr">
        <is>
          <t>Instrumentation ITC / PLTC, IS, #18 shielded pairs, blue jacket</t>
        </is>
      </c>
      <c r="K5844" s="12" t="inlineStr">
        <is>
          <t>ITC|1 pr|16</t>
        </is>
      </c>
      <c r="L5844" s="12" t="inlineStr">
        <is>
          <t>1 pr</t>
        </is>
      </c>
      <c r="M5844" s="12" t="inlineStr">
        <is>
          <t>16</t>
        </is>
      </c>
      <c r="N5844" s="12" t="n">
        <v>4</v>
      </c>
      <c r="O5844" s="12" t="n">
        <v>1</v>
      </c>
      <c r="P5844" s="12" t="n"/>
      <c r="Q5844" s="12" t="n"/>
      <c r="R5844" s="12" t="n"/>
      <c r="S5844" s="12" t="inlineStr">
        <is>
          <t>Tray / conduit</t>
        </is>
      </c>
      <c r="T5844" s="16" t="n">
        <v>77</v>
      </c>
      <c r="U5844" s="16" t="n">
        <v>10</v>
      </c>
      <c r="V5844" s="16">
        <f>ROUNDUP((T5844+U5844+2*'Read Me'!$B$13)*(1+'Read Me'!$B$12),-1)</f>
        <v/>
      </c>
      <c r="W5844" s="16">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K-I-0106</t>
        </is>
      </c>
      <c r="B5845" s="12" t="inlineStr">
        <is>
          <t>K</t>
        </is>
      </c>
      <c r="C5845" s="12" t="inlineStr">
        <is>
          <t>Fuel supply (adjacent market)</t>
        </is>
      </c>
      <c r="D5845" s="12" t="inlineStr">
        <is>
          <t>Home run JB-LNG-T2-DI01 to the control / marshalling room</t>
        </is>
      </c>
      <c r="E5845" s="12" t="inlineStr"/>
      <c r="F5845" s="12" t="inlineStr">
        <is>
          <t>LNG 17: LNG e-house (13.8 kV / 480 V)</t>
        </is>
      </c>
      <c r="G5845" s="12" t="inlineStr">
        <is>
          <t>JB-LNG-T2-DI01</t>
        </is>
      </c>
      <c r="H5845" s="12" t="inlineStr">
        <is>
          <t>LNG 11: tank 2, Chart HS 50000 (51,780 gal)</t>
        </is>
      </c>
      <c r="I5845" s="12" t="inlineStr">
        <is>
          <t>Instrumentation</t>
        </is>
      </c>
      <c r="J5845" s="12" t="inlineStr">
        <is>
          <t>Instrumentation ITC / PLTC, IS, #18 shielded pairs, blue jacket</t>
        </is>
      </c>
      <c r="K5845" s="12" t="inlineStr">
        <is>
          <t>ITC|24 pr|18</t>
        </is>
      </c>
      <c r="L5845" s="12" t="inlineStr">
        <is>
          <t>24 pr</t>
        </is>
      </c>
      <c r="M5845" s="12" t="inlineStr">
        <is>
          <t>18</t>
        </is>
      </c>
      <c r="N5845" s="12" t="n">
        <v>1</v>
      </c>
      <c r="O5845" s="12" t="n">
        <v>1</v>
      </c>
      <c r="P5845" s="12" t="n"/>
      <c r="Q5845" s="12" t="n"/>
      <c r="R5845" s="12" t="n"/>
      <c r="S5845" s="12" t="inlineStr">
        <is>
          <t>Duct bank</t>
        </is>
      </c>
      <c r="T5845" s="16" t="n">
        <v>230</v>
      </c>
      <c r="U5845" s="16" t="n">
        <v>32</v>
      </c>
      <c r="V5845" s="16">
        <f>ROUNDUP((T5845+U5845+2*'Read Me'!$B$13)*(1+'Read Me'!$B$12),-1)</f>
        <v/>
      </c>
      <c r="W5845" s="16">
        <f>V5845*N5845*O5845</f>
        <v/>
      </c>
      <c r="X5845" s="12">
        <f>IF(LEFT(I5845,2)="MV",2*N5845*IF(L5845="1/C",O5845,1),0)</f>
        <v/>
      </c>
      <c r="Y5845" s="12">
        <f>IF(OR(LEFT(K5845,4)="LVAX",LEFT(K5845,6)="MV15AX",LEFT(K5845,4)="CTAX",LEFT(K5845,2)="W|"),2*N5845*O5845,0)</f>
        <v/>
      </c>
      <c r="Z5845" s="12" t="inlineStr"/>
      <c r="AA5845" s="12">
        <f>N5845*O5845</f>
        <v/>
      </c>
    </row>
    <row r="5846">
      <c r="A5846" s="12" t="inlineStr">
        <is>
          <t>K-I-0107</t>
        </is>
      </c>
      <c r="B5846" s="12" t="inlineStr">
        <is>
          <t>K</t>
        </is>
      </c>
      <c r="C5846" s="12" t="inlineStr">
        <is>
          <t>Fuel supply (adjacent market)</t>
        </is>
      </c>
      <c r="D5846" s="12" t="inlineStr">
        <is>
          <t>Analog instrument to JB JB-LNG-T3-AI01: 4 x 1 pr (field cables)</t>
        </is>
      </c>
      <c r="E5846" s="12" t="inlineStr">
        <is>
          <t>LNG-T3</t>
        </is>
      </c>
      <c r="F5846" s="12" t="inlineStr">
        <is>
          <t>LNG 11: tank 3, Chart HS 50000 (51,780 gal)</t>
        </is>
      </c>
      <c r="G5846" s="12" t="inlineStr">
        <is>
          <t>JB-LNG-T3-AI01</t>
        </is>
      </c>
      <c r="H5846" s="12" t="inlineStr">
        <is>
          <t>LNG 11: tank 3, Chart HS 50000 (51,780 gal)</t>
        </is>
      </c>
      <c r="I5846" s="12" t="inlineStr">
        <is>
          <t>Instrumentation</t>
        </is>
      </c>
      <c r="J5846" s="12" t="inlineStr">
        <is>
          <t>Instrumentation ITC / PLTC, IS, #18 shielded pairs, blue jacket</t>
        </is>
      </c>
      <c r="K5846" s="12" t="inlineStr">
        <is>
          <t>ITC|1 pr|16</t>
        </is>
      </c>
      <c r="L5846" s="12" t="inlineStr">
        <is>
          <t>1 pr</t>
        </is>
      </c>
      <c r="M5846" s="12" t="inlineStr">
        <is>
          <t>16</t>
        </is>
      </c>
      <c r="N5846" s="12" t="n">
        <v>4</v>
      </c>
      <c r="O5846" s="12" t="n">
        <v>1</v>
      </c>
      <c r="P5846" s="12" t="n"/>
      <c r="Q5846" s="12" t="n"/>
      <c r="R5846" s="12" t="n"/>
      <c r="S5846" s="12" t="inlineStr">
        <is>
          <t>Tray / conduit</t>
        </is>
      </c>
      <c r="T5846" s="16" t="n">
        <v>77</v>
      </c>
      <c r="U5846" s="16" t="n">
        <v>10</v>
      </c>
      <c r="V5846" s="16">
        <f>ROUNDUP((T5846+U5846+2*'Read Me'!$B$13)*(1+'Read Me'!$B$12),-1)</f>
        <v/>
      </c>
      <c r="W5846" s="16">
        <f>V5846*N5846*O5846</f>
        <v/>
      </c>
      <c r="X5846" s="12">
        <f>IF(LEFT(I5846,2)="MV",2*N5846*IF(L5846="1/C",O5846,1),0)</f>
        <v/>
      </c>
      <c r="Y5846" s="12">
        <f>IF(OR(LEFT(K5846,4)="LVAX",LEFT(K5846,6)="MV15AX",LEFT(K5846,4)="CTAX",LEFT(K5846,2)="W|"),2*N5846*O5846,0)</f>
        <v/>
      </c>
      <c r="Z5846" s="12" t="inlineStr">
        <is>
          <t>device-to-JB field wiring, one cable per device</t>
        </is>
      </c>
      <c r="AA5846" s="12">
        <f>N5846*O5846</f>
        <v/>
      </c>
    </row>
    <row r="5847">
      <c r="A5847" s="12" t="inlineStr">
        <is>
          <t>K-I-0108</t>
        </is>
      </c>
      <c r="B5847" s="12" t="inlineStr">
        <is>
          <t>K</t>
        </is>
      </c>
      <c r="C5847" s="12" t="inlineStr">
        <is>
          <t>Fuel supply (adjacent market)</t>
        </is>
      </c>
      <c r="D5847" s="12" t="inlineStr">
        <is>
          <t>Home run JB-LNG-T3-AI01 to the control / marshalling room</t>
        </is>
      </c>
      <c r="E5847" s="12" t="inlineStr"/>
      <c r="F5847" s="12" t="inlineStr">
        <is>
          <t>LNG 17: LNG e-house (13.8 kV / 480 V)</t>
        </is>
      </c>
      <c r="G5847" s="12" t="inlineStr">
        <is>
          <t>JB-LNG-T3-AI01</t>
        </is>
      </c>
      <c r="H5847" s="12" t="inlineStr">
        <is>
          <t>LNG 11: tank 3, Chart HS 50000 (51,780 gal)</t>
        </is>
      </c>
      <c r="I5847" s="12" t="inlineStr">
        <is>
          <t>Instrumentation</t>
        </is>
      </c>
      <c r="J5847" s="12" t="inlineStr">
        <is>
          <t>Instrumentation ITC / PLTC, IS, #18 shielded pairs, blue jacket</t>
        </is>
      </c>
      <c r="K5847" s="12" t="inlineStr">
        <is>
          <t>ITC|24 pr|18</t>
        </is>
      </c>
      <c r="L5847" s="12" t="inlineStr">
        <is>
          <t>24 pr</t>
        </is>
      </c>
      <c r="M5847" s="12" t="inlineStr">
        <is>
          <t>18</t>
        </is>
      </c>
      <c r="N5847" s="12" t="n">
        <v>1</v>
      </c>
      <c r="O5847" s="12" t="n">
        <v>1</v>
      </c>
      <c r="P5847" s="12" t="n"/>
      <c r="Q5847" s="12" t="n"/>
      <c r="R5847" s="12" t="n"/>
      <c r="S5847" s="12" t="inlineStr">
        <is>
          <t>Duct bank</t>
        </is>
      </c>
      <c r="T5847" s="16" t="n">
        <v>250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c r="AA5847" s="12">
        <f>N5847*O5847</f>
        <v/>
      </c>
    </row>
    <row r="5848">
      <c r="A5848" s="12" t="inlineStr">
        <is>
          <t>K-I-0109</t>
        </is>
      </c>
      <c r="B5848" s="12" t="inlineStr">
        <is>
          <t>K</t>
        </is>
      </c>
      <c r="C5848" s="12" t="inlineStr">
        <is>
          <t>Fuel supply (adjacent market)</t>
        </is>
      </c>
      <c r="D5848" s="12" t="inlineStr">
        <is>
          <t>Discrete device to JB JB-LNG-T3-DI01: 4 x 1 pr (field cables)</t>
        </is>
      </c>
      <c r="E5848" s="12" t="inlineStr">
        <is>
          <t>LNG-T3</t>
        </is>
      </c>
      <c r="F5848" s="12" t="inlineStr">
        <is>
          <t>LNG 11: tank 3, Chart HS 50000 (51,780 gal)</t>
        </is>
      </c>
      <c r="G5848" s="12" t="inlineStr">
        <is>
          <t>JB-LNG-T3-DI01</t>
        </is>
      </c>
      <c r="H5848" s="12" t="inlineStr">
        <is>
          <t>LNG 11: tank 3, Chart HS 50000 (51,780 gal)</t>
        </is>
      </c>
      <c r="I5848" s="12" t="inlineStr">
        <is>
          <t>Instrumentation</t>
        </is>
      </c>
      <c r="J5848" s="12" t="inlineStr">
        <is>
          <t>Instrumentation ITC / PLTC, IS, #18 shielded pairs, blue jacket</t>
        </is>
      </c>
      <c r="K5848" s="12" t="inlineStr">
        <is>
          <t>ITC|1 pr|16</t>
        </is>
      </c>
      <c r="L5848" s="12" t="inlineStr">
        <is>
          <t>1 pr</t>
        </is>
      </c>
      <c r="M5848" s="12" t="inlineStr">
        <is>
          <t>16</t>
        </is>
      </c>
      <c r="N5848" s="12" t="n">
        <v>4</v>
      </c>
      <c r="O5848" s="12" t="n">
        <v>1</v>
      </c>
      <c r="P5848" s="12" t="n"/>
      <c r="Q5848" s="12" t="n"/>
      <c r="R5848" s="12" t="n"/>
      <c r="S5848" s="12" t="inlineStr">
        <is>
          <t>Tray / conduit</t>
        </is>
      </c>
      <c r="T5848" s="16" t="n">
        <v>77</v>
      </c>
      <c r="U5848" s="16" t="n">
        <v>10</v>
      </c>
      <c r="V5848" s="16">
        <f>ROUNDUP((T5848+U5848+2*'Read Me'!$B$13)*(1+'Read Me'!$B$12),-1)</f>
        <v/>
      </c>
      <c r="W5848" s="16">
        <f>V5848*N5848*O5848</f>
        <v/>
      </c>
      <c r="X5848" s="12">
        <f>IF(LEFT(I5848,2)="MV",2*N5848*IF(L5848="1/C",O5848,1),0)</f>
        <v/>
      </c>
      <c r="Y5848" s="12">
        <f>IF(OR(LEFT(K5848,4)="LVAX",LEFT(K5848,6)="MV15AX",LEFT(K5848,4)="CTAX",LEFT(K5848,2)="W|"),2*N5848*O5848,0)</f>
        <v/>
      </c>
      <c r="Z5848" s="12" t="inlineStr">
        <is>
          <t>device-to-JB field wiring, one cable per device</t>
        </is>
      </c>
      <c r="AA5848" s="12">
        <f>N5848*O5848</f>
        <v/>
      </c>
    </row>
    <row r="5849">
      <c r="A5849" s="12" t="inlineStr">
        <is>
          <t>K-I-0110</t>
        </is>
      </c>
      <c r="B5849" s="12" t="inlineStr">
        <is>
          <t>K</t>
        </is>
      </c>
      <c r="C5849" s="12" t="inlineStr">
        <is>
          <t>Fuel supply (adjacent market)</t>
        </is>
      </c>
      <c r="D5849" s="12" t="inlineStr">
        <is>
          <t>Home run JB-LNG-T3-DI01 to the control / marshalling room</t>
        </is>
      </c>
      <c r="E5849" s="12" t="inlineStr"/>
      <c r="F5849" s="12" t="inlineStr">
        <is>
          <t>LNG 17: LNG e-house (13.8 kV / 480 V)</t>
        </is>
      </c>
      <c r="G5849" s="12" t="inlineStr">
        <is>
          <t>JB-LNG-T3-DI01</t>
        </is>
      </c>
      <c r="H5849" s="12" t="inlineStr">
        <is>
          <t>LNG 11: tank 3, Chart HS 50000 (51,780 gal)</t>
        </is>
      </c>
      <c r="I5849" s="12" t="inlineStr">
        <is>
          <t>Instrumentation</t>
        </is>
      </c>
      <c r="J5849" s="12" t="inlineStr">
        <is>
          <t>Instrumentation ITC / PLTC, IS, #18 shielded pairs, blue jacket</t>
        </is>
      </c>
      <c r="K5849" s="12" t="inlineStr">
        <is>
          <t>ITC|24 pr|18</t>
        </is>
      </c>
      <c r="L5849" s="12" t="inlineStr">
        <is>
          <t>24 pr</t>
        </is>
      </c>
      <c r="M5849" s="12" t="inlineStr">
        <is>
          <t>18</t>
        </is>
      </c>
      <c r="N5849" s="12" t="n">
        <v>1</v>
      </c>
      <c r="O5849" s="12" t="n">
        <v>1</v>
      </c>
      <c r="P5849" s="12" t="n"/>
      <c r="Q5849" s="12" t="n"/>
      <c r="R5849" s="12" t="n"/>
      <c r="S5849" s="12" t="inlineStr">
        <is>
          <t>Duct bank</t>
        </is>
      </c>
      <c r="T5849" s="16" t="n">
        <v>250</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c r="AA5849" s="12">
        <f>N5849*O5849</f>
        <v/>
      </c>
    </row>
    <row r="5850">
      <c r="A5850" s="12" t="inlineStr">
        <is>
          <t>K-I-0111</t>
        </is>
      </c>
      <c r="B5850" s="12" t="inlineStr">
        <is>
          <t>K</t>
        </is>
      </c>
      <c r="C5850" s="12" t="inlineStr">
        <is>
          <t>Fuel supply (adjacent market)</t>
        </is>
      </c>
      <c r="D5850" s="12" t="inlineStr">
        <is>
          <t>Analog instrument to JB JB-LNG-T4-AI01: 4 x 1 pr (field cables)</t>
        </is>
      </c>
      <c r="E5850" s="12" t="inlineStr">
        <is>
          <t>LNG-T4</t>
        </is>
      </c>
      <c r="F5850" s="12" t="inlineStr">
        <is>
          <t>LNG 11: tank 4, Chart HS 50000 (51,780 gal)</t>
        </is>
      </c>
      <c r="G5850" s="12" t="inlineStr">
        <is>
          <t>JB-LNG-T4-AI01</t>
        </is>
      </c>
      <c r="H5850" s="12" t="inlineStr">
        <is>
          <t>LNG 11: tank 4, Chart HS 50000 (51,780 gal)</t>
        </is>
      </c>
      <c r="I5850" s="12" t="inlineStr">
        <is>
          <t>Instrumentation</t>
        </is>
      </c>
      <c r="J5850" s="12" t="inlineStr">
        <is>
          <t>Instrumentation ITC / PLTC, IS, #18 shielded pairs, blue jacket</t>
        </is>
      </c>
      <c r="K5850" s="12" t="inlineStr">
        <is>
          <t>ITC|1 pr|16</t>
        </is>
      </c>
      <c r="L5850" s="12" t="inlineStr">
        <is>
          <t>1 pr</t>
        </is>
      </c>
      <c r="M5850" s="12" t="inlineStr">
        <is>
          <t>16</t>
        </is>
      </c>
      <c r="N5850" s="12" t="n">
        <v>4</v>
      </c>
      <c r="O5850" s="12" t="n">
        <v>1</v>
      </c>
      <c r="P5850" s="12" t="n"/>
      <c r="Q5850" s="12" t="n"/>
      <c r="R5850" s="12" t="n"/>
      <c r="S5850" s="12" t="inlineStr">
        <is>
          <t>Tray / conduit</t>
        </is>
      </c>
      <c r="T5850" s="16" t="n">
        <v>77</v>
      </c>
      <c r="U5850" s="16" t="n">
        <v>10</v>
      </c>
      <c r="V5850" s="16">
        <f>ROUNDUP((T5850+U5850+2*'Read Me'!$B$13)*(1+'Read Me'!$B$12),-1)</f>
        <v/>
      </c>
      <c r="W5850" s="16">
        <f>V5850*N5850*O5850</f>
        <v/>
      </c>
      <c r="X5850" s="12">
        <f>IF(LEFT(I5850,2)="MV",2*N5850*IF(L5850="1/C",O5850,1),0)</f>
        <v/>
      </c>
      <c r="Y5850" s="12">
        <f>IF(OR(LEFT(K5850,4)="LVAX",LEFT(K5850,6)="MV15AX",LEFT(K5850,4)="CTAX",LEFT(K5850,2)="W|"),2*N5850*O5850,0)</f>
        <v/>
      </c>
      <c r="Z5850" s="12" t="inlineStr">
        <is>
          <t>device-to-JB field wiring, one cable per device</t>
        </is>
      </c>
      <c r="AA5850" s="12">
        <f>N5850*O5850</f>
        <v/>
      </c>
    </row>
    <row r="5851">
      <c r="A5851" s="12" t="inlineStr">
        <is>
          <t>K-I-0112</t>
        </is>
      </c>
      <c r="B5851" s="12" t="inlineStr">
        <is>
          <t>K</t>
        </is>
      </c>
      <c r="C5851" s="12" t="inlineStr">
        <is>
          <t>Fuel supply (adjacent market)</t>
        </is>
      </c>
      <c r="D5851" s="12" t="inlineStr">
        <is>
          <t>Home run JB-LNG-T4-AI01 to the control / marshalling room</t>
        </is>
      </c>
      <c r="E5851" s="12" t="inlineStr"/>
      <c r="F5851" s="12" t="inlineStr">
        <is>
          <t>LNG 17: LNG e-house (13.8 kV / 480 V)</t>
        </is>
      </c>
      <c r="G5851" s="12" t="inlineStr">
        <is>
          <t>JB-LNG-T4-AI01</t>
        </is>
      </c>
      <c r="H5851" s="12" t="inlineStr">
        <is>
          <t>LNG 11: tank 4, Chart HS 50000 (51,780 gal)</t>
        </is>
      </c>
      <c r="I5851" s="12" t="inlineStr">
        <is>
          <t>Instrumentation</t>
        </is>
      </c>
      <c r="J5851" s="12" t="inlineStr">
        <is>
          <t>Instrumentation ITC / PLTC, IS, #18 shielded pairs, blue jacket</t>
        </is>
      </c>
      <c r="K5851" s="12" t="inlineStr">
        <is>
          <t>ITC|24 pr|18</t>
        </is>
      </c>
      <c r="L5851" s="12" t="inlineStr">
        <is>
          <t>24 pr</t>
        </is>
      </c>
      <c r="M5851" s="12" t="inlineStr">
        <is>
          <t>18</t>
        </is>
      </c>
      <c r="N5851" s="12" t="n">
        <v>1</v>
      </c>
      <c r="O5851" s="12" t="n">
        <v>1</v>
      </c>
      <c r="P5851" s="12" t="n"/>
      <c r="Q5851" s="12" t="n"/>
      <c r="R5851" s="12" t="n"/>
      <c r="S5851" s="12" t="inlineStr">
        <is>
          <t>Duct bank</t>
        </is>
      </c>
      <c r="T5851" s="16" t="n">
        <v>270</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c r="AA5851" s="12">
        <f>N5851*O5851</f>
        <v/>
      </c>
    </row>
    <row r="5852">
      <c r="A5852" s="12" t="inlineStr">
        <is>
          <t>K-I-0113</t>
        </is>
      </c>
      <c r="B5852" s="12" t="inlineStr">
        <is>
          <t>K</t>
        </is>
      </c>
      <c r="C5852" s="12" t="inlineStr">
        <is>
          <t>Fuel supply (adjacent market)</t>
        </is>
      </c>
      <c r="D5852" s="12" t="inlineStr">
        <is>
          <t>Discrete device to JB JB-LNG-T4-DI01: 4 x 1 pr (field cables)</t>
        </is>
      </c>
      <c r="E5852" s="12" t="inlineStr">
        <is>
          <t>LNG-T4</t>
        </is>
      </c>
      <c r="F5852" s="12" t="inlineStr">
        <is>
          <t>LNG 11: tank 4, Chart HS 50000 (51,780 gal)</t>
        </is>
      </c>
      <c r="G5852" s="12" t="inlineStr">
        <is>
          <t>JB-LNG-T4-DI01</t>
        </is>
      </c>
      <c r="H5852" s="12" t="inlineStr">
        <is>
          <t>LNG 11: tank 4, Chart HS 50000 (51,780 gal)</t>
        </is>
      </c>
      <c r="I5852" s="12" t="inlineStr">
        <is>
          <t>Instrumentation</t>
        </is>
      </c>
      <c r="J5852" s="12" t="inlineStr">
        <is>
          <t>Instrumentation ITC / PLTC, IS, #18 shielded pairs, blue jacket</t>
        </is>
      </c>
      <c r="K5852" s="12" t="inlineStr">
        <is>
          <t>ITC|1 pr|16</t>
        </is>
      </c>
      <c r="L5852" s="12" t="inlineStr">
        <is>
          <t>1 pr</t>
        </is>
      </c>
      <c r="M5852" s="12" t="inlineStr">
        <is>
          <t>16</t>
        </is>
      </c>
      <c r="N5852" s="12" t="n">
        <v>4</v>
      </c>
      <c r="O5852" s="12" t="n">
        <v>1</v>
      </c>
      <c r="P5852" s="12" t="n"/>
      <c r="Q5852" s="12" t="n"/>
      <c r="R5852" s="12" t="n"/>
      <c r="S5852" s="12" t="inlineStr">
        <is>
          <t>Tray / conduit</t>
        </is>
      </c>
      <c r="T5852" s="16" t="n">
        <v>77</v>
      </c>
      <c r="U5852" s="16" t="n">
        <v>10</v>
      </c>
      <c r="V5852" s="16">
        <f>ROUNDUP((T5852+U5852+2*'Read Me'!$B$13)*(1+'Read Me'!$B$12),-1)</f>
        <v/>
      </c>
      <c r="W5852" s="16">
        <f>V5852*N5852*O5852</f>
        <v/>
      </c>
      <c r="X5852" s="12">
        <f>IF(LEFT(I5852,2)="MV",2*N5852*IF(L5852="1/C",O5852,1),0)</f>
        <v/>
      </c>
      <c r="Y5852" s="12">
        <f>IF(OR(LEFT(K5852,4)="LVAX",LEFT(K5852,6)="MV15AX",LEFT(K5852,4)="CTAX",LEFT(K5852,2)="W|"),2*N5852*O5852,0)</f>
        <v/>
      </c>
      <c r="Z5852" s="12" t="inlineStr">
        <is>
          <t>device-to-JB field wiring, one cable per device</t>
        </is>
      </c>
      <c r="AA5852" s="12">
        <f>N5852*O5852</f>
        <v/>
      </c>
    </row>
    <row r="5853">
      <c r="A5853" s="12" t="inlineStr">
        <is>
          <t>K-I-0114</t>
        </is>
      </c>
      <c r="B5853" s="12" t="inlineStr">
        <is>
          <t>K</t>
        </is>
      </c>
      <c r="C5853" s="12" t="inlineStr">
        <is>
          <t>Fuel supply (adjacent market)</t>
        </is>
      </c>
      <c r="D5853" s="12" t="inlineStr">
        <is>
          <t>Home run JB-LNG-T4-DI01 to the control / marshalling room</t>
        </is>
      </c>
      <c r="E5853" s="12" t="inlineStr"/>
      <c r="F5853" s="12" t="inlineStr">
        <is>
          <t>LNG 17: LNG e-house (13.8 kV / 480 V)</t>
        </is>
      </c>
      <c r="G5853" s="12" t="inlineStr">
        <is>
          <t>JB-LNG-T4-DI01</t>
        </is>
      </c>
      <c r="H5853" s="12" t="inlineStr">
        <is>
          <t>LNG 11: tank 4, Chart HS 50000 (51,780 gal)</t>
        </is>
      </c>
      <c r="I5853" s="12" t="inlineStr">
        <is>
          <t>Instrumentation</t>
        </is>
      </c>
      <c r="J5853" s="12" t="inlineStr">
        <is>
          <t>Instrumentation ITC / PLTC, IS, #18 shielded pairs, blue jacket</t>
        </is>
      </c>
      <c r="K5853" s="12" t="inlineStr">
        <is>
          <t>ITC|24 pr|18</t>
        </is>
      </c>
      <c r="L5853" s="12" t="inlineStr">
        <is>
          <t>24 pr</t>
        </is>
      </c>
      <c r="M5853" s="12" t="inlineStr">
        <is>
          <t>18</t>
        </is>
      </c>
      <c r="N5853" s="12" t="n">
        <v>1</v>
      </c>
      <c r="O5853" s="12" t="n">
        <v>1</v>
      </c>
      <c r="P5853" s="12" t="n"/>
      <c r="Q5853" s="12" t="n"/>
      <c r="R5853" s="12" t="n"/>
      <c r="S5853" s="12" t="inlineStr">
        <is>
          <t>Duct bank</t>
        </is>
      </c>
      <c r="T5853" s="16" t="n">
        <v>270</v>
      </c>
      <c r="U5853" s="16" t="n">
        <v>32</v>
      </c>
      <c r="V5853" s="16">
        <f>ROUNDUP((T5853+U5853+2*'Read Me'!$B$13)*(1+'Read Me'!$B$12),-1)</f>
        <v/>
      </c>
      <c r="W5853" s="16">
        <f>V5853*N5853*O5853</f>
        <v/>
      </c>
      <c r="X5853" s="12">
        <f>IF(LEFT(I5853,2)="MV",2*N5853*IF(L5853="1/C",O5853,1),0)</f>
        <v/>
      </c>
      <c r="Y5853" s="12">
        <f>IF(OR(LEFT(K5853,4)="LVAX",LEFT(K5853,6)="MV15AX",LEFT(K5853,4)="CTAX",LEFT(K5853,2)="W|"),2*N5853*O5853,0)</f>
        <v/>
      </c>
      <c r="Z5853" s="12" t="inlineStr"/>
      <c r="AA5853" s="12">
        <f>N5853*O5853</f>
        <v/>
      </c>
    </row>
    <row r="5854">
      <c r="A5854" s="12" t="inlineStr">
        <is>
          <t>K-I-0115</t>
        </is>
      </c>
      <c r="B5854" s="12" t="inlineStr">
        <is>
          <t>K</t>
        </is>
      </c>
      <c r="C5854" s="12" t="inlineStr">
        <is>
          <t>Fuel supply (adjacent market)</t>
        </is>
      </c>
      <c r="D5854" s="12" t="inlineStr">
        <is>
          <t>Analog instrument to JB JB-LNG-T5-AI01: 4 x 1 pr (field cables)</t>
        </is>
      </c>
      <c r="E5854" s="12" t="inlineStr">
        <is>
          <t>LNG-T5</t>
        </is>
      </c>
      <c r="F5854" s="12" t="inlineStr">
        <is>
          <t>LNG 11: tank 5, Chart HS 50000 (51,780 gal)</t>
        </is>
      </c>
      <c r="G5854" s="12" t="inlineStr">
        <is>
          <t>JB-LNG-T5-AI01</t>
        </is>
      </c>
      <c r="H5854" s="12" t="inlineStr">
        <is>
          <t>LNG 11: tank 5, Chart HS 50000 (51,780 gal)</t>
        </is>
      </c>
      <c r="I5854" s="12" t="inlineStr">
        <is>
          <t>Instrumentation</t>
        </is>
      </c>
      <c r="J5854" s="12" t="inlineStr">
        <is>
          <t>Instrumentation ITC / PLTC, IS, #18 shielded pairs, blue jacket</t>
        </is>
      </c>
      <c r="K5854" s="12" t="inlineStr">
        <is>
          <t>ITC|1 pr|16</t>
        </is>
      </c>
      <c r="L5854" s="12" t="inlineStr">
        <is>
          <t>1 pr</t>
        </is>
      </c>
      <c r="M5854" s="12" t="inlineStr">
        <is>
          <t>16</t>
        </is>
      </c>
      <c r="N5854" s="12" t="n">
        <v>4</v>
      </c>
      <c r="O5854" s="12" t="n">
        <v>1</v>
      </c>
      <c r="P5854" s="12" t="n"/>
      <c r="Q5854" s="12" t="n"/>
      <c r="R5854" s="12" t="n"/>
      <c r="S5854" s="12" t="inlineStr">
        <is>
          <t>Tray / conduit</t>
        </is>
      </c>
      <c r="T5854" s="16" t="n">
        <v>77</v>
      </c>
      <c r="U5854" s="16" t="n">
        <v>10</v>
      </c>
      <c r="V5854" s="16">
        <f>ROUNDUP((T5854+U5854+2*'Read Me'!$B$13)*(1+'Read Me'!$B$12),-1)</f>
        <v/>
      </c>
      <c r="W5854" s="16">
        <f>V5854*N5854*O5854</f>
        <v/>
      </c>
      <c r="X5854" s="12">
        <f>IF(LEFT(I5854,2)="MV",2*N5854*IF(L5854="1/C",O5854,1),0)</f>
        <v/>
      </c>
      <c r="Y5854" s="12">
        <f>IF(OR(LEFT(K5854,4)="LVAX",LEFT(K5854,6)="MV15AX",LEFT(K5854,4)="CTAX",LEFT(K5854,2)="W|"),2*N5854*O5854,0)</f>
        <v/>
      </c>
      <c r="Z5854" s="12" t="inlineStr">
        <is>
          <t>device-to-JB field wiring, one cable per device</t>
        </is>
      </c>
      <c r="AA5854" s="12">
        <f>N5854*O5854</f>
        <v/>
      </c>
    </row>
    <row r="5855">
      <c r="A5855" s="12" t="inlineStr">
        <is>
          <t>K-I-0116</t>
        </is>
      </c>
      <c r="B5855" s="12" t="inlineStr">
        <is>
          <t>K</t>
        </is>
      </c>
      <c r="C5855" s="12" t="inlineStr">
        <is>
          <t>Fuel supply (adjacent market)</t>
        </is>
      </c>
      <c r="D5855" s="12" t="inlineStr">
        <is>
          <t>Home run JB-LNG-T5-AI01 to the control / marshalling room</t>
        </is>
      </c>
      <c r="E5855" s="12" t="inlineStr"/>
      <c r="F5855" s="12" t="inlineStr">
        <is>
          <t>LNG 17: LNG e-house (13.8 kV / 480 V)</t>
        </is>
      </c>
      <c r="G5855" s="12" t="inlineStr">
        <is>
          <t>JB-LNG-T5-AI01</t>
        </is>
      </c>
      <c r="H5855" s="12" t="inlineStr">
        <is>
          <t>LNG 11: tank 5, Chart HS 50000 (51,780 gal)</t>
        </is>
      </c>
      <c r="I5855" s="12" t="inlineStr">
        <is>
          <t>Instrumentation</t>
        </is>
      </c>
      <c r="J5855" s="12" t="inlineStr">
        <is>
          <t>Instrumentation ITC / PLTC, IS, #18 shielded pairs, blue jacket</t>
        </is>
      </c>
      <c r="K5855" s="12" t="inlineStr">
        <is>
          <t>ITC|24 pr|18</t>
        </is>
      </c>
      <c r="L5855" s="12" t="inlineStr">
        <is>
          <t>24 pr</t>
        </is>
      </c>
      <c r="M5855" s="12" t="inlineStr">
        <is>
          <t>18</t>
        </is>
      </c>
      <c r="N5855" s="12" t="n">
        <v>1</v>
      </c>
      <c r="O5855" s="12" t="n">
        <v>1</v>
      </c>
      <c r="P5855" s="12" t="n"/>
      <c r="Q5855" s="12" t="n"/>
      <c r="R5855" s="12" t="n"/>
      <c r="S5855" s="12" t="inlineStr">
        <is>
          <t>Duct bank</t>
        </is>
      </c>
      <c r="T5855" s="16" t="n">
        <v>290</v>
      </c>
      <c r="U5855" s="16" t="n">
        <v>32</v>
      </c>
      <c r="V5855" s="16">
        <f>ROUNDUP((T5855+U5855+2*'Read Me'!$B$13)*(1+'Read Me'!$B$12),-1)</f>
        <v/>
      </c>
      <c r="W5855" s="16">
        <f>V5855*N5855*O5855</f>
        <v/>
      </c>
      <c r="X5855" s="12">
        <f>IF(LEFT(I5855,2)="MV",2*N5855*IF(L5855="1/C",O5855,1),0)</f>
        <v/>
      </c>
      <c r="Y5855" s="12">
        <f>IF(OR(LEFT(K5855,4)="LVAX",LEFT(K5855,6)="MV15AX",LEFT(K5855,4)="CTAX",LEFT(K5855,2)="W|"),2*N5855*O5855,0)</f>
        <v/>
      </c>
      <c r="Z5855" s="12" t="inlineStr"/>
      <c r="AA5855" s="12">
        <f>N5855*O5855</f>
        <v/>
      </c>
    </row>
    <row r="5856">
      <c r="A5856" s="12" t="inlineStr">
        <is>
          <t>K-I-0117</t>
        </is>
      </c>
      <c r="B5856" s="12" t="inlineStr">
        <is>
          <t>K</t>
        </is>
      </c>
      <c r="C5856" s="12" t="inlineStr">
        <is>
          <t>Fuel supply (adjacent market)</t>
        </is>
      </c>
      <c r="D5856" s="12" t="inlineStr">
        <is>
          <t>Discrete device to JB JB-LNG-T5-DI01: 4 x 1 pr (field cables)</t>
        </is>
      </c>
      <c r="E5856" s="12" t="inlineStr">
        <is>
          <t>LNG-T5</t>
        </is>
      </c>
      <c r="F5856" s="12" t="inlineStr">
        <is>
          <t>LNG 11: tank 5, Chart HS 50000 (51,780 gal)</t>
        </is>
      </c>
      <c r="G5856" s="12" t="inlineStr">
        <is>
          <t>JB-LNG-T5-DI01</t>
        </is>
      </c>
      <c r="H5856" s="12" t="inlineStr">
        <is>
          <t>LNG 11: tank 5, Chart HS 50000 (51,780 gal)</t>
        </is>
      </c>
      <c r="I5856" s="12" t="inlineStr">
        <is>
          <t>Instrumentation</t>
        </is>
      </c>
      <c r="J5856" s="12" t="inlineStr">
        <is>
          <t>Instrumentation ITC / PLTC, IS, #18 shielded pairs, blue jacket</t>
        </is>
      </c>
      <c r="K5856" s="12" t="inlineStr">
        <is>
          <t>ITC|1 pr|16</t>
        </is>
      </c>
      <c r="L5856" s="12" t="inlineStr">
        <is>
          <t>1 pr</t>
        </is>
      </c>
      <c r="M5856" s="12" t="inlineStr">
        <is>
          <t>16</t>
        </is>
      </c>
      <c r="N5856" s="12" t="n">
        <v>4</v>
      </c>
      <c r="O5856" s="12" t="n">
        <v>1</v>
      </c>
      <c r="P5856" s="12" t="n"/>
      <c r="Q5856" s="12" t="n"/>
      <c r="R5856" s="12" t="n"/>
      <c r="S5856" s="12" t="inlineStr">
        <is>
          <t>Tray / conduit</t>
        </is>
      </c>
      <c r="T5856" s="16" t="n">
        <v>77</v>
      </c>
      <c r="U5856" s="16" t="n">
        <v>10</v>
      </c>
      <c r="V5856" s="16">
        <f>ROUNDUP((T5856+U5856+2*'Read Me'!$B$13)*(1+'Read Me'!$B$12),-1)</f>
        <v/>
      </c>
      <c r="W5856" s="16">
        <f>V5856*N5856*O5856</f>
        <v/>
      </c>
      <c r="X5856" s="12">
        <f>IF(LEFT(I5856,2)="MV",2*N5856*IF(L5856="1/C",O5856,1),0)</f>
        <v/>
      </c>
      <c r="Y5856" s="12">
        <f>IF(OR(LEFT(K5856,4)="LVAX",LEFT(K5856,6)="MV15AX",LEFT(K5856,4)="CTAX",LEFT(K5856,2)="W|"),2*N5856*O5856,0)</f>
        <v/>
      </c>
      <c r="Z5856" s="12" t="inlineStr">
        <is>
          <t>device-to-JB field wiring, one cable per device</t>
        </is>
      </c>
      <c r="AA5856" s="12">
        <f>N5856*O5856</f>
        <v/>
      </c>
    </row>
    <row r="5857">
      <c r="A5857" s="12" t="inlineStr">
        <is>
          <t>K-I-0118</t>
        </is>
      </c>
      <c r="B5857" s="12" t="inlineStr">
        <is>
          <t>K</t>
        </is>
      </c>
      <c r="C5857" s="12" t="inlineStr">
        <is>
          <t>Fuel supply (adjacent market)</t>
        </is>
      </c>
      <c r="D5857" s="12" t="inlineStr">
        <is>
          <t>Home run JB-LNG-T5-DI01 to the control / marshalling room</t>
        </is>
      </c>
      <c r="E5857" s="12" t="inlineStr"/>
      <c r="F5857" s="12" t="inlineStr">
        <is>
          <t>LNG 17: LNG e-house (13.8 kV / 480 V)</t>
        </is>
      </c>
      <c r="G5857" s="12" t="inlineStr">
        <is>
          <t>JB-LNG-T5-DI01</t>
        </is>
      </c>
      <c r="H5857" s="12" t="inlineStr">
        <is>
          <t>LNG 11: tank 5, Chart HS 50000 (51,780 gal)</t>
        </is>
      </c>
      <c r="I5857" s="12" t="inlineStr">
        <is>
          <t>Instrumentation</t>
        </is>
      </c>
      <c r="J5857" s="12" t="inlineStr">
        <is>
          <t>Instrumentation ITC / PLTC, IS, #18 shielded pairs, blue jacket</t>
        </is>
      </c>
      <c r="K5857" s="12" t="inlineStr">
        <is>
          <t>ITC|24 pr|18</t>
        </is>
      </c>
      <c r="L5857" s="12" t="inlineStr">
        <is>
          <t>24 pr</t>
        </is>
      </c>
      <c r="M5857" s="12" t="inlineStr">
        <is>
          <t>18</t>
        </is>
      </c>
      <c r="N5857" s="12" t="n">
        <v>1</v>
      </c>
      <c r="O5857" s="12" t="n">
        <v>1</v>
      </c>
      <c r="P5857" s="12" t="n"/>
      <c r="Q5857" s="12" t="n"/>
      <c r="R5857" s="12" t="n"/>
      <c r="S5857" s="12" t="inlineStr">
        <is>
          <t>Duct bank</t>
        </is>
      </c>
      <c r="T5857" s="16" t="n">
        <v>290</v>
      </c>
      <c r="U5857" s="16" t="n">
        <v>32</v>
      </c>
      <c r="V5857" s="16">
        <f>ROUNDUP((T5857+U5857+2*'Read Me'!$B$13)*(1+'Read Me'!$B$12),-1)</f>
        <v/>
      </c>
      <c r="W5857" s="16">
        <f>V5857*N5857*O5857</f>
        <v/>
      </c>
      <c r="X5857" s="12">
        <f>IF(LEFT(I5857,2)="MV",2*N5857*IF(L5857="1/C",O5857,1),0)</f>
        <v/>
      </c>
      <c r="Y5857" s="12">
        <f>IF(OR(LEFT(K5857,4)="LVAX",LEFT(K5857,6)="MV15AX",LEFT(K5857,4)="CTAX",LEFT(K5857,2)="W|"),2*N5857*O5857,0)</f>
        <v/>
      </c>
      <c r="Z5857" s="12" t="inlineStr"/>
      <c r="AA5857" s="12">
        <f>N5857*O5857</f>
        <v/>
      </c>
    </row>
    <row r="5858">
      <c r="A5858" s="12" t="inlineStr">
        <is>
          <t>K-I-0119</t>
        </is>
      </c>
      <c r="B5858" s="12" t="inlineStr">
        <is>
          <t>K</t>
        </is>
      </c>
      <c r="C5858" s="12" t="inlineStr">
        <is>
          <t>Fuel supply (adjacent market)</t>
        </is>
      </c>
      <c r="D5858" s="12" t="inlineStr">
        <is>
          <t>Analog instrument to JB JB-LNG-T6-AI01: 4 x 1 pr (field cables)</t>
        </is>
      </c>
      <c r="E5858" s="12" t="inlineStr">
        <is>
          <t>LNG-T6</t>
        </is>
      </c>
      <c r="F5858" s="12" t="inlineStr">
        <is>
          <t>LNG 11: tank 6, Chart HS 50000 (51,780 gal)</t>
        </is>
      </c>
      <c r="G5858" s="12" t="inlineStr">
        <is>
          <t>JB-LNG-T6-AI01</t>
        </is>
      </c>
      <c r="H5858" s="12" t="inlineStr">
        <is>
          <t>LNG 11: tank 6, Chart HS 50000 (51,780 gal)</t>
        </is>
      </c>
      <c r="I5858" s="12" t="inlineStr">
        <is>
          <t>Instrumentation</t>
        </is>
      </c>
      <c r="J5858" s="12" t="inlineStr">
        <is>
          <t>Instrumentation ITC / PLTC, IS, #18 shielded pairs, blue jacket</t>
        </is>
      </c>
      <c r="K5858" s="12" t="inlineStr">
        <is>
          <t>ITC|1 pr|16</t>
        </is>
      </c>
      <c r="L5858" s="12" t="inlineStr">
        <is>
          <t>1 pr</t>
        </is>
      </c>
      <c r="M5858" s="12" t="inlineStr">
        <is>
          <t>16</t>
        </is>
      </c>
      <c r="N5858" s="12" t="n">
        <v>4</v>
      </c>
      <c r="O5858" s="12" t="n">
        <v>1</v>
      </c>
      <c r="P5858" s="12" t="n"/>
      <c r="Q5858" s="12" t="n"/>
      <c r="R5858" s="12" t="n"/>
      <c r="S5858" s="12" t="inlineStr">
        <is>
          <t>Tray / conduit</t>
        </is>
      </c>
      <c r="T5858" s="16" t="n">
        <v>77</v>
      </c>
      <c r="U5858" s="16" t="n">
        <v>10</v>
      </c>
      <c r="V5858" s="16">
        <f>ROUNDUP((T5858+U5858+2*'Read Me'!$B$13)*(1+'Read Me'!$B$12),-1)</f>
        <v/>
      </c>
      <c r="W5858" s="16">
        <f>V5858*N5858*O5858</f>
        <v/>
      </c>
      <c r="X5858" s="12">
        <f>IF(LEFT(I5858,2)="MV",2*N5858*IF(L5858="1/C",O5858,1),0)</f>
        <v/>
      </c>
      <c r="Y5858" s="12">
        <f>IF(OR(LEFT(K5858,4)="LVAX",LEFT(K5858,6)="MV15AX",LEFT(K5858,4)="CTAX",LEFT(K5858,2)="W|"),2*N5858*O5858,0)</f>
        <v/>
      </c>
      <c r="Z5858" s="12" t="inlineStr">
        <is>
          <t>device-to-JB field wiring, one cable per device</t>
        </is>
      </c>
      <c r="AA5858" s="12">
        <f>N5858*O5858</f>
        <v/>
      </c>
    </row>
    <row r="5859">
      <c r="A5859" s="12" t="inlineStr">
        <is>
          <t>K-I-0120</t>
        </is>
      </c>
      <c r="B5859" s="12" t="inlineStr">
        <is>
          <t>K</t>
        </is>
      </c>
      <c r="C5859" s="12" t="inlineStr">
        <is>
          <t>Fuel supply (adjacent market)</t>
        </is>
      </c>
      <c r="D5859" s="12" t="inlineStr">
        <is>
          <t>Home run JB-LNG-T6-AI01 to the control / marshalling room</t>
        </is>
      </c>
      <c r="E5859" s="12" t="inlineStr"/>
      <c r="F5859" s="12" t="inlineStr">
        <is>
          <t>LNG 17: LNG e-house (13.8 kV / 480 V)</t>
        </is>
      </c>
      <c r="G5859" s="12" t="inlineStr">
        <is>
          <t>JB-LNG-T6-AI01</t>
        </is>
      </c>
      <c r="H5859" s="12" t="inlineStr">
        <is>
          <t>LNG 11: tank 6, Chart HS 50000 (51,780 gal)</t>
        </is>
      </c>
      <c r="I5859" s="12" t="inlineStr">
        <is>
          <t>Instrumentation</t>
        </is>
      </c>
      <c r="J5859" s="12" t="inlineStr">
        <is>
          <t>Instrumentation ITC / PLTC, IS, #18 shielded pairs, blue jacket</t>
        </is>
      </c>
      <c r="K5859" s="12" t="inlineStr">
        <is>
          <t>ITC|24 pr|18</t>
        </is>
      </c>
      <c r="L5859" s="12" t="inlineStr">
        <is>
          <t>24 pr</t>
        </is>
      </c>
      <c r="M5859" s="12" t="inlineStr">
        <is>
          <t>18</t>
        </is>
      </c>
      <c r="N5859" s="12" t="n">
        <v>1</v>
      </c>
      <c r="O5859" s="12" t="n">
        <v>1</v>
      </c>
      <c r="P5859" s="12" t="n"/>
      <c r="Q5859" s="12" t="n"/>
      <c r="R5859" s="12" t="n"/>
      <c r="S5859" s="12" t="inlineStr">
        <is>
          <t>Duct bank</t>
        </is>
      </c>
      <c r="T5859" s="16" t="n">
        <v>310</v>
      </c>
      <c r="U5859" s="16" t="n">
        <v>32</v>
      </c>
      <c r="V5859" s="16">
        <f>ROUNDUP((T5859+U5859+2*'Read Me'!$B$13)*(1+'Read Me'!$B$12),-1)</f>
        <v/>
      </c>
      <c r="W5859" s="16">
        <f>V5859*N5859*O5859</f>
        <v/>
      </c>
      <c r="X5859" s="12">
        <f>IF(LEFT(I5859,2)="MV",2*N5859*IF(L5859="1/C",O5859,1),0)</f>
        <v/>
      </c>
      <c r="Y5859" s="12">
        <f>IF(OR(LEFT(K5859,4)="LVAX",LEFT(K5859,6)="MV15AX",LEFT(K5859,4)="CTAX",LEFT(K5859,2)="W|"),2*N5859*O5859,0)</f>
        <v/>
      </c>
      <c r="Z5859" s="12" t="inlineStr"/>
      <c r="AA5859" s="12">
        <f>N5859*O5859</f>
        <v/>
      </c>
    </row>
    <row r="5860">
      <c r="A5860" s="12" t="inlineStr">
        <is>
          <t>K-I-0121</t>
        </is>
      </c>
      <c r="B5860" s="12" t="inlineStr">
        <is>
          <t>K</t>
        </is>
      </c>
      <c r="C5860" s="12" t="inlineStr">
        <is>
          <t>Fuel supply (adjacent market)</t>
        </is>
      </c>
      <c r="D5860" s="12" t="inlineStr">
        <is>
          <t>Discrete device to JB JB-LNG-T6-DI01: 4 x 1 pr (field cables)</t>
        </is>
      </c>
      <c r="E5860" s="12" t="inlineStr">
        <is>
          <t>LNG-T6</t>
        </is>
      </c>
      <c r="F5860" s="12" t="inlineStr">
        <is>
          <t>LNG 11: tank 6, Chart HS 50000 (51,780 gal)</t>
        </is>
      </c>
      <c r="G5860" s="12" t="inlineStr">
        <is>
          <t>JB-LNG-T6-DI01</t>
        </is>
      </c>
      <c r="H5860" s="12" t="inlineStr">
        <is>
          <t>LNG 11: tank 6, Chart HS 50000 (51,780 gal)</t>
        </is>
      </c>
      <c r="I5860" s="12" t="inlineStr">
        <is>
          <t>Instrumentation</t>
        </is>
      </c>
      <c r="J5860" s="12" t="inlineStr">
        <is>
          <t>Instrumentation ITC / PLTC, IS, #18 shielded pairs, blue jacket</t>
        </is>
      </c>
      <c r="K5860" s="12" t="inlineStr">
        <is>
          <t>ITC|1 pr|16</t>
        </is>
      </c>
      <c r="L5860" s="12" t="inlineStr">
        <is>
          <t>1 pr</t>
        </is>
      </c>
      <c r="M5860" s="12" t="inlineStr">
        <is>
          <t>16</t>
        </is>
      </c>
      <c r="N5860" s="12" t="n">
        <v>4</v>
      </c>
      <c r="O5860" s="12" t="n">
        <v>1</v>
      </c>
      <c r="P5860" s="12" t="n"/>
      <c r="Q5860" s="12" t="n"/>
      <c r="R5860" s="12" t="n"/>
      <c r="S5860" s="12" t="inlineStr">
        <is>
          <t>Tray / conduit</t>
        </is>
      </c>
      <c r="T5860" s="16" t="n">
        <v>77</v>
      </c>
      <c r="U5860" s="16" t="n">
        <v>10</v>
      </c>
      <c r="V5860" s="16">
        <f>ROUNDUP((T5860+U5860+2*'Read Me'!$B$13)*(1+'Read Me'!$B$12),-1)</f>
        <v/>
      </c>
      <c r="W5860" s="16">
        <f>V5860*N5860*O5860</f>
        <v/>
      </c>
      <c r="X5860" s="12">
        <f>IF(LEFT(I5860,2)="MV",2*N5860*IF(L5860="1/C",O5860,1),0)</f>
        <v/>
      </c>
      <c r="Y5860" s="12">
        <f>IF(OR(LEFT(K5860,4)="LVAX",LEFT(K5860,6)="MV15AX",LEFT(K5860,4)="CTAX",LEFT(K5860,2)="W|"),2*N5860*O5860,0)</f>
        <v/>
      </c>
      <c r="Z5860" s="12" t="inlineStr">
        <is>
          <t>device-to-JB field wiring, one cable per device</t>
        </is>
      </c>
      <c r="AA5860" s="12">
        <f>N5860*O5860</f>
        <v/>
      </c>
    </row>
    <row r="5861">
      <c r="A5861" s="12" t="inlineStr">
        <is>
          <t>K-I-0122</t>
        </is>
      </c>
      <c r="B5861" s="12" t="inlineStr">
        <is>
          <t>K</t>
        </is>
      </c>
      <c r="C5861" s="12" t="inlineStr">
        <is>
          <t>Fuel supply (adjacent market)</t>
        </is>
      </c>
      <c r="D5861" s="12" t="inlineStr">
        <is>
          <t>Home run JB-LNG-T6-DI01 to the control / marshalling room</t>
        </is>
      </c>
      <c r="E5861" s="12" t="inlineStr"/>
      <c r="F5861" s="12" t="inlineStr">
        <is>
          <t>LNG 17: LNG e-house (13.8 kV / 480 V)</t>
        </is>
      </c>
      <c r="G5861" s="12" t="inlineStr">
        <is>
          <t>JB-LNG-T6-DI01</t>
        </is>
      </c>
      <c r="H5861" s="12" t="inlineStr">
        <is>
          <t>LNG 11: tank 6, Chart HS 50000 (51,780 gal)</t>
        </is>
      </c>
      <c r="I5861" s="12" t="inlineStr">
        <is>
          <t>Instrumentation</t>
        </is>
      </c>
      <c r="J5861" s="12" t="inlineStr">
        <is>
          <t>Instrumentation ITC / PLTC, IS, #18 shielded pairs, blue jacket</t>
        </is>
      </c>
      <c r="K5861" s="12" t="inlineStr">
        <is>
          <t>ITC|24 pr|18</t>
        </is>
      </c>
      <c r="L5861" s="12" t="inlineStr">
        <is>
          <t>24 pr</t>
        </is>
      </c>
      <c r="M5861" s="12" t="inlineStr">
        <is>
          <t>18</t>
        </is>
      </c>
      <c r="N5861" s="12" t="n">
        <v>1</v>
      </c>
      <c r="O5861" s="12" t="n">
        <v>1</v>
      </c>
      <c r="P5861" s="12" t="n"/>
      <c r="Q5861" s="12" t="n"/>
      <c r="R5861" s="12" t="n"/>
      <c r="S5861" s="12" t="inlineStr">
        <is>
          <t>Duct bank</t>
        </is>
      </c>
      <c r="T5861" s="16" t="n">
        <v>310</v>
      </c>
      <c r="U5861" s="16" t="n">
        <v>32</v>
      </c>
      <c r="V5861" s="16">
        <f>ROUNDUP((T5861+U5861+2*'Read Me'!$B$13)*(1+'Read Me'!$B$12),-1)</f>
        <v/>
      </c>
      <c r="W5861" s="16">
        <f>V5861*N5861*O5861</f>
        <v/>
      </c>
      <c r="X5861" s="12">
        <f>IF(LEFT(I5861,2)="MV",2*N5861*IF(L5861="1/C",O5861,1),0)</f>
        <v/>
      </c>
      <c r="Y5861" s="12">
        <f>IF(OR(LEFT(K5861,4)="LVAX",LEFT(K5861,6)="MV15AX",LEFT(K5861,4)="CTAX",LEFT(K5861,2)="W|"),2*N5861*O5861,0)</f>
        <v/>
      </c>
      <c r="Z5861" s="12" t="inlineStr"/>
      <c r="AA5861" s="12">
        <f>N5861*O5861</f>
        <v/>
      </c>
    </row>
    <row r="5862">
      <c r="A5862" s="12" t="inlineStr">
        <is>
          <t>K-I-0123</t>
        </is>
      </c>
      <c r="B5862" s="12" t="inlineStr">
        <is>
          <t>K</t>
        </is>
      </c>
      <c r="C5862" s="12" t="inlineStr">
        <is>
          <t>Fuel supply (adjacent market)</t>
        </is>
      </c>
      <c r="D5862" s="12" t="inlineStr">
        <is>
          <t>Analog instrument to JB JB-LNG-T7-AI01: 4 x 1 pr (field cables)</t>
        </is>
      </c>
      <c r="E5862" s="12" t="inlineStr">
        <is>
          <t>LNG-T7</t>
        </is>
      </c>
      <c r="F5862" s="12" t="inlineStr">
        <is>
          <t>LNG 11: tank 7, Chart HS 50000 (51,780 gal)</t>
        </is>
      </c>
      <c r="G5862" s="12" t="inlineStr">
        <is>
          <t>JB-LNG-T7-AI01</t>
        </is>
      </c>
      <c r="H5862" s="12" t="inlineStr">
        <is>
          <t>LNG 11: tank 7, Chart HS 50000 (51,780 gal)</t>
        </is>
      </c>
      <c r="I5862" s="12" t="inlineStr">
        <is>
          <t>Instrumentation</t>
        </is>
      </c>
      <c r="J5862" s="12" t="inlineStr">
        <is>
          <t>Instrumentation ITC / PLTC, IS, #18 shielded pairs, blue jacket</t>
        </is>
      </c>
      <c r="K5862" s="12" t="inlineStr">
        <is>
          <t>ITC|1 pr|16</t>
        </is>
      </c>
      <c r="L5862" s="12" t="inlineStr">
        <is>
          <t>1 pr</t>
        </is>
      </c>
      <c r="M5862" s="12" t="inlineStr">
        <is>
          <t>16</t>
        </is>
      </c>
      <c r="N5862" s="12" t="n">
        <v>4</v>
      </c>
      <c r="O5862" s="12" t="n">
        <v>1</v>
      </c>
      <c r="P5862" s="12" t="n"/>
      <c r="Q5862" s="12" t="n"/>
      <c r="R5862" s="12" t="n"/>
      <c r="S5862" s="12" t="inlineStr">
        <is>
          <t>Tray / conduit</t>
        </is>
      </c>
      <c r="T5862" s="16" t="n">
        <v>77</v>
      </c>
      <c r="U5862" s="16" t="n">
        <v>10</v>
      </c>
      <c r="V5862" s="16">
        <f>ROUNDUP((T5862+U5862+2*'Read Me'!$B$13)*(1+'Read Me'!$B$12),-1)</f>
        <v/>
      </c>
      <c r="W5862" s="16">
        <f>V5862*N5862*O5862</f>
        <v/>
      </c>
      <c r="X5862" s="12">
        <f>IF(LEFT(I5862,2)="MV",2*N5862*IF(L5862="1/C",O5862,1),0)</f>
        <v/>
      </c>
      <c r="Y5862" s="12">
        <f>IF(OR(LEFT(K5862,4)="LVAX",LEFT(K5862,6)="MV15AX",LEFT(K5862,4)="CTAX",LEFT(K5862,2)="W|"),2*N5862*O5862,0)</f>
        <v/>
      </c>
      <c r="Z5862" s="12" t="inlineStr">
        <is>
          <t>device-to-JB field wiring, one cable per device</t>
        </is>
      </c>
      <c r="AA5862" s="12">
        <f>N5862*O5862</f>
        <v/>
      </c>
    </row>
    <row r="5863">
      <c r="A5863" s="12" t="inlineStr">
        <is>
          <t>K-I-0124</t>
        </is>
      </c>
      <c r="B5863" s="12" t="inlineStr">
        <is>
          <t>K</t>
        </is>
      </c>
      <c r="C5863" s="12" t="inlineStr">
        <is>
          <t>Fuel supply (adjacent market)</t>
        </is>
      </c>
      <c r="D5863" s="12" t="inlineStr">
        <is>
          <t>Home run JB-LNG-T7-AI01 to the control / marshalling room</t>
        </is>
      </c>
      <c r="E5863" s="12" t="inlineStr"/>
      <c r="F5863" s="12" t="inlineStr">
        <is>
          <t>LNG 17: LNG e-house (13.8 kV / 480 V)</t>
        </is>
      </c>
      <c r="G5863" s="12" t="inlineStr">
        <is>
          <t>JB-LNG-T7-AI01</t>
        </is>
      </c>
      <c r="H5863" s="12" t="inlineStr">
        <is>
          <t>LNG 11: tank 7, Chart HS 50000 (51,780 gal)</t>
        </is>
      </c>
      <c r="I5863" s="12" t="inlineStr">
        <is>
          <t>Instrumentation</t>
        </is>
      </c>
      <c r="J5863" s="12" t="inlineStr">
        <is>
          <t>Instrumentation ITC / PLTC, IS, #18 shielded pairs, blue jacket</t>
        </is>
      </c>
      <c r="K5863" s="12" t="inlineStr">
        <is>
          <t>ITC|24 pr|18</t>
        </is>
      </c>
      <c r="L5863" s="12" t="inlineStr">
        <is>
          <t>24 pr</t>
        </is>
      </c>
      <c r="M5863" s="12" t="inlineStr">
        <is>
          <t>18</t>
        </is>
      </c>
      <c r="N5863" s="12" t="n">
        <v>1</v>
      </c>
      <c r="O5863" s="12" t="n">
        <v>1</v>
      </c>
      <c r="P5863" s="12" t="n"/>
      <c r="Q5863" s="12" t="n"/>
      <c r="R5863" s="12" t="n"/>
      <c r="S5863" s="12" t="inlineStr">
        <is>
          <t>Duct bank</t>
        </is>
      </c>
      <c r="T5863" s="16" t="n">
        <v>330</v>
      </c>
      <c r="U5863" s="16" t="n">
        <v>32</v>
      </c>
      <c r="V5863" s="16">
        <f>ROUNDUP((T5863+U5863+2*'Read Me'!$B$13)*(1+'Read Me'!$B$12),-1)</f>
        <v/>
      </c>
      <c r="W5863" s="16">
        <f>V5863*N5863*O5863</f>
        <v/>
      </c>
      <c r="X5863" s="12">
        <f>IF(LEFT(I5863,2)="MV",2*N5863*IF(L5863="1/C",O5863,1),0)</f>
        <v/>
      </c>
      <c r="Y5863" s="12">
        <f>IF(OR(LEFT(K5863,4)="LVAX",LEFT(K5863,6)="MV15AX",LEFT(K5863,4)="CTAX",LEFT(K5863,2)="W|"),2*N5863*O5863,0)</f>
        <v/>
      </c>
      <c r="Z5863" s="12" t="inlineStr"/>
      <c r="AA5863" s="12">
        <f>N5863*O5863</f>
        <v/>
      </c>
    </row>
    <row r="5864">
      <c r="A5864" s="12" t="inlineStr">
        <is>
          <t>K-I-0125</t>
        </is>
      </c>
      <c r="B5864" s="12" t="inlineStr">
        <is>
          <t>K</t>
        </is>
      </c>
      <c r="C5864" s="12" t="inlineStr">
        <is>
          <t>Fuel supply (adjacent market)</t>
        </is>
      </c>
      <c r="D5864" s="12" t="inlineStr">
        <is>
          <t>Discrete device to JB JB-LNG-T7-DI01: 4 x 1 pr (field cables)</t>
        </is>
      </c>
      <c r="E5864" s="12" t="inlineStr">
        <is>
          <t>LNG-T7</t>
        </is>
      </c>
      <c r="F5864" s="12" t="inlineStr">
        <is>
          <t>LNG 11: tank 7, Chart HS 50000 (51,780 gal)</t>
        </is>
      </c>
      <c r="G5864" s="12" t="inlineStr">
        <is>
          <t>JB-LNG-T7-DI01</t>
        </is>
      </c>
      <c r="H5864" s="12" t="inlineStr">
        <is>
          <t>LNG 11: tank 7, Chart HS 50000 (51,780 gal)</t>
        </is>
      </c>
      <c r="I5864" s="12" t="inlineStr">
        <is>
          <t>Instrumentation</t>
        </is>
      </c>
      <c r="J5864" s="12" t="inlineStr">
        <is>
          <t>Instrumentation ITC / PLTC, IS, #18 shielded pairs, blue jacket</t>
        </is>
      </c>
      <c r="K5864" s="12" t="inlineStr">
        <is>
          <t>ITC|1 pr|16</t>
        </is>
      </c>
      <c r="L5864" s="12" t="inlineStr">
        <is>
          <t>1 pr</t>
        </is>
      </c>
      <c r="M5864" s="12" t="inlineStr">
        <is>
          <t>16</t>
        </is>
      </c>
      <c r="N5864" s="12" t="n">
        <v>4</v>
      </c>
      <c r="O5864" s="12" t="n">
        <v>1</v>
      </c>
      <c r="P5864" s="12" t="n"/>
      <c r="Q5864" s="12" t="n"/>
      <c r="R5864" s="12" t="n"/>
      <c r="S5864" s="12" t="inlineStr">
        <is>
          <t>Tray / conduit</t>
        </is>
      </c>
      <c r="T5864" s="16" t="n">
        <v>77</v>
      </c>
      <c r="U5864" s="16" t="n">
        <v>10</v>
      </c>
      <c r="V5864" s="16">
        <f>ROUNDUP((T5864+U5864+2*'Read Me'!$B$13)*(1+'Read Me'!$B$12),-1)</f>
        <v/>
      </c>
      <c r="W5864" s="16">
        <f>V5864*N5864*O5864</f>
        <v/>
      </c>
      <c r="X5864" s="12">
        <f>IF(LEFT(I5864,2)="MV",2*N5864*IF(L5864="1/C",O5864,1),0)</f>
        <v/>
      </c>
      <c r="Y5864" s="12">
        <f>IF(OR(LEFT(K5864,4)="LVAX",LEFT(K5864,6)="MV15AX",LEFT(K5864,4)="CTAX",LEFT(K5864,2)="W|"),2*N5864*O5864,0)</f>
        <v/>
      </c>
      <c r="Z5864" s="12" t="inlineStr">
        <is>
          <t>device-to-JB field wiring, one cable per device</t>
        </is>
      </c>
      <c r="AA5864" s="12">
        <f>N5864*O5864</f>
        <v/>
      </c>
    </row>
    <row r="5865">
      <c r="A5865" s="12" t="inlineStr">
        <is>
          <t>K-I-0126</t>
        </is>
      </c>
      <c r="B5865" s="12" t="inlineStr">
        <is>
          <t>K</t>
        </is>
      </c>
      <c r="C5865" s="12" t="inlineStr">
        <is>
          <t>Fuel supply (adjacent market)</t>
        </is>
      </c>
      <c r="D5865" s="12" t="inlineStr">
        <is>
          <t>Home run JB-LNG-T7-DI01 to the control / marshalling room</t>
        </is>
      </c>
      <c r="E5865" s="12" t="inlineStr"/>
      <c r="F5865" s="12" t="inlineStr">
        <is>
          <t>LNG 17: LNG e-house (13.8 kV / 480 V)</t>
        </is>
      </c>
      <c r="G5865" s="12" t="inlineStr">
        <is>
          <t>JB-LNG-T7-DI01</t>
        </is>
      </c>
      <c r="H5865" s="12" t="inlineStr">
        <is>
          <t>LNG 11: tank 7, Chart HS 50000 (51,780 gal)</t>
        </is>
      </c>
      <c r="I5865" s="12" t="inlineStr">
        <is>
          <t>Instrumentation</t>
        </is>
      </c>
      <c r="J5865" s="12" t="inlineStr">
        <is>
          <t>Instrumentation ITC / PLTC, IS, #18 shielded pairs, blue jacket</t>
        </is>
      </c>
      <c r="K5865" s="12" t="inlineStr">
        <is>
          <t>ITC|24 pr|18</t>
        </is>
      </c>
      <c r="L5865" s="12" t="inlineStr">
        <is>
          <t>24 pr</t>
        </is>
      </c>
      <c r="M5865" s="12" t="inlineStr">
        <is>
          <t>18</t>
        </is>
      </c>
      <c r="N5865" s="12" t="n">
        <v>1</v>
      </c>
      <c r="O5865" s="12" t="n">
        <v>1</v>
      </c>
      <c r="P5865" s="12" t="n"/>
      <c r="Q5865" s="12" t="n"/>
      <c r="R5865" s="12" t="n"/>
      <c r="S5865" s="12" t="inlineStr">
        <is>
          <t>Duct bank</t>
        </is>
      </c>
      <c r="T5865" s="16" t="n">
        <v>330</v>
      </c>
      <c r="U5865" s="16" t="n">
        <v>32</v>
      </c>
      <c r="V5865" s="16">
        <f>ROUNDUP((T5865+U5865+2*'Read Me'!$B$13)*(1+'Read Me'!$B$12),-1)</f>
        <v/>
      </c>
      <c r="W5865" s="16">
        <f>V5865*N5865*O5865</f>
        <v/>
      </c>
      <c r="X5865" s="12">
        <f>IF(LEFT(I5865,2)="MV",2*N5865*IF(L5865="1/C",O5865,1),0)</f>
        <v/>
      </c>
      <c r="Y5865" s="12">
        <f>IF(OR(LEFT(K5865,4)="LVAX",LEFT(K5865,6)="MV15AX",LEFT(K5865,4)="CTAX",LEFT(K5865,2)="W|"),2*N5865*O5865,0)</f>
        <v/>
      </c>
      <c r="Z5865" s="12" t="inlineStr"/>
      <c r="AA5865" s="12">
        <f>N5865*O5865</f>
        <v/>
      </c>
    </row>
    <row r="5866">
      <c r="A5866" s="12" t="inlineStr">
        <is>
          <t>K-I-0127</t>
        </is>
      </c>
      <c r="B5866" s="12" t="inlineStr">
        <is>
          <t>K</t>
        </is>
      </c>
      <c r="C5866" s="12" t="inlineStr">
        <is>
          <t>Fuel supply (adjacent market)</t>
        </is>
      </c>
      <c r="D5866" s="12" t="inlineStr">
        <is>
          <t>Analog instrument to JB JB-LNG-T8-AI01: 4 x 1 pr (field cables)</t>
        </is>
      </c>
      <c r="E5866" s="12" t="inlineStr">
        <is>
          <t>LNG-T8</t>
        </is>
      </c>
      <c r="F5866" s="12" t="inlineStr">
        <is>
          <t>LNG 11: tank 8, Chart HS 50000 (51,780 gal)</t>
        </is>
      </c>
      <c r="G5866" s="12" t="inlineStr">
        <is>
          <t>JB-LNG-T8-AI01</t>
        </is>
      </c>
      <c r="H5866" s="12" t="inlineStr">
        <is>
          <t>LNG 11: tank 8, Chart HS 50000 (51,780 gal)</t>
        </is>
      </c>
      <c r="I5866" s="12" t="inlineStr">
        <is>
          <t>Instrumentation</t>
        </is>
      </c>
      <c r="J5866" s="12" t="inlineStr">
        <is>
          <t>Instrumentation ITC / PLTC, IS, #18 shielded pairs, blue jacket</t>
        </is>
      </c>
      <c r="K5866" s="12" t="inlineStr">
        <is>
          <t>ITC|1 pr|16</t>
        </is>
      </c>
      <c r="L5866" s="12" t="inlineStr">
        <is>
          <t>1 pr</t>
        </is>
      </c>
      <c r="M5866" s="12" t="inlineStr">
        <is>
          <t>16</t>
        </is>
      </c>
      <c r="N5866" s="12" t="n">
        <v>4</v>
      </c>
      <c r="O5866" s="12" t="n">
        <v>1</v>
      </c>
      <c r="P5866" s="12" t="n"/>
      <c r="Q5866" s="12" t="n"/>
      <c r="R5866" s="12" t="n"/>
      <c r="S5866" s="12" t="inlineStr">
        <is>
          <t>Tray / conduit</t>
        </is>
      </c>
      <c r="T5866" s="16" t="n">
        <v>77</v>
      </c>
      <c r="U5866" s="16" t="n">
        <v>10</v>
      </c>
      <c r="V5866" s="16">
        <f>ROUNDUP((T5866+U5866+2*'Read Me'!$B$13)*(1+'Read Me'!$B$12),-1)</f>
        <v/>
      </c>
      <c r="W5866" s="16">
        <f>V5866*N5866*O5866</f>
        <v/>
      </c>
      <c r="X5866" s="12">
        <f>IF(LEFT(I5866,2)="MV",2*N5866*IF(L5866="1/C",O5866,1),0)</f>
        <v/>
      </c>
      <c r="Y5866" s="12">
        <f>IF(OR(LEFT(K5866,4)="LVAX",LEFT(K5866,6)="MV15AX",LEFT(K5866,4)="CTAX",LEFT(K5866,2)="W|"),2*N5866*O5866,0)</f>
        <v/>
      </c>
      <c r="Z5866" s="12" t="inlineStr">
        <is>
          <t>device-to-JB field wiring, one cable per device</t>
        </is>
      </c>
      <c r="AA5866" s="12">
        <f>N5866*O5866</f>
        <v/>
      </c>
    </row>
    <row r="5867">
      <c r="A5867" s="12" t="inlineStr">
        <is>
          <t>K-I-0128</t>
        </is>
      </c>
      <c r="B5867" s="12" t="inlineStr">
        <is>
          <t>K</t>
        </is>
      </c>
      <c r="C5867" s="12" t="inlineStr">
        <is>
          <t>Fuel supply (adjacent market)</t>
        </is>
      </c>
      <c r="D5867" s="12" t="inlineStr">
        <is>
          <t>Home run JB-LNG-T8-AI01 to the control / marshalling room</t>
        </is>
      </c>
      <c r="E5867" s="12" t="inlineStr"/>
      <c r="F5867" s="12" t="inlineStr">
        <is>
          <t>LNG 17: LNG e-house (13.8 kV / 480 V)</t>
        </is>
      </c>
      <c r="G5867" s="12" t="inlineStr">
        <is>
          <t>JB-LNG-T8-AI01</t>
        </is>
      </c>
      <c r="H5867" s="12" t="inlineStr">
        <is>
          <t>LNG 11: tank 8, Chart HS 50000 (51,780 gal)</t>
        </is>
      </c>
      <c r="I5867" s="12" t="inlineStr">
        <is>
          <t>Instrumentation</t>
        </is>
      </c>
      <c r="J5867" s="12" t="inlineStr">
        <is>
          <t>Instrumentation ITC / PLTC, IS, #18 shielded pairs, blue jacket</t>
        </is>
      </c>
      <c r="K5867" s="12" t="inlineStr">
        <is>
          <t>ITC|24 pr|18</t>
        </is>
      </c>
      <c r="L5867" s="12" t="inlineStr">
        <is>
          <t>24 pr</t>
        </is>
      </c>
      <c r="M5867" s="12" t="inlineStr">
        <is>
          <t>18</t>
        </is>
      </c>
      <c r="N5867" s="12" t="n">
        <v>1</v>
      </c>
      <c r="O5867" s="12" t="n">
        <v>1</v>
      </c>
      <c r="P5867" s="12" t="n"/>
      <c r="Q5867" s="12" t="n"/>
      <c r="R5867" s="12" t="n"/>
      <c r="S5867" s="12" t="inlineStr">
        <is>
          <t>Duct bank</t>
        </is>
      </c>
      <c r="T5867" s="16" t="n">
        <v>350</v>
      </c>
      <c r="U5867" s="16" t="n">
        <v>32</v>
      </c>
      <c r="V5867" s="16">
        <f>ROUNDUP((T5867+U5867+2*'Read Me'!$B$13)*(1+'Read Me'!$B$12),-1)</f>
        <v/>
      </c>
      <c r="W5867" s="16">
        <f>V5867*N5867*O5867</f>
        <v/>
      </c>
      <c r="X5867" s="12">
        <f>IF(LEFT(I5867,2)="MV",2*N5867*IF(L5867="1/C",O5867,1),0)</f>
        <v/>
      </c>
      <c r="Y5867" s="12">
        <f>IF(OR(LEFT(K5867,4)="LVAX",LEFT(K5867,6)="MV15AX",LEFT(K5867,4)="CTAX",LEFT(K5867,2)="W|"),2*N5867*O5867,0)</f>
        <v/>
      </c>
      <c r="Z5867" s="12" t="inlineStr"/>
      <c r="AA5867" s="12">
        <f>N5867*O5867</f>
        <v/>
      </c>
    </row>
    <row r="5868">
      <c r="A5868" s="12" t="inlineStr">
        <is>
          <t>K-I-0129</t>
        </is>
      </c>
      <c r="B5868" s="12" t="inlineStr">
        <is>
          <t>K</t>
        </is>
      </c>
      <c r="C5868" s="12" t="inlineStr">
        <is>
          <t>Fuel supply (adjacent market)</t>
        </is>
      </c>
      <c r="D5868" s="12" t="inlineStr">
        <is>
          <t>Discrete device to JB JB-LNG-T8-DI01: 4 x 1 pr (field cables)</t>
        </is>
      </c>
      <c r="E5868" s="12" t="inlineStr">
        <is>
          <t>LNG-T8</t>
        </is>
      </c>
      <c r="F5868" s="12" t="inlineStr">
        <is>
          <t>LNG 11: tank 8, Chart HS 50000 (51,780 gal)</t>
        </is>
      </c>
      <c r="G5868" s="12" t="inlineStr">
        <is>
          <t>JB-LNG-T8-DI01</t>
        </is>
      </c>
      <c r="H5868" s="12" t="inlineStr">
        <is>
          <t>LNG 11: tank 8, Chart HS 50000 (51,780 gal)</t>
        </is>
      </c>
      <c r="I5868" s="12" t="inlineStr">
        <is>
          <t>Instrumentation</t>
        </is>
      </c>
      <c r="J5868" s="12" t="inlineStr">
        <is>
          <t>Instrumentation ITC / PLTC, IS, #18 shielded pairs, blue jacket</t>
        </is>
      </c>
      <c r="K5868" s="12" t="inlineStr">
        <is>
          <t>ITC|1 pr|16</t>
        </is>
      </c>
      <c r="L5868" s="12" t="inlineStr">
        <is>
          <t>1 pr</t>
        </is>
      </c>
      <c r="M5868" s="12" t="inlineStr">
        <is>
          <t>16</t>
        </is>
      </c>
      <c r="N5868" s="12" t="n">
        <v>4</v>
      </c>
      <c r="O5868" s="12" t="n">
        <v>1</v>
      </c>
      <c r="P5868" s="12" t="n"/>
      <c r="Q5868" s="12" t="n"/>
      <c r="R5868" s="12" t="n"/>
      <c r="S5868" s="12" t="inlineStr">
        <is>
          <t>Tray / conduit</t>
        </is>
      </c>
      <c r="T5868" s="16" t="n">
        <v>77</v>
      </c>
      <c r="U5868" s="16" t="n">
        <v>10</v>
      </c>
      <c r="V5868" s="16">
        <f>ROUNDUP((T5868+U5868+2*'Read Me'!$B$13)*(1+'Read Me'!$B$12),-1)</f>
        <v/>
      </c>
      <c r="W5868" s="16">
        <f>V5868*N5868*O5868</f>
        <v/>
      </c>
      <c r="X5868" s="12">
        <f>IF(LEFT(I5868,2)="MV",2*N5868*IF(L5868="1/C",O5868,1),0)</f>
        <v/>
      </c>
      <c r="Y5868" s="12">
        <f>IF(OR(LEFT(K5868,4)="LVAX",LEFT(K5868,6)="MV15AX",LEFT(K5868,4)="CTAX",LEFT(K5868,2)="W|"),2*N5868*O5868,0)</f>
        <v/>
      </c>
      <c r="Z5868" s="12" t="inlineStr">
        <is>
          <t>device-to-JB field wiring, one cable per device</t>
        </is>
      </c>
      <c r="AA5868" s="12">
        <f>N5868*O5868</f>
        <v/>
      </c>
    </row>
    <row r="5869">
      <c r="A5869" s="12" t="inlineStr">
        <is>
          <t>K-I-0130</t>
        </is>
      </c>
      <c r="B5869" s="12" t="inlineStr">
        <is>
          <t>K</t>
        </is>
      </c>
      <c r="C5869" s="12" t="inlineStr">
        <is>
          <t>Fuel supply (adjacent market)</t>
        </is>
      </c>
      <c r="D5869" s="12" t="inlineStr">
        <is>
          <t>Home run JB-LNG-T8-DI01 to the control / marshalling room</t>
        </is>
      </c>
      <c r="E5869" s="12" t="inlineStr"/>
      <c r="F5869" s="12" t="inlineStr">
        <is>
          <t>LNG 17: LNG e-house (13.8 kV / 480 V)</t>
        </is>
      </c>
      <c r="G5869" s="12" t="inlineStr">
        <is>
          <t>JB-LNG-T8-DI01</t>
        </is>
      </c>
      <c r="H5869" s="12" t="inlineStr">
        <is>
          <t>LNG 11: tank 8, Chart HS 50000 (51,780 gal)</t>
        </is>
      </c>
      <c r="I5869" s="12" t="inlineStr">
        <is>
          <t>Instrumentation</t>
        </is>
      </c>
      <c r="J5869" s="12" t="inlineStr">
        <is>
          <t>Instrumentation ITC / PLTC, IS, #18 shielded pairs, blue jacket</t>
        </is>
      </c>
      <c r="K5869" s="12" t="inlineStr">
        <is>
          <t>ITC|24 pr|18</t>
        </is>
      </c>
      <c r="L5869" s="12" t="inlineStr">
        <is>
          <t>24 pr</t>
        </is>
      </c>
      <c r="M5869" s="12" t="inlineStr">
        <is>
          <t>18</t>
        </is>
      </c>
      <c r="N5869" s="12" t="n">
        <v>1</v>
      </c>
      <c r="O5869" s="12" t="n">
        <v>1</v>
      </c>
      <c r="P5869" s="12" t="n"/>
      <c r="Q5869" s="12" t="n"/>
      <c r="R5869" s="12" t="n"/>
      <c r="S5869" s="12" t="inlineStr">
        <is>
          <t>Duct bank</t>
        </is>
      </c>
      <c r="T5869" s="16" t="n">
        <v>350</v>
      </c>
      <c r="U5869" s="16" t="n">
        <v>32</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K-I-0131</t>
        </is>
      </c>
      <c r="B5870" s="12" t="inlineStr">
        <is>
          <t>K</t>
        </is>
      </c>
      <c r="C5870" s="12" t="inlineStr">
        <is>
          <t>Fuel supply (adjacent market)</t>
        </is>
      </c>
      <c r="D5870" s="12" t="inlineStr">
        <is>
          <t>Analog instrument to JB JB-LNG 12: spill impo-AI01: 12 x 1 pr (field cables)</t>
        </is>
      </c>
      <c r="E5870" s="12" t="inlineStr"/>
      <c r="F5870" s="12" t="inlineStr">
        <is>
          <t>LNG 12: spill impoundment (NFPA 59A, to verify)</t>
        </is>
      </c>
      <c r="G5870" s="12" t="inlineStr">
        <is>
          <t>JB-LNG 12: spill impo-AI01</t>
        </is>
      </c>
      <c r="H5870" s="12" t="inlineStr">
        <is>
          <t>LNG 12: spill impoundment (NFPA 59A, to verify)</t>
        </is>
      </c>
      <c r="I5870" s="12" t="inlineStr">
        <is>
          <t>Instrumentation</t>
        </is>
      </c>
      <c r="J5870" s="12" t="inlineStr">
        <is>
          <t>Instrumentation ITC / PLTC, IS, #18 shielded pairs, blue jacket</t>
        </is>
      </c>
      <c r="K5870" s="12" t="inlineStr">
        <is>
          <t>ITC|1 pr|16</t>
        </is>
      </c>
      <c r="L5870" s="12" t="inlineStr">
        <is>
          <t>1 pr</t>
        </is>
      </c>
      <c r="M5870" s="12" t="inlineStr">
        <is>
          <t>16</t>
        </is>
      </c>
      <c r="N5870" s="12" t="n">
        <v>12</v>
      </c>
      <c r="O5870" s="12" t="n">
        <v>1</v>
      </c>
      <c r="P5870" s="12" t="n"/>
      <c r="Q5870" s="12" t="n"/>
      <c r="R5870" s="12" t="n"/>
      <c r="S5870" s="12" t="inlineStr">
        <is>
          <t>Tray / conduit</t>
        </is>
      </c>
      <c r="T5870" s="16" t="n">
        <v>170</v>
      </c>
      <c r="U5870" s="16" t="n">
        <v>10</v>
      </c>
      <c r="V5870" s="16">
        <f>ROUNDUP((T5870+U5870+2*'Read Me'!$B$13)*(1+'Read Me'!$B$12),-1)</f>
        <v/>
      </c>
      <c r="W5870" s="16">
        <f>V5870*N5870*O5870</f>
        <v/>
      </c>
      <c r="X5870" s="12">
        <f>IF(LEFT(I5870,2)="MV",2*N5870*IF(L5870="1/C",O5870,1),0)</f>
        <v/>
      </c>
      <c r="Y5870" s="12">
        <f>IF(OR(LEFT(K5870,4)="LVAX",LEFT(K5870,6)="MV15AX",LEFT(K5870,4)="CTAX",LEFT(K5870,2)="W|"),2*N5870*O5870,0)</f>
        <v/>
      </c>
      <c r="Z5870" s="12" t="inlineStr">
        <is>
          <t>device-to-JB field wiring, one cable per device</t>
        </is>
      </c>
      <c r="AA5870" s="12">
        <f>N5870*O5870</f>
        <v/>
      </c>
    </row>
    <row r="5871">
      <c r="A5871" s="12" t="inlineStr">
        <is>
          <t>K-I-0132</t>
        </is>
      </c>
      <c r="B5871" s="12" t="inlineStr">
        <is>
          <t>K</t>
        </is>
      </c>
      <c r="C5871" s="12" t="inlineStr">
        <is>
          <t>Fuel supply (adjacent market)</t>
        </is>
      </c>
      <c r="D5871" s="12" t="inlineStr">
        <is>
          <t>Home run JB-LNG 12: spill impo-AI01 to the control / marshalling room</t>
        </is>
      </c>
      <c r="E5871" s="12" t="inlineStr"/>
      <c r="F5871" s="12" t="inlineStr">
        <is>
          <t>LNG 17: LNG e-house (13.8 kV / 480 V)</t>
        </is>
      </c>
      <c r="G5871" s="12" t="inlineStr">
        <is>
          <t>JB-LNG 12: spill impo-AI01</t>
        </is>
      </c>
      <c r="H5871" s="12" t="inlineStr">
        <is>
          <t>LNG 12: spill impoundment (NFPA 59A, to verify)</t>
        </is>
      </c>
      <c r="I5871" s="12" t="inlineStr">
        <is>
          <t>Instrumentation</t>
        </is>
      </c>
      <c r="J5871" s="12" t="inlineStr">
        <is>
          <t>Instrumentation ITC / PLTC, IS, #18 shielded pairs, blue jacket</t>
        </is>
      </c>
      <c r="K5871" s="12" t="inlineStr">
        <is>
          <t>ITC|24 pr|18</t>
        </is>
      </c>
      <c r="L5871" s="12" t="inlineStr">
        <is>
          <t>24 pr</t>
        </is>
      </c>
      <c r="M5871" s="12" t="inlineStr">
        <is>
          <t>18</t>
        </is>
      </c>
      <c r="N5871" s="12" t="n">
        <v>1</v>
      </c>
      <c r="O5871" s="12" t="n">
        <v>1</v>
      </c>
      <c r="P5871" s="12" t="n"/>
      <c r="Q5871" s="12" t="n"/>
      <c r="R5871" s="12" t="n"/>
      <c r="S5871" s="12" t="inlineStr">
        <is>
          <t>Duct bank</t>
        </is>
      </c>
      <c r="T5871" s="16" t="n">
        <v>230</v>
      </c>
      <c r="U5871" s="16" t="n">
        <v>32</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K-I-0133</t>
        </is>
      </c>
      <c r="B5872" s="12" t="inlineStr">
        <is>
          <t>K</t>
        </is>
      </c>
      <c r="C5872" s="12" t="inlineStr">
        <is>
          <t>Fuel supply (adjacent market)</t>
        </is>
      </c>
      <c r="D5872" s="12" t="inlineStr">
        <is>
          <t>Discrete device to JB JB-LNG 12: spill impo-DI01: 12 x 1 pr (field cables)</t>
        </is>
      </c>
      <c r="E5872" s="12" t="inlineStr"/>
      <c r="F5872" s="12" t="inlineStr">
        <is>
          <t>LNG 12: spill impoundment (NFPA 59A, to verify)</t>
        </is>
      </c>
      <c r="G5872" s="12" t="inlineStr">
        <is>
          <t>JB-LNG 12: spill impo-DI01</t>
        </is>
      </c>
      <c r="H5872" s="12" t="inlineStr">
        <is>
          <t>LNG 12: spill impoundment (NFPA 59A, to verify)</t>
        </is>
      </c>
      <c r="I5872" s="12" t="inlineStr">
        <is>
          <t>Instrumentation</t>
        </is>
      </c>
      <c r="J5872" s="12" t="inlineStr">
        <is>
          <t>Instrumentation ITC / PLTC, IS, #18 shielded pairs, blue jacket</t>
        </is>
      </c>
      <c r="K5872" s="12" t="inlineStr">
        <is>
          <t>ITC|1 pr|16</t>
        </is>
      </c>
      <c r="L5872" s="12" t="inlineStr">
        <is>
          <t>1 pr</t>
        </is>
      </c>
      <c r="M5872" s="12" t="inlineStr">
        <is>
          <t>16</t>
        </is>
      </c>
      <c r="N5872" s="12" t="n">
        <v>12</v>
      </c>
      <c r="O5872" s="12" t="n">
        <v>1</v>
      </c>
      <c r="P5872" s="12" t="n"/>
      <c r="Q5872" s="12" t="n"/>
      <c r="R5872" s="12" t="n"/>
      <c r="S5872" s="12" t="inlineStr">
        <is>
          <t>Tray / conduit</t>
        </is>
      </c>
      <c r="T5872" s="16" t="n">
        <v>170</v>
      </c>
      <c r="U5872" s="16" t="n">
        <v>10</v>
      </c>
      <c r="V5872" s="16">
        <f>ROUNDUP((T5872+U5872+2*'Read Me'!$B$13)*(1+'Read Me'!$B$12),-1)</f>
        <v/>
      </c>
      <c r="W5872" s="16">
        <f>V5872*N5872*O5872</f>
        <v/>
      </c>
      <c r="X5872" s="12">
        <f>IF(LEFT(I5872,2)="MV",2*N5872*IF(L5872="1/C",O5872,1),0)</f>
        <v/>
      </c>
      <c r="Y5872" s="12">
        <f>IF(OR(LEFT(K5872,4)="LVAX",LEFT(K5872,6)="MV15AX",LEFT(K5872,4)="CTAX",LEFT(K5872,2)="W|"),2*N5872*O5872,0)</f>
        <v/>
      </c>
      <c r="Z5872" s="12" t="inlineStr">
        <is>
          <t>device-to-JB field wiring, one cable per device</t>
        </is>
      </c>
      <c r="AA5872" s="12">
        <f>N5872*O5872</f>
        <v/>
      </c>
    </row>
    <row r="5873">
      <c r="A5873" s="12" t="inlineStr">
        <is>
          <t>K-I-0134</t>
        </is>
      </c>
      <c r="B5873" s="12" t="inlineStr">
        <is>
          <t>K</t>
        </is>
      </c>
      <c r="C5873" s="12" t="inlineStr">
        <is>
          <t>Fuel supply (adjacent market)</t>
        </is>
      </c>
      <c r="D5873" s="12" t="inlineStr">
        <is>
          <t>Home run JB-LNG 12: spill impo-DI01 to the control / marshalling room</t>
        </is>
      </c>
      <c r="E5873" s="12" t="inlineStr"/>
      <c r="F5873" s="12" t="inlineStr">
        <is>
          <t>LNG 17: LNG e-house (13.8 kV / 480 V)</t>
        </is>
      </c>
      <c r="G5873" s="12" t="inlineStr">
        <is>
          <t>JB-LNG 12: spill impo-DI01</t>
        </is>
      </c>
      <c r="H5873" s="12" t="inlineStr">
        <is>
          <t>LNG 12: spill impoundment (NFPA 59A, to verify)</t>
        </is>
      </c>
      <c r="I5873" s="12" t="inlineStr">
        <is>
          <t>Instrumentation</t>
        </is>
      </c>
      <c r="J5873" s="12" t="inlineStr">
        <is>
          <t>Instrumentation ITC / PLTC, IS, #18 shielded pairs, blue jacket</t>
        </is>
      </c>
      <c r="K5873" s="12" t="inlineStr">
        <is>
          <t>ITC|24 pr|18</t>
        </is>
      </c>
      <c r="L5873" s="12" t="inlineStr">
        <is>
          <t>24 pr</t>
        </is>
      </c>
      <c r="M5873" s="12" t="inlineStr">
        <is>
          <t>18</t>
        </is>
      </c>
      <c r="N5873" s="12" t="n">
        <v>1</v>
      </c>
      <c r="O5873" s="12" t="n">
        <v>1</v>
      </c>
      <c r="P5873" s="12" t="n"/>
      <c r="Q5873" s="12" t="n"/>
      <c r="R5873" s="12" t="n"/>
      <c r="S5873" s="12" t="inlineStr">
        <is>
          <t>Duct bank</t>
        </is>
      </c>
      <c r="T5873" s="16" t="n">
        <v>230</v>
      </c>
      <c r="U5873" s="16" t="n">
        <v>32</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K-I-0135</t>
        </is>
      </c>
      <c r="B5874" s="12" t="inlineStr">
        <is>
          <t>K</t>
        </is>
      </c>
      <c r="C5874" s="12" t="inlineStr">
        <is>
          <t>Fuel supply (adjacent market)</t>
        </is>
      </c>
      <c r="D5874" s="12" t="inlineStr">
        <is>
          <t>Analog instrument to JB JB-LNG 13: send-out p-AI01: 12 x 1 pr (field cables)</t>
        </is>
      </c>
      <c r="E5874" s="12" t="inlineStr"/>
      <c r="F5874" s="12" t="inlineStr">
        <is>
          <t>LNG 13: send-out pumps 2 x 100%</t>
        </is>
      </c>
      <c r="G5874" s="12" t="inlineStr">
        <is>
          <t>JB-LNG 13: send-out p-AI01</t>
        </is>
      </c>
      <c r="H5874" s="12" t="inlineStr">
        <is>
          <t>LNG 13: send-out pumps 2 x 100%</t>
        </is>
      </c>
      <c r="I5874" s="12" t="inlineStr">
        <is>
          <t>Instrumentation</t>
        </is>
      </c>
      <c r="J5874" s="12" t="inlineStr">
        <is>
          <t>Instrumentation ITC / PLTC, IS, #18 shielded pairs, blue jacket</t>
        </is>
      </c>
      <c r="K5874" s="12" t="inlineStr">
        <is>
          <t>ITC|1 pr|16</t>
        </is>
      </c>
      <c r="L5874" s="12" t="inlineStr">
        <is>
          <t>1 pr</t>
        </is>
      </c>
      <c r="M5874" s="12" t="inlineStr">
        <is>
          <t>16</t>
        </is>
      </c>
      <c r="N5874" s="12" t="n">
        <v>12</v>
      </c>
      <c r="O5874" s="12" t="n">
        <v>1</v>
      </c>
      <c r="P5874" s="12" t="n"/>
      <c r="Q5874" s="12" t="n"/>
      <c r="R5874" s="12" t="n"/>
      <c r="S5874" s="12" t="inlineStr">
        <is>
          <t>Tray / conduit</t>
        </is>
      </c>
      <c r="T5874" s="16" t="n">
        <v>63</v>
      </c>
      <c r="U5874" s="16" t="n">
        <v>10</v>
      </c>
      <c r="V5874" s="16">
        <f>ROUNDUP((T5874+U5874+2*'Read Me'!$B$13)*(1+'Read Me'!$B$12),-1)</f>
        <v/>
      </c>
      <c r="W5874" s="16">
        <f>V5874*N5874*O5874</f>
        <v/>
      </c>
      <c r="X5874" s="12">
        <f>IF(LEFT(I5874,2)="MV",2*N5874*IF(L5874="1/C",O5874,1),0)</f>
        <v/>
      </c>
      <c r="Y5874" s="12">
        <f>IF(OR(LEFT(K5874,4)="LVAX",LEFT(K5874,6)="MV15AX",LEFT(K5874,4)="CTAX",LEFT(K5874,2)="W|"),2*N5874*O5874,0)</f>
        <v/>
      </c>
      <c r="Z5874" s="12" t="inlineStr">
        <is>
          <t>device-to-JB field wiring, one cable per device</t>
        </is>
      </c>
      <c r="AA5874" s="12">
        <f>N5874*O5874</f>
        <v/>
      </c>
    </row>
    <row r="5875">
      <c r="A5875" s="12" t="inlineStr">
        <is>
          <t>K-I-0136</t>
        </is>
      </c>
      <c r="B5875" s="12" t="inlineStr">
        <is>
          <t>K</t>
        </is>
      </c>
      <c r="C5875" s="12" t="inlineStr">
        <is>
          <t>Fuel supply (adjacent market)</t>
        </is>
      </c>
      <c r="D5875" s="12" t="inlineStr">
        <is>
          <t>Home run JB-LNG 13: send-out p-AI01 to the control / marshalling room</t>
        </is>
      </c>
      <c r="E5875" s="12" t="inlineStr"/>
      <c r="F5875" s="12" t="inlineStr">
        <is>
          <t>LNG 17: LNG e-house (13.8 kV / 480 V)</t>
        </is>
      </c>
      <c r="G5875" s="12" t="inlineStr">
        <is>
          <t>JB-LNG 13: send-out p-AI01</t>
        </is>
      </c>
      <c r="H5875" s="12" t="inlineStr">
        <is>
          <t>LNG 13: send-out pumps 2 x 100%</t>
        </is>
      </c>
      <c r="I5875" s="12" t="inlineStr">
        <is>
          <t>Instrumentation</t>
        </is>
      </c>
      <c r="J5875" s="12" t="inlineStr">
        <is>
          <t>Instrumentation ITC / PLTC, IS, #18 shielded pairs, blue jacket</t>
        </is>
      </c>
      <c r="K5875" s="12" t="inlineStr">
        <is>
          <t>ITC|24 pr|18</t>
        </is>
      </c>
      <c r="L5875" s="12" t="inlineStr">
        <is>
          <t>24 pr</t>
        </is>
      </c>
      <c r="M5875" s="12" t="inlineStr">
        <is>
          <t>18</t>
        </is>
      </c>
      <c r="N5875" s="12" t="n">
        <v>1</v>
      </c>
      <c r="O5875" s="12" t="n">
        <v>1</v>
      </c>
      <c r="P5875" s="12" t="n"/>
      <c r="Q5875" s="12" t="n"/>
      <c r="R5875" s="12" t="n"/>
      <c r="S5875" s="12" t="inlineStr">
        <is>
          <t>Duct bank</t>
        </is>
      </c>
      <c r="T5875" s="16" t="n">
        <v>110</v>
      </c>
      <c r="U5875" s="16" t="n">
        <v>32</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K-I-0137</t>
        </is>
      </c>
      <c r="B5876" s="12" t="inlineStr">
        <is>
          <t>K</t>
        </is>
      </c>
      <c r="C5876" s="12" t="inlineStr">
        <is>
          <t>Fuel supply (adjacent market)</t>
        </is>
      </c>
      <c r="D5876" s="12" t="inlineStr">
        <is>
          <t>Discrete device to JB JB-LNG 13: send-out p-DI01: 12 x 1 pr (field cables)</t>
        </is>
      </c>
      <c r="E5876" s="12" t="inlineStr"/>
      <c r="F5876" s="12" t="inlineStr">
        <is>
          <t>LNG 13: send-out pumps 2 x 100%</t>
        </is>
      </c>
      <c r="G5876" s="12" t="inlineStr">
        <is>
          <t>JB-LNG 13: send-out p-DI01</t>
        </is>
      </c>
      <c r="H5876" s="12" t="inlineStr">
        <is>
          <t>LNG 13: send-out pumps 2 x 100%</t>
        </is>
      </c>
      <c r="I5876" s="12" t="inlineStr">
        <is>
          <t>Instrumentation</t>
        </is>
      </c>
      <c r="J5876" s="12" t="inlineStr">
        <is>
          <t>Instrumentation ITC / PLTC, IS, #18 shielded pairs, blue jacket</t>
        </is>
      </c>
      <c r="K5876" s="12" t="inlineStr">
        <is>
          <t>ITC|1 pr|16</t>
        </is>
      </c>
      <c r="L5876" s="12" t="inlineStr">
        <is>
          <t>1 pr</t>
        </is>
      </c>
      <c r="M5876" s="12" t="inlineStr">
        <is>
          <t>16</t>
        </is>
      </c>
      <c r="N5876" s="12" t="n">
        <v>12</v>
      </c>
      <c r="O5876" s="12" t="n">
        <v>1</v>
      </c>
      <c r="P5876" s="12" t="n"/>
      <c r="Q5876" s="12" t="n"/>
      <c r="R5876" s="12" t="n"/>
      <c r="S5876" s="12" t="inlineStr">
        <is>
          <t>Tray / conduit</t>
        </is>
      </c>
      <c r="T5876" s="16" t="n">
        <v>63</v>
      </c>
      <c r="U5876" s="16" t="n">
        <v>10</v>
      </c>
      <c r="V5876" s="16">
        <f>ROUNDUP((T5876+U5876+2*'Read Me'!$B$13)*(1+'Read Me'!$B$12),-1)</f>
        <v/>
      </c>
      <c r="W5876" s="16">
        <f>V5876*N5876*O5876</f>
        <v/>
      </c>
      <c r="X5876" s="12">
        <f>IF(LEFT(I5876,2)="MV",2*N5876*IF(L5876="1/C",O5876,1),0)</f>
        <v/>
      </c>
      <c r="Y5876" s="12">
        <f>IF(OR(LEFT(K5876,4)="LVAX",LEFT(K5876,6)="MV15AX",LEFT(K5876,4)="CTAX",LEFT(K5876,2)="W|"),2*N5876*O5876,0)</f>
        <v/>
      </c>
      <c r="Z5876" s="12" t="inlineStr">
        <is>
          <t>device-to-JB field wiring, one cable per device</t>
        </is>
      </c>
      <c r="AA5876" s="12">
        <f>N5876*O5876</f>
        <v/>
      </c>
    </row>
    <row r="5877">
      <c r="A5877" s="12" t="inlineStr">
        <is>
          <t>K-I-0138</t>
        </is>
      </c>
      <c r="B5877" s="12" t="inlineStr">
        <is>
          <t>K</t>
        </is>
      </c>
      <c r="C5877" s="12" t="inlineStr">
        <is>
          <t>Fuel supply (adjacent market)</t>
        </is>
      </c>
      <c r="D5877" s="12" t="inlineStr">
        <is>
          <t>Home run JB-LNG 13: send-out p-DI01 to the control / marshalling room</t>
        </is>
      </c>
      <c r="E5877" s="12" t="inlineStr"/>
      <c r="F5877" s="12" t="inlineStr">
        <is>
          <t>LNG 17: LNG e-house (13.8 kV / 480 V)</t>
        </is>
      </c>
      <c r="G5877" s="12" t="inlineStr">
        <is>
          <t>JB-LNG 13: send-out p-DI01</t>
        </is>
      </c>
      <c r="H5877" s="12" t="inlineStr">
        <is>
          <t>LNG 13: send-out pumps 2 x 100%</t>
        </is>
      </c>
      <c r="I5877" s="12" t="inlineStr">
        <is>
          <t>Instrumentation</t>
        </is>
      </c>
      <c r="J5877" s="12" t="inlineStr">
        <is>
          <t>Instrumentation ITC / PLTC, IS, #18 shielded pairs, blue jacket</t>
        </is>
      </c>
      <c r="K5877" s="12" t="inlineStr">
        <is>
          <t>ITC|24 pr|18</t>
        </is>
      </c>
      <c r="L5877" s="12" t="inlineStr">
        <is>
          <t>24 pr</t>
        </is>
      </c>
      <c r="M5877" s="12" t="inlineStr">
        <is>
          <t>18</t>
        </is>
      </c>
      <c r="N5877" s="12" t="n">
        <v>1</v>
      </c>
      <c r="O5877" s="12" t="n">
        <v>1</v>
      </c>
      <c r="P5877" s="12" t="n"/>
      <c r="Q5877" s="12" t="n"/>
      <c r="R5877" s="12" t="n"/>
      <c r="S5877" s="12" t="inlineStr">
        <is>
          <t>Duct bank</t>
        </is>
      </c>
      <c r="T5877" s="16" t="n">
        <v>110</v>
      </c>
      <c r="U5877" s="16" t="n">
        <v>32</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K-I-0139</t>
        </is>
      </c>
      <c r="B5878" s="12" t="inlineStr">
        <is>
          <t>K</t>
        </is>
      </c>
      <c r="C5878" s="12" t="inlineStr">
        <is>
          <t>Fuel supply (adjacent market)</t>
        </is>
      </c>
      <c r="D5878" s="12" t="inlineStr">
        <is>
          <t>Analog instrument to JB JB-LNG 14: vaporizers-AI01: 12 x 1 pr (field cables)</t>
        </is>
      </c>
      <c r="E5878" s="12" t="inlineStr"/>
      <c r="F5878" s="12" t="inlineStr">
        <is>
          <t>LNG 14: vaporizers + glycol heater</t>
        </is>
      </c>
      <c r="G5878" s="12" t="inlineStr">
        <is>
          <t>JB-LNG 14: vaporizers-AI01</t>
        </is>
      </c>
      <c r="H5878" s="12" t="inlineStr">
        <is>
          <t>LNG 14: vaporizers + glycol heater</t>
        </is>
      </c>
      <c r="I5878" s="12" t="inlineStr">
        <is>
          <t>Instrumentation</t>
        </is>
      </c>
      <c r="J5878" s="12" t="inlineStr">
        <is>
          <t>Instrumentation ITC / PLTC, IS, #18 shielded pairs, blue jacket</t>
        </is>
      </c>
      <c r="K5878" s="12" t="inlineStr">
        <is>
          <t>ITC|1 pr|16</t>
        </is>
      </c>
      <c r="L5878" s="12" t="inlineStr">
        <is>
          <t>1 pr</t>
        </is>
      </c>
      <c r="M5878" s="12" t="inlineStr">
        <is>
          <t>16</t>
        </is>
      </c>
      <c r="N5878" s="12" t="n">
        <v>12</v>
      </c>
      <c r="O5878" s="12" t="n">
        <v>1</v>
      </c>
      <c r="P5878" s="12" t="n"/>
      <c r="Q5878" s="12" t="n"/>
      <c r="R5878" s="12" t="n"/>
      <c r="S5878" s="12" t="inlineStr">
        <is>
          <t>Tray / conduit</t>
        </is>
      </c>
      <c r="T5878" s="16" t="n">
        <v>122</v>
      </c>
      <c r="U5878" s="16" t="n">
        <v>10</v>
      </c>
      <c r="V5878" s="16">
        <f>ROUNDUP((T5878+U5878+2*'Read Me'!$B$13)*(1+'Read Me'!$B$12),-1)</f>
        <v/>
      </c>
      <c r="W5878" s="16">
        <f>V5878*N5878*O5878</f>
        <v/>
      </c>
      <c r="X5878" s="12">
        <f>IF(LEFT(I5878,2)="MV",2*N5878*IF(L5878="1/C",O5878,1),0)</f>
        <v/>
      </c>
      <c r="Y5878" s="12">
        <f>IF(OR(LEFT(K5878,4)="LVAX",LEFT(K5878,6)="MV15AX",LEFT(K5878,4)="CTAX",LEFT(K5878,2)="W|"),2*N5878*O5878,0)</f>
        <v/>
      </c>
      <c r="Z5878" s="12" t="inlineStr">
        <is>
          <t>device-to-JB field wiring, one cable per device</t>
        </is>
      </c>
      <c r="AA5878" s="12">
        <f>N5878*O5878</f>
        <v/>
      </c>
    </row>
    <row r="5879">
      <c r="A5879" s="12" t="inlineStr">
        <is>
          <t>K-I-0140</t>
        </is>
      </c>
      <c r="B5879" s="12" t="inlineStr">
        <is>
          <t>K</t>
        </is>
      </c>
      <c r="C5879" s="12" t="inlineStr">
        <is>
          <t>Fuel supply (adjacent market)</t>
        </is>
      </c>
      <c r="D5879" s="12" t="inlineStr">
        <is>
          <t>Home run JB-LNG 14: vaporizers-AI01 to the control / marshalling room</t>
        </is>
      </c>
      <c r="E5879" s="12" t="inlineStr"/>
      <c r="F5879" s="12" t="inlineStr">
        <is>
          <t>LNG 17: LNG e-house (13.8 kV / 480 V)</t>
        </is>
      </c>
      <c r="G5879" s="12" t="inlineStr">
        <is>
          <t>JB-LNG 14: vaporizers-AI01</t>
        </is>
      </c>
      <c r="H5879" s="12" t="inlineStr">
        <is>
          <t>LNG 14: vaporizers + glycol heater</t>
        </is>
      </c>
      <c r="I5879" s="12" t="inlineStr">
        <is>
          <t>Instrumentation</t>
        </is>
      </c>
      <c r="J5879" s="12" t="inlineStr">
        <is>
          <t>Instrumentation ITC / PLTC, IS, #18 shielded pairs, blue jacket</t>
        </is>
      </c>
      <c r="K5879" s="12" t="inlineStr">
        <is>
          <t>ITC|24 pr|18</t>
        </is>
      </c>
      <c r="L5879" s="12" t="inlineStr">
        <is>
          <t>24 pr</t>
        </is>
      </c>
      <c r="M5879" s="12" t="inlineStr">
        <is>
          <t>18</t>
        </is>
      </c>
      <c r="N5879" s="12" t="n">
        <v>1</v>
      </c>
      <c r="O5879" s="12" t="n">
        <v>1</v>
      </c>
      <c r="P5879" s="12" t="n"/>
      <c r="Q5879" s="12" t="n"/>
      <c r="R5879" s="12" t="n"/>
      <c r="S5879" s="12" t="inlineStr">
        <is>
          <t>Duct bank</t>
        </is>
      </c>
      <c r="T5879" s="16" t="n">
        <v>259</v>
      </c>
      <c r="U5879" s="16" t="n">
        <v>32</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K-I-0141</t>
        </is>
      </c>
      <c r="B5880" s="12" t="inlineStr">
        <is>
          <t>K</t>
        </is>
      </c>
      <c r="C5880" s="12" t="inlineStr">
        <is>
          <t>Fuel supply (adjacent market)</t>
        </is>
      </c>
      <c r="D5880" s="12" t="inlineStr">
        <is>
          <t>Discrete device to JB JB-LNG 14: vaporizers-DI01: 12 x 1 pr (field cables)</t>
        </is>
      </c>
      <c r="E5880" s="12" t="inlineStr"/>
      <c r="F5880" s="12" t="inlineStr">
        <is>
          <t>LNG 14: vaporizers + glycol heater</t>
        </is>
      </c>
      <c r="G5880" s="12" t="inlineStr">
        <is>
          <t>JB-LNG 14: vaporizers-DI01</t>
        </is>
      </c>
      <c r="H5880" s="12" t="inlineStr">
        <is>
          <t>LNG 14: vaporizers + glycol heater</t>
        </is>
      </c>
      <c r="I5880" s="12" t="inlineStr">
        <is>
          <t>Instrumentation</t>
        </is>
      </c>
      <c r="J5880" s="12" t="inlineStr">
        <is>
          <t>Instrumentation ITC / PLTC, IS, #18 shielded pairs, blue jacket</t>
        </is>
      </c>
      <c r="K5880" s="12" t="inlineStr">
        <is>
          <t>ITC|1 pr|16</t>
        </is>
      </c>
      <c r="L5880" s="12" t="inlineStr">
        <is>
          <t>1 pr</t>
        </is>
      </c>
      <c r="M5880" s="12" t="inlineStr">
        <is>
          <t>16</t>
        </is>
      </c>
      <c r="N5880" s="12" t="n">
        <v>12</v>
      </c>
      <c r="O5880" s="12" t="n">
        <v>1</v>
      </c>
      <c r="P5880" s="12" t="n"/>
      <c r="Q5880" s="12" t="n"/>
      <c r="R5880" s="12" t="n"/>
      <c r="S5880" s="12" t="inlineStr">
        <is>
          <t>Tray / conduit</t>
        </is>
      </c>
      <c r="T5880" s="16" t="n">
        <v>122</v>
      </c>
      <c r="U5880" s="16" t="n">
        <v>10</v>
      </c>
      <c r="V5880" s="16">
        <f>ROUNDUP((T5880+U5880+2*'Read Me'!$B$13)*(1+'Read Me'!$B$12),-1)</f>
        <v/>
      </c>
      <c r="W5880" s="16">
        <f>V5880*N5880*O5880</f>
        <v/>
      </c>
      <c r="X5880" s="12">
        <f>IF(LEFT(I5880,2)="MV",2*N5880*IF(L5880="1/C",O5880,1),0)</f>
        <v/>
      </c>
      <c r="Y5880" s="12">
        <f>IF(OR(LEFT(K5880,4)="LVAX",LEFT(K5880,6)="MV15AX",LEFT(K5880,4)="CTAX",LEFT(K5880,2)="W|"),2*N5880*O5880,0)</f>
        <v/>
      </c>
      <c r="Z5880" s="12" t="inlineStr">
        <is>
          <t>device-to-JB field wiring, one cable per device</t>
        </is>
      </c>
      <c r="AA5880" s="12">
        <f>N5880*O5880</f>
        <v/>
      </c>
    </row>
    <row r="5881">
      <c r="A5881" s="12" t="inlineStr">
        <is>
          <t>K-I-0142</t>
        </is>
      </c>
      <c r="B5881" s="12" t="inlineStr">
        <is>
          <t>K</t>
        </is>
      </c>
      <c r="C5881" s="12" t="inlineStr">
        <is>
          <t>Fuel supply (adjacent market)</t>
        </is>
      </c>
      <c r="D5881" s="12" t="inlineStr">
        <is>
          <t>Home run JB-LNG 14: vaporizers-DI01 to the control / marshalling room</t>
        </is>
      </c>
      <c r="E5881" s="12" t="inlineStr"/>
      <c r="F5881" s="12" t="inlineStr">
        <is>
          <t>LNG 17: LNG e-house (13.8 kV / 480 V)</t>
        </is>
      </c>
      <c r="G5881" s="12" t="inlineStr">
        <is>
          <t>JB-LNG 14: vaporizers-DI01</t>
        </is>
      </c>
      <c r="H5881" s="12" t="inlineStr">
        <is>
          <t>LNG 14: vaporizers + glycol heater</t>
        </is>
      </c>
      <c r="I5881" s="12" t="inlineStr">
        <is>
          <t>Instrumentation</t>
        </is>
      </c>
      <c r="J5881" s="12" t="inlineStr">
        <is>
          <t>Instrumentation ITC / PLTC, IS, #18 shielded pairs, blue jacket</t>
        </is>
      </c>
      <c r="K5881" s="12" t="inlineStr">
        <is>
          <t>ITC|24 pr|18</t>
        </is>
      </c>
      <c r="L5881" s="12" t="inlineStr">
        <is>
          <t>24 pr</t>
        </is>
      </c>
      <c r="M5881" s="12" t="inlineStr">
        <is>
          <t>18</t>
        </is>
      </c>
      <c r="N5881" s="12" t="n">
        <v>1</v>
      </c>
      <c r="O5881" s="12" t="n">
        <v>1</v>
      </c>
      <c r="P5881" s="12" t="n"/>
      <c r="Q5881" s="12" t="n"/>
      <c r="R5881" s="12" t="n"/>
      <c r="S5881" s="12" t="inlineStr">
        <is>
          <t>Duct bank</t>
        </is>
      </c>
      <c r="T5881" s="16" t="n">
        <v>259</v>
      </c>
      <c r="U5881" s="16" t="n">
        <v>32</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K-I-0143</t>
        </is>
      </c>
      <c r="B5882" s="12" t="inlineStr">
        <is>
          <t>K</t>
        </is>
      </c>
      <c r="C5882" s="12" t="inlineStr">
        <is>
          <t>Fuel supply (adjacent market)</t>
        </is>
      </c>
      <c r="D5882" s="12" t="inlineStr">
        <is>
          <t>Analog instrument to JB JB-LNG 15: boil-off g-AI01: 12 x 1 pr (field cables)</t>
        </is>
      </c>
      <c r="E5882" s="12" t="inlineStr"/>
      <c r="F5882" s="12" t="inlineStr">
        <is>
          <t>LNG 15: boil-off gas compressor</t>
        </is>
      </c>
      <c r="G5882" s="12" t="inlineStr">
        <is>
          <t>JB-LNG 15: boil-off g-AI01</t>
        </is>
      </c>
      <c r="H5882" s="12" t="inlineStr">
        <is>
          <t>LNG 15: boil-off gas compressor</t>
        </is>
      </c>
      <c r="I5882" s="12" t="inlineStr">
        <is>
          <t>Instrumentation</t>
        </is>
      </c>
      <c r="J5882" s="12" t="inlineStr">
        <is>
          <t>Instrumentation ITC / PLTC, IS, #18 shielded pairs, blue jacket</t>
        </is>
      </c>
      <c r="K5882" s="12" t="inlineStr">
        <is>
          <t>ITC|1 pr|16</t>
        </is>
      </c>
      <c r="L5882" s="12" t="inlineStr">
        <is>
          <t>1 pr</t>
        </is>
      </c>
      <c r="M5882" s="12" t="inlineStr">
        <is>
          <t>16</t>
        </is>
      </c>
      <c r="N5882" s="12" t="n">
        <v>12</v>
      </c>
      <c r="O5882" s="12" t="n">
        <v>1</v>
      </c>
      <c r="P5882" s="12" t="n"/>
      <c r="Q5882" s="12" t="n"/>
      <c r="R5882" s="12" t="n"/>
      <c r="S5882" s="12" t="inlineStr">
        <is>
          <t>Tray / conduit</t>
        </is>
      </c>
      <c r="T5882" s="16" t="n">
        <v>67</v>
      </c>
      <c r="U5882" s="16" t="n">
        <v>10</v>
      </c>
      <c r="V5882" s="16">
        <f>ROUNDUP((T5882+U5882+2*'Read Me'!$B$13)*(1+'Read Me'!$B$12),-1)</f>
        <v/>
      </c>
      <c r="W5882" s="16">
        <f>V5882*N5882*O5882</f>
        <v/>
      </c>
      <c r="X5882" s="12">
        <f>IF(LEFT(I5882,2)="MV",2*N5882*IF(L5882="1/C",O5882,1),0)</f>
        <v/>
      </c>
      <c r="Y5882" s="12">
        <f>IF(OR(LEFT(K5882,4)="LVAX",LEFT(K5882,6)="MV15AX",LEFT(K5882,4)="CTAX",LEFT(K5882,2)="W|"),2*N5882*O5882,0)</f>
        <v/>
      </c>
      <c r="Z5882" s="12" t="inlineStr">
        <is>
          <t>device-to-JB field wiring, one cable per device</t>
        </is>
      </c>
      <c r="AA5882" s="12">
        <f>N5882*O5882</f>
        <v/>
      </c>
    </row>
    <row r="5883">
      <c r="A5883" s="12" t="inlineStr">
        <is>
          <t>K-I-0144</t>
        </is>
      </c>
      <c r="B5883" s="12" t="inlineStr">
        <is>
          <t>K</t>
        </is>
      </c>
      <c r="C5883" s="12" t="inlineStr">
        <is>
          <t>Fuel supply (adjacent market)</t>
        </is>
      </c>
      <c r="D5883" s="12" t="inlineStr">
        <is>
          <t>Home run JB-LNG 15: boil-off g-AI01 to the control / marshalling room</t>
        </is>
      </c>
      <c r="E5883" s="12" t="inlineStr"/>
      <c r="F5883" s="12" t="inlineStr">
        <is>
          <t>LNG 17: LNG e-house (13.8 kV / 480 V)</t>
        </is>
      </c>
      <c r="G5883" s="12" t="inlineStr">
        <is>
          <t>JB-LNG 15: boil-off g-AI01</t>
        </is>
      </c>
      <c r="H5883" s="12" t="inlineStr">
        <is>
          <t>LNG 15: boil-off gas compressor</t>
        </is>
      </c>
      <c r="I5883" s="12" t="inlineStr">
        <is>
          <t>Instrumentation</t>
        </is>
      </c>
      <c r="J5883" s="12" t="inlineStr">
        <is>
          <t>Instrumentation ITC / PLTC, IS, #18 shielded pairs, blue jacket</t>
        </is>
      </c>
      <c r="K5883" s="12" t="inlineStr">
        <is>
          <t>ITC|24 pr|18</t>
        </is>
      </c>
      <c r="L5883" s="12" t="inlineStr">
        <is>
          <t>24 pr</t>
        </is>
      </c>
      <c r="M5883" s="12" t="inlineStr">
        <is>
          <t>18</t>
        </is>
      </c>
      <c r="N5883" s="12" t="n">
        <v>1</v>
      </c>
      <c r="O5883" s="12" t="n">
        <v>1</v>
      </c>
      <c r="P5883" s="12" t="n"/>
      <c r="Q5883" s="12" t="n"/>
      <c r="R5883" s="12" t="n"/>
      <c r="S5883" s="12" t="inlineStr">
        <is>
          <t>Duct bank</t>
        </is>
      </c>
      <c r="T5883" s="16" t="n">
        <v>25</v>
      </c>
      <c r="U5883" s="16" t="n">
        <v>54</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K-I-0145</t>
        </is>
      </c>
      <c r="B5884" s="12" t="inlineStr">
        <is>
          <t>K</t>
        </is>
      </c>
      <c r="C5884" s="12" t="inlineStr">
        <is>
          <t>Fuel supply (adjacent market)</t>
        </is>
      </c>
      <c r="D5884" s="12" t="inlineStr">
        <is>
          <t>Discrete device to JB JB-LNG 15: boil-off g-DI01: 12 x 1 pr (field cables)</t>
        </is>
      </c>
      <c r="E5884" s="12" t="inlineStr"/>
      <c r="F5884" s="12" t="inlineStr">
        <is>
          <t>LNG 15: boil-off gas compressor</t>
        </is>
      </c>
      <c r="G5884" s="12" t="inlineStr">
        <is>
          <t>JB-LNG 15: boil-off g-DI01</t>
        </is>
      </c>
      <c r="H5884" s="12" t="inlineStr">
        <is>
          <t>LNG 15: boil-off gas compressor</t>
        </is>
      </c>
      <c r="I5884" s="12" t="inlineStr">
        <is>
          <t>Instrumentation</t>
        </is>
      </c>
      <c r="J5884" s="12" t="inlineStr">
        <is>
          <t>Instrumentation ITC / PLTC, IS, #18 shielded pairs, blue jacket</t>
        </is>
      </c>
      <c r="K5884" s="12" t="inlineStr">
        <is>
          <t>ITC|1 pr|16</t>
        </is>
      </c>
      <c r="L5884" s="12" t="inlineStr">
        <is>
          <t>1 pr</t>
        </is>
      </c>
      <c r="M5884" s="12" t="inlineStr">
        <is>
          <t>16</t>
        </is>
      </c>
      <c r="N5884" s="12" t="n">
        <v>12</v>
      </c>
      <c r="O5884" s="12" t="n">
        <v>1</v>
      </c>
      <c r="P5884" s="12" t="n"/>
      <c r="Q5884" s="12" t="n"/>
      <c r="R5884" s="12" t="n"/>
      <c r="S5884" s="12" t="inlineStr">
        <is>
          <t>Tray / conduit</t>
        </is>
      </c>
      <c r="T5884" s="16" t="n">
        <v>67</v>
      </c>
      <c r="U5884" s="16" t="n">
        <v>10</v>
      </c>
      <c r="V5884" s="16">
        <f>ROUNDUP((T5884+U5884+2*'Read Me'!$B$13)*(1+'Read Me'!$B$12),-1)</f>
        <v/>
      </c>
      <c r="W5884" s="16">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K-I-0146</t>
        </is>
      </c>
      <c r="B5885" s="12" t="inlineStr">
        <is>
          <t>K</t>
        </is>
      </c>
      <c r="C5885" s="12" t="inlineStr">
        <is>
          <t>Fuel supply (adjacent market)</t>
        </is>
      </c>
      <c r="D5885" s="12" t="inlineStr">
        <is>
          <t>Home run JB-LNG 15: boil-off g-DI01 to the control / marshalling room</t>
        </is>
      </c>
      <c r="E5885" s="12" t="inlineStr"/>
      <c r="F5885" s="12" t="inlineStr">
        <is>
          <t>LNG 17: LNG e-house (13.8 kV / 480 V)</t>
        </is>
      </c>
      <c r="G5885" s="12" t="inlineStr">
        <is>
          <t>JB-LNG 15: boil-off g-DI01</t>
        </is>
      </c>
      <c r="H5885" s="12" t="inlineStr">
        <is>
          <t>LNG 15: boil-off gas compressor</t>
        </is>
      </c>
      <c r="I5885" s="12" t="inlineStr">
        <is>
          <t>Instrumentation</t>
        </is>
      </c>
      <c r="J5885" s="12" t="inlineStr">
        <is>
          <t>Instrumentation ITC / PLTC, IS, #18 shielded pairs, blue jacket</t>
        </is>
      </c>
      <c r="K5885" s="12" t="inlineStr">
        <is>
          <t>ITC|24 pr|18</t>
        </is>
      </c>
      <c r="L5885" s="12" t="inlineStr">
        <is>
          <t>24 pr</t>
        </is>
      </c>
      <c r="M5885" s="12" t="inlineStr">
        <is>
          <t>18</t>
        </is>
      </c>
      <c r="N5885" s="12" t="n">
        <v>1</v>
      </c>
      <c r="O5885" s="12" t="n">
        <v>1</v>
      </c>
      <c r="P5885" s="12" t="n"/>
      <c r="Q5885" s="12" t="n"/>
      <c r="R5885" s="12" t="n"/>
      <c r="S5885" s="12" t="inlineStr">
        <is>
          <t>Duct bank</t>
        </is>
      </c>
      <c r="T5885" s="16" t="n">
        <v>25</v>
      </c>
      <c r="U5885" s="16" t="n">
        <v>54</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K-I-0147</t>
        </is>
      </c>
      <c r="B5886" s="12" t="inlineStr">
        <is>
          <t>K</t>
        </is>
      </c>
      <c r="C5886" s="12" t="inlineStr">
        <is>
          <t>Fuel supply (adjacent market)</t>
        </is>
      </c>
      <c r="D5886" s="12" t="inlineStr">
        <is>
          <t>Analog instrument to JB JB-LNG 16: send-out m-AI01: 12 x 1 pr (field cables)</t>
        </is>
      </c>
      <c r="E5886" s="12" t="inlineStr"/>
      <c r="F5886" s="12" t="inlineStr">
        <is>
          <t>LNG 16: send-out metering + pressure control</t>
        </is>
      </c>
      <c r="G5886" s="12" t="inlineStr">
        <is>
          <t>JB-LNG 16: send-out m-AI01</t>
        </is>
      </c>
      <c r="H5886" s="12" t="inlineStr">
        <is>
          <t>LNG 16: send-out metering + pressure control</t>
        </is>
      </c>
      <c r="I5886" s="12" t="inlineStr">
        <is>
          <t>Instrumentation</t>
        </is>
      </c>
      <c r="J5886" s="12" t="inlineStr">
        <is>
          <t>Instrumentation ITC / PLTC, IS, #18 shielded pairs, blue jacket</t>
        </is>
      </c>
      <c r="K5886" s="12" t="inlineStr">
        <is>
          <t>ITC|1 pr|16</t>
        </is>
      </c>
      <c r="L5886" s="12" t="inlineStr">
        <is>
          <t>1 pr</t>
        </is>
      </c>
      <c r="M5886" s="12" t="inlineStr">
        <is>
          <t>16</t>
        </is>
      </c>
      <c r="N5886" s="12" t="n">
        <v>12</v>
      </c>
      <c r="O5886" s="12" t="n">
        <v>1</v>
      </c>
      <c r="P5886" s="12" t="n"/>
      <c r="Q5886" s="12" t="n"/>
      <c r="R5886" s="12" t="n"/>
      <c r="S5886" s="12" t="inlineStr">
        <is>
          <t>Tray / conduit</t>
        </is>
      </c>
      <c r="T5886" s="16" t="n">
        <v>74</v>
      </c>
      <c r="U5886" s="16" t="n">
        <v>10</v>
      </c>
      <c r="V5886" s="16">
        <f>ROUNDUP((T5886+U5886+2*'Read Me'!$B$13)*(1+'Read Me'!$B$12),-1)</f>
        <v/>
      </c>
      <c r="W5886" s="16">
        <f>V5886*N5886*O5886</f>
        <v/>
      </c>
      <c r="X5886" s="12">
        <f>IF(LEFT(I5886,2)="MV",2*N5886*IF(L5886="1/C",O5886,1),0)</f>
        <v/>
      </c>
      <c r="Y5886" s="12">
        <f>IF(OR(LEFT(K5886,4)="LVAX",LEFT(K5886,6)="MV15AX",LEFT(K5886,4)="CTAX",LEFT(K5886,2)="W|"),2*N5886*O5886,0)</f>
        <v/>
      </c>
      <c r="Z5886" s="12" t="inlineStr">
        <is>
          <t>device-to-JB field wiring, one cable per device</t>
        </is>
      </c>
      <c r="AA5886" s="12">
        <f>N5886*O5886</f>
        <v/>
      </c>
    </row>
    <row r="5887">
      <c r="A5887" s="12" t="inlineStr">
        <is>
          <t>K-I-0148</t>
        </is>
      </c>
      <c r="B5887" s="12" t="inlineStr">
        <is>
          <t>K</t>
        </is>
      </c>
      <c r="C5887" s="12" t="inlineStr">
        <is>
          <t>Fuel supply (adjacent market)</t>
        </is>
      </c>
      <c r="D5887" s="12" t="inlineStr">
        <is>
          <t>Home run JB-LNG 16: send-out m-AI01 to the control / marshalling room</t>
        </is>
      </c>
      <c r="E5887" s="12" t="inlineStr"/>
      <c r="F5887" s="12" t="inlineStr">
        <is>
          <t>LNG 17: LNG e-house (13.8 kV / 480 V)</t>
        </is>
      </c>
      <c r="G5887" s="12" t="inlineStr">
        <is>
          <t>JB-LNG 16: send-out m-AI01</t>
        </is>
      </c>
      <c r="H5887" s="12" t="inlineStr">
        <is>
          <t>LNG 16: send-out metering + pressure control</t>
        </is>
      </c>
      <c r="I5887" s="12" t="inlineStr">
        <is>
          <t>Instrumentation</t>
        </is>
      </c>
      <c r="J5887" s="12" t="inlineStr">
        <is>
          <t>Instrumentation ITC / PLTC, IS, #18 shielded pairs, blue jacket</t>
        </is>
      </c>
      <c r="K5887" s="12" t="inlineStr">
        <is>
          <t>ITC|24 pr|18</t>
        </is>
      </c>
      <c r="L5887" s="12" t="inlineStr">
        <is>
          <t>24 pr</t>
        </is>
      </c>
      <c r="M5887" s="12" t="inlineStr">
        <is>
          <t>18</t>
        </is>
      </c>
      <c r="N5887" s="12" t="n">
        <v>1</v>
      </c>
      <c r="O5887" s="12" t="n">
        <v>1</v>
      </c>
      <c r="P5887" s="12" t="n"/>
      <c r="Q5887" s="12" t="n"/>
      <c r="R5887" s="12" t="n"/>
      <c r="S5887" s="12" t="inlineStr">
        <is>
          <t>Duct bank</t>
        </is>
      </c>
      <c r="T5887" s="16" t="n">
        <v>20</v>
      </c>
      <c r="U5887" s="16" t="n">
        <v>32</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K-I-0149</t>
        </is>
      </c>
      <c r="B5888" s="12" t="inlineStr">
        <is>
          <t>K</t>
        </is>
      </c>
      <c r="C5888" s="12" t="inlineStr">
        <is>
          <t>Fuel supply (adjacent market)</t>
        </is>
      </c>
      <c r="D5888" s="12" t="inlineStr">
        <is>
          <t>Discrete device to JB JB-LNG 16: send-out m-DI01: 12 x 1 pr (field cables)</t>
        </is>
      </c>
      <c r="E5888" s="12" t="inlineStr"/>
      <c r="F5888" s="12" t="inlineStr">
        <is>
          <t>LNG 16: send-out metering + pressure control</t>
        </is>
      </c>
      <c r="G5888" s="12" t="inlineStr">
        <is>
          <t>JB-LNG 16: send-out m-DI01</t>
        </is>
      </c>
      <c r="H5888" s="12" t="inlineStr">
        <is>
          <t>LNG 16: send-out metering + pressure control</t>
        </is>
      </c>
      <c r="I5888" s="12" t="inlineStr">
        <is>
          <t>Instrumentation</t>
        </is>
      </c>
      <c r="J5888" s="12" t="inlineStr">
        <is>
          <t>Instrumentation ITC / PLTC, IS, #18 shielded pairs, blue jacket</t>
        </is>
      </c>
      <c r="K5888" s="12" t="inlineStr">
        <is>
          <t>ITC|1 pr|16</t>
        </is>
      </c>
      <c r="L5888" s="12" t="inlineStr">
        <is>
          <t>1 pr</t>
        </is>
      </c>
      <c r="M5888" s="12" t="inlineStr">
        <is>
          <t>16</t>
        </is>
      </c>
      <c r="N5888" s="12" t="n">
        <v>12</v>
      </c>
      <c r="O5888" s="12" t="n">
        <v>1</v>
      </c>
      <c r="P5888" s="12" t="n"/>
      <c r="Q5888" s="12" t="n"/>
      <c r="R5888" s="12" t="n"/>
      <c r="S5888" s="12" t="inlineStr">
        <is>
          <t>Tray / conduit</t>
        </is>
      </c>
      <c r="T5888" s="16" t="n">
        <v>74</v>
      </c>
      <c r="U5888" s="16" t="n">
        <v>10</v>
      </c>
      <c r="V5888" s="16">
        <f>ROUNDUP((T5888+U5888+2*'Read Me'!$B$13)*(1+'Read Me'!$B$12),-1)</f>
        <v/>
      </c>
      <c r="W5888" s="16">
        <f>V5888*N5888*O5888</f>
        <v/>
      </c>
      <c r="X5888" s="12">
        <f>IF(LEFT(I5888,2)="MV",2*N5888*IF(L5888="1/C",O5888,1),0)</f>
        <v/>
      </c>
      <c r="Y5888" s="12">
        <f>IF(OR(LEFT(K5888,4)="LVAX",LEFT(K5888,6)="MV15AX",LEFT(K5888,4)="CTAX",LEFT(K5888,2)="W|"),2*N5888*O5888,0)</f>
        <v/>
      </c>
      <c r="Z5888" s="12" t="inlineStr">
        <is>
          <t>device-to-JB field wiring, one cable per device</t>
        </is>
      </c>
      <c r="AA5888" s="12">
        <f>N5888*O5888</f>
        <v/>
      </c>
    </row>
    <row r="5889">
      <c r="A5889" s="12" t="inlineStr">
        <is>
          <t>K-I-0150</t>
        </is>
      </c>
      <c r="B5889" s="12" t="inlineStr">
        <is>
          <t>K</t>
        </is>
      </c>
      <c r="C5889" s="12" t="inlineStr">
        <is>
          <t>Fuel supply (adjacent market)</t>
        </is>
      </c>
      <c r="D5889" s="12" t="inlineStr">
        <is>
          <t>Home run JB-LNG 16: send-out m-DI01 to the control / marshalling room</t>
        </is>
      </c>
      <c r="E5889" s="12" t="inlineStr"/>
      <c r="F5889" s="12" t="inlineStr">
        <is>
          <t>LNG 17: LNG e-house (13.8 kV / 480 V)</t>
        </is>
      </c>
      <c r="G5889" s="12" t="inlineStr">
        <is>
          <t>JB-LNG 16: send-out m-DI01</t>
        </is>
      </c>
      <c r="H5889" s="12" t="inlineStr">
        <is>
          <t>LNG 16: send-out metering + pressure control</t>
        </is>
      </c>
      <c r="I5889" s="12" t="inlineStr">
        <is>
          <t>Instrumentation</t>
        </is>
      </c>
      <c r="J5889" s="12" t="inlineStr">
        <is>
          <t>Instrumentation ITC / PLTC, IS, #18 shielded pairs, blue jacket</t>
        </is>
      </c>
      <c r="K5889" s="12" t="inlineStr">
        <is>
          <t>ITC|24 pr|18</t>
        </is>
      </c>
      <c r="L5889" s="12" t="inlineStr">
        <is>
          <t>24 pr</t>
        </is>
      </c>
      <c r="M5889" s="12" t="inlineStr">
        <is>
          <t>18</t>
        </is>
      </c>
      <c r="N5889" s="12" t="n">
        <v>1</v>
      </c>
      <c r="O5889" s="12" t="n">
        <v>1</v>
      </c>
      <c r="P5889" s="12" t="n"/>
      <c r="Q5889" s="12" t="n"/>
      <c r="R5889" s="12" t="n"/>
      <c r="S5889" s="12" t="inlineStr">
        <is>
          <t>Duct bank</t>
        </is>
      </c>
      <c r="T5889" s="16" t="n">
        <v>20</v>
      </c>
      <c r="U5889" s="16" t="n">
        <v>32</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K-I-0151</t>
        </is>
      </c>
      <c r="B5890" s="12" t="inlineStr">
        <is>
          <t>K</t>
        </is>
      </c>
      <c r="C5890" s="12" t="inlineStr">
        <is>
          <t>Fuel supply (adjacent market)</t>
        </is>
      </c>
      <c r="D5890" s="12" t="inlineStr">
        <is>
          <t>Analog instrument to JB JB-LNG 17: LNG e-hous-AI01: 12 x 1 pr (field cables)</t>
        </is>
      </c>
      <c r="E5890" s="12" t="inlineStr"/>
      <c r="F5890" s="12" t="inlineStr">
        <is>
          <t>LNG 17: LNG e-house (13.8 kV / 480 V)</t>
        </is>
      </c>
      <c r="G5890" s="12" t="inlineStr">
        <is>
          <t>JB-LNG 17: LNG e-hous-AI01</t>
        </is>
      </c>
      <c r="H5890" s="12" t="inlineStr">
        <is>
          <t>LNG 17: LNG e-house (13.8 kV / 480 V)</t>
        </is>
      </c>
      <c r="I5890" s="12" t="inlineStr">
        <is>
          <t>Instrumentation</t>
        </is>
      </c>
      <c r="J5890" s="12" t="inlineStr">
        <is>
          <t>Instrumentation ITC / PLTC, IS, #18 shielded pairs, blue jacket</t>
        </is>
      </c>
      <c r="K5890" s="12" t="inlineStr">
        <is>
          <t>ITC|1 pr|16</t>
        </is>
      </c>
      <c r="L5890" s="12" t="inlineStr">
        <is>
          <t>1 pr</t>
        </is>
      </c>
      <c r="M5890" s="12" t="inlineStr">
        <is>
          <t>16</t>
        </is>
      </c>
      <c r="N5890" s="12" t="n">
        <v>12</v>
      </c>
      <c r="O5890" s="12" t="n">
        <v>1</v>
      </c>
      <c r="P5890" s="12" t="n"/>
      <c r="Q5890" s="12" t="n"/>
      <c r="R5890" s="12" t="n"/>
      <c r="S5890" s="12" t="inlineStr">
        <is>
          <t>Tray / conduit</t>
        </is>
      </c>
      <c r="T5890" s="16" t="n">
        <v>58</v>
      </c>
      <c r="U5890" s="16" t="n">
        <v>10</v>
      </c>
      <c r="V5890" s="16">
        <f>ROUNDUP((T5890+U5890+2*'Read Me'!$B$13)*(1+'Read Me'!$B$12),-1)</f>
        <v/>
      </c>
      <c r="W5890" s="16">
        <f>V5890*N5890*O5890</f>
        <v/>
      </c>
      <c r="X5890" s="12">
        <f>IF(LEFT(I5890,2)="MV",2*N5890*IF(L5890="1/C",O5890,1),0)</f>
        <v/>
      </c>
      <c r="Y5890" s="12">
        <f>IF(OR(LEFT(K5890,4)="LVAX",LEFT(K5890,6)="MV15AX",LEFT(K5890,4)="CTAX",LEFT(K5890,2)="W|"),2*N5890*O5890,0)</f>
        <v/>
      </c>
      <c r="Z5890" s="12" t="inlineStr">
        <is>
          <t>device-to-JB field wiring, one cable per device</t>
        </is>
      </c>
      <c r="AA5890" s="12">
        <f>N5890*O5890</f>
        <v/>
      </c>
    </row>
    <row r="5891">
      <c r="A5891" s="12" t="inlineStr">
        <is>
          <t>K-I-0152</t>
        </is>
      </c>
      <c r="B5891" s="12" t="inlineStr">
        <is>
          <t>K</t>
        </is>
      </c>
      <c r="C5891" s="12" t="inlineStr">
        <is>
          <t>Fuel supply (adjacent market)</t>
        </is>
      </c>
      <c r="D5891" s="12" t="inlineStr">
        <is>
          <t>Home run JB-LNG 17: LNG e-hous-AI01 to the control / marshalling room</t>
        </is>
      </c>
      <c r="E5891" s="12" t="inlineStr"/>
      <c r="F5891" s="12" t="inlineStr">
        <is>
          <t>LNG 17: LNG e-house (13.8 kV / 480 V)</t>
        </is>
      </c>
      <c r="G5891" s="12" t="inlineStr">
        <is>
          <t>JB-LNG 17: LNG e-hous-AI01</t>
        </is>
      </c>
      <c r="H5891" s="12" t="inlineStr">
        <is>
          <t>LNG 17: LNG e-house (13.8 kV / 480 V)</t>
        </is>
      </c>
      <c r="I5891" s="12" t="inlineStr">
        <is>
          <t>Instrumentation</t>
        </is>
      </c>
      <c r="J5891" s="12" t="inlineStr">
        <is>
          <t>Instrumentation ITC / PLTC, IS, #18 shielded pairs, blue jacket</t>
        </is>
      </c>
      <c r="K5891" s="12" t="inlineStr">
        <is>
          <t>ITC|24 pr|18</t>
        </is>
      </c>
      <c r="L5891" s="12" t="inlineStr">
        <is>
          <t>24 pr</t>
        </is>
      </c>
      <c r="M5891" s="12" t="inlineStr">
        <is>
          <t>18</t>
        </is>
      </c>
      <c r="N5891" s="12" t="n">
        <v>1</v>
      </c>
      <c r="O5891" s="12" t="n">
        <v>1</v>
      </c>
      <c r="P5891" s="12" t="n"/>
      <c r="Q5891" s="12" t="n"/>
      <c r="R5891" s="12" t="n"/>
      <c r="S5891" s="12" t="inlineStr">
        <is>
          <t>Tray</t>
        </is>
      </c>
      <c r="T5891" s="16" t="n">
        <v>0</v>
      </c>
      <c r="U5891" s="16" t="n">
        <v>32</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K-I-0153</t>
        </is>
      </c>
      <c r="B5892" s="12" t="inlineStr">
        <is>
          <t>K</t>
        </is>
      </c>
      <c r="C5892" s="12" t="inlineStr">
        <is>
          <t>Fuel supply (adjacent market)</t>
        </is>
      </c>
      <c r="D5892" s="12" t="inlineStr">
        <is>
          <t>Discrete device to JB JB-LNG 17: LNG e-hous-DI01: 12 x 1 pr (field cables)</t>
        </is>
      </c>
      <c r="E5892" s="12" t="inlineStr"/>
      <c r="F5892" s="12" t="inlineStr">
        <is>
          <t>LNG 17: LNG e-house (13.8 kV / 480 V)</t>
        </is>
      </c>
      <c r="G5892" s="12" t="inlineStr">
        <is>
          <t>JB-LNG 17: LNG e-hous-DI01</t>
        </is>
      </c>
      <c r="H5892" s="12" t="inlineStr">
        <is>
          <t>LNG 17: LNG e-house (13.8 kV / 480 V)</t>
        </is>
      </c>
      <c r="I5892" s="12" t="inlineStr">
        <is>
          <t>Instrumentation</t>
        </is>
      </c>
      <c r="J5892" s="12" t="inlineStr">
        <is>
          <t>Instrumentation ITC / PLTC, IS, #18 shielded pairs, blue jacket</t>
        </is>
      </c>
      <c r="K5892" s="12" t="inlineStr">
        <is>
          <t>ITC|1 pr|16</t>
        </is>
      </c>
      <c r="L5892" s="12" t="inlineStr">
        <is>
          <t>1 pr</t>
        </is>
      </c>
      <c r="M5892" s="12" t="inlineStr">
        <is>
          <t>16</t>
        </is>
      </c>
      <c r="N5892" s="12" t="n">
        <v>12</v>
      </c>
      <c r="O5892" s="12" t="n">
        <v>1</v>
      </c>
      <c r="P5892" s="12" t="n"/>
      <c r="Q5892" s="12" t="n"/>
      <c r="R5892" s="12" t="n"/>
      <c r="S5892" s="12" t="inlineStr">
        <is>
          <t>Tray / conduit</t>
        </is>
      </c>
      <c r="T5892" s="16" t="n">
        <v>58</v>
      </c>
      <c r="U5892" s="16" t="n">
        <v>10</v>
      </c>
      <c r="V5892" s="16">
        <f>ROUNDUP((T5892+U5892+2*'Read Me'!$B$13)*(1+'Read Me'!$B$12),-1)</f>
        <v/>
      </c>
      <c r="W5892" s="16">
        <f>V5892*N5892*O5892</f>
        <v/>
      </c>
      <c r="X5892" s="12">
        <f>IF(LEFT(I5892,2)="MV",2*N5892*IF(L5892="1/C",O5892,1),0)</f>
        <v/>
      </c>
      <c r="Y5892" s="12">
        <f>IF(OR(LEFT(K5892,4)="LVAX",LEFT(K5892,6)="MV15AX",LEFT(K5892,4)="CTAX",LEFT(K5892,2)="W|"),2*N5892*O5892,0)</f>
        <v/>
      </c>
      <c r="Z5892" s="12" t="inlineStr">
        <is>
          <t>device-to-JB field wiring, one cable per device</t>
        </is>
      </c>
      <c r="AA5892" s="12">
        <f>N5892*O5892</f>
        <v/>
      </c>
    </row>
    <row r="5893">
      <c r="A5893" s="12" t="inlineStr">
        <is>
          <t>K-I-0154</t>
        </is>
      </c>
      <c r="B5893" s="12" t="inlineStr">
        <is>
          <t>K</t>
        </is>
      </c>
      <c r="C5893" s="12" t="inlineStr">
        <is>
          <t>Fuel supply (adjacent market)</t>
        </is>
      </c>
      <c r="D5893" s="12" t="inlineStr">
        <is>
          <t>Home run JB-LNG 17: LNG e-hous-DI01 to the control / marshalling room</t>
        </is>
      </c>
      <c r="E5893" s="12" t="inlineStr"/>
      <c r="F5893" s="12" t="inlineStr">
        <is>
          <t>LNG 17: LNG e-house (13.8 kV / 480 V)</t>
        </is>
      </c>
      <c r="G5893" s="12" t="inlineStr">
        <is>
          <t>JB-LNG 17: LNG e-hous-DI01</t>
        </is>
      </c>
      <c r="H5893" s="12" t="inlineStr">
        <is>
          <t>LNG 17: LNG e-house (13.8 kV / 480 V)</t>
        </is>
      </c>
      <c r="I5893" s="12" t="inlineStr">
        <is>
          <t>Instrumentation</t>
        </is>
      </c>
      <c r="J5893" s="12" t="inlineStr">
        <is>
          <t>Instrumentation ITC / PLTC, IS, #18 shielded pairs, blue jacket</t>
        </is>
      </c>
      <c r="K5893" s="12" t="inlineStr">
        <is>
          <t>ITC|24 pr|18</t>
        </is>
      </c>
      <c r="L5893" s="12" t="inlineStr">
        <is>
          <t>24 pr</t>
        </is>
      </c>
      <c r="M5893" s="12" t="inlineStr">
        <is>
          <t>18</t>
        </is>
      </c>
      <c r="N5893" s="12" t="n">
        <v>1</v>
      </c>
      <c r="O5893" s="12" t="n">
        <v>1</v>
      </c>
      <c r="P5893" s="12" t="n"/>
      <c r="Q5893" s="12" t="n"/>
      <c r="R5893" s="12" t="n"/>
      <c r="S5893" s="12" t="inlineStr">
        <is>
          <t>Tray</t>
        </is>
      </c>
      <c r="T5893" s="16" t="n">
        <v>0</v>
      </c>
      <c r="U5893" s="16" t="n">
        <v>32</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K-I-0155</t>
        </is>
      </c>
      <c r="B5894" s="12" t="inlineStr">
        <is>
          <t>K</t>
        </is>
      </c>
      <c r="C5894" s="12" t="inlineStr">
        <is>
          <t>Fuel supply (adjacent market)</t>
        </is>
      </c>
      <c r="D5894" s="12" t="inlineStr">
        <is>
          <t>Analog instrument to JB JB-LNG 18: vent stack-AI01: 12 x 1 pr (field cables)</t>
        </is>
      </c>
      <c r="E5894" s="12" t="inlineStr"/>
      <c r="F5894" s="12" t="inlineStr">
        <is>
          <t>LNG 18: vent stack</t>
        </is>
      </c>
      <c r="G5894" s="12" t="inlineStr">
        <is>
          <t>JB-LNG 18: vent stack-AI01</t>
        </is>
      </c>
      <c r="H5894" s="12" t="inlineStr">
        <is>
          <t>LNG 18: vent stack</t>
        </is>
      </c>
      <c r="I5894" s="12" t="inlineStr">
        <is>
          <t>Instrumentation</t>
        </is>
      </c>
      <c r="J5894" s="12" t="inlineStr">
        <is>
          <t>Instrumentation ITC / PLTC, IS, #18 shielded pairs, blue jacket</t>
        </is>
      </c>
      <c r="K5894" s="12" t="inlineStr">
        <is>
          <t>ITC|1 pr|16</t>
        </is>
      </c>
      <c r="L5894" s="12" t="inlineStr">
        <is>
          <t>1 pr</t>
        </is>
      </c>
      <c r="M5894" s="12" t="inlineStr">
        <is>
          <t>16</t>
        </is>
      </c>
      <c r="N5894" s="12" t="n">
        <v>12</v>
      </c>
      <c r="O5894" s="12" t="n">
        <v>1</v>
      </c>
      <c r="P5894" s="12" t="n"/>
      <c r="Q5894" s="12" t="n"/>
      <c r="R5894" s="12" t="n"/>
      <c r="S5894" s="12" t="inlineStr">
        <is>
          <t>Tray / conduit</t>
        </is>
      </c>
      <c r="T5894" s="16" t="n">
        <v>55</v>
      </c>
      <c r="U5894" s="16" t="n">
        <v>10</v>
      </c>
      <c r="V5894" s="16">
        <f>ROUNDUP((T5894+U5894+2*'Read Me'!$B$13)*(1+'Read Me'!$B$12),-1)</f>
        <v/>
      </c>
      <c r="W5894" s="16">
        <f>V5894*N5894*O5894</f>
        <v/>
      </c>
      <c r="X5894" s="12">
        <f>IF(LEFT(I5894,2)="MV",2*N5894*IF(L5894="1/C",O5894,1),0)</f>
        <v/>
      </c>
      <c r="Y5894" s="12">
        <f>IF(OR(LEFT(K5894,4)="LVAX",LEFT(K5894,6)="MV15AX",LEFT(K5894,4)="CTAX",LEFT(K5894,2)="W|"),2*N5894*O5894,0)</f>
        <v/>
      </c>
      <c r="Z5894" s="12" t="inlineStr">
        <is>
          <t>device-to-JB field wiring, one cable per device</t>
        </is>
      </c>
      <c r="AA5894" s="12">
        <f>N5894*O5894</f>
        <v/>
      </c>
    </row>
    <row r="5895">
      <c r="A5895" s="12" t="inlineStr">
        <is>
          <t>K-I-0156</t>
        </is>
      </c>
      <c r="B5895" s="12" t="inlineStr">
        <is>
          <t>K</t>
        </is>
      </c>
      <c r="C5895" s="12" t="inlineStr">
        <is>
          <t>Fuel supply (adjacent market)</t>
        </is>
      </c>
      <c r="D5895" s="12" t="inlineStr">
        <is>
          <t>Home run JB-LNG 18: vent stack-AI01 to the control / marshalling room</t>
        </is>
      </c>
      <c r="E5895" s="12" t="inlineStr"/>
      <c r="F5895" s="12" t="inlineStr">
        <is>
          <t>LNG 17: LNG e-house (13.8 kV / 480 V)</t>
        </is>
      </c>
      <c r="G5895" s="12" t="inlineStr">
        <is>
          <t>JB-LNG 18: vent stack-AI01</t>
        </is>
      </c>
      <c r="H5895" s="12" t="inlineStr">
        <is>
          <t>LNG 18: vent stack</t>
        </is>
      </c>
      <c r="I5895" s="12" t="inlineStr">
        <is>
          <t>Instrumentation</t>
        </is>
      </c>
      <c r="J5895" s="12" t="inlineStr">
        <is>
          <t>Instrumentation ITC / PLTC, IS, #18 shielded pairs, blue jacket</t>
        </is>
      </c>
      <c r="K5895" s="12" t="inlineStr">
        <is>
          <t>ITC|24 pr|18</t>
        </is>
      </c>
      <c r="L5895" s="12" t="inlineStr">
        <is>
          <t>24 pr</t>
        </is>
      </c>
      <c r="M5895" s="12" t="inlineStr">
        <is>
          <t>18</t>
        </is>
      </c>
      <c r="N5895" s="12" t="n">
        <v>1</v>
      </c>
      <c r="O5895" s="12" t="n">
        <v>1</v>
      </c>
      <c r="P5895" s="12" t="n"/>
      <c r="Q5895" s="12" t="n"/>
      <c r="R5895" s="12" t="n"/>
      <c r="S5895" s="12" t="inlineStr">
        <is>
          <t>Duct bank</t>
        </is>
      </c>
      <c r="T5895" s="16" t="n">
        <v>25</v>
      </c>
      <c r="U5895" s="16" t="n">
        <v>117</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K-I-0157</t>
        </is>
      </c>
      <c r="B5896" s="12" t="inlineStr">
        <is>
          <t>K</t>
        </is>
      </c>
      <c r="C5896" s="12" t="inlineStr">
        <is>
          <t>Fuel supply (adjacent market)</t>
        </is>
      </c>
      <c r="D5896" s="12" t="inlineStr">
        <is>
          <t>Discrete device to JB JB-LNG 18: vent stack-DI01: 12 x 1 pr (field cables)</t>
        </is>
      </c>
      <c r="E5896" s="12" t="inlineStr"/>
      <c r="F5896" s="12" t="inlineStr">
        <is>
          <t>LNG 18: vent stack</t>
        </is>
      </c>
      <c r="G5896" s="12" t="inlineStr">
        <is>
          <t>JB-LNG 18: vent stack-DI01</t>
        </is>
      </c>
      <c r="H5896" s="12" t="inlineStr">
        <is>
          <t>LNG 18: vent stack</t>
        </is>
      </c>
      <c r="I5896" s="12" t="inlineStr">
        <is>
          <t>Instrumentation</t>
        </is>
      </c>
      <c r="J5896" s="12" t="inlineStr">
        <is>
          <t>Instrumentation ITC / PLTC, IS, #18 shielded pairs, blue jacket</t>
        </is>
      </c>
      <c r="K5896" s="12" t="inlineStr">
        <is>
          <t>ITC|1 pr|16</t>
        </is>
      </c>
      <c r="L5896" s="12" t="inlineStr">
        <is>
          <t>1 pr</t>
        </is>
      </c>
      <c r="M5896" s="12" t="inlineStr">
        <is>
          <t>16</t>
        </is>
      </c>
      <c r="N5896" s="12" t="n">
        <v>12</v>
      </c>
      <c r="O5896" s="12" t="n">
        <v>1</v>
      </c>
      <c r="P5896" s="12" t="n"/>
      <c r="Q5896" s="12" t="n"/>
      <c r="R5896" s="12" t="n"/>
      <c r="S5896" s="12" t="inlineStr">
        <is>
          <t>Tray / conduit</t>
        </is>
      </c>
      <c r="T5896" s="16" t="n">
        <v>55</v>
      </c>
      <c r="U5896" s="16" t="n">
        <v>10</v>
      </c>
      <c r="V5896" s="16">
        <f>ROUNDUP((T5896+U5896+2*'Read Me'!$B$13)*(1+'Read Me'!$B$12),-1)</f>
        <v/>
      </c>
      <c r="W5896" s="16">
        <f>V5896*N5896*O5896</f>
        <v/>
      </c>
      <c r="X5896" s="12">
        <f>IF(LEFT(I5896,2)="MV",2*N5896*IF(L5896="1/C",O5896,1),0)</f>
        <v/>
      </c>
      <c r="Y5896" s="12">
        <f>IF(OR(LEFT(K5896,4)="LVAX",LEFT(K5896,6)="MV15AX",LEFT(K5896,4)="CTAX",LEFT(K5896,2)="W|"),2*N5896*O5896,0)</f>
        <v/>
      </c>
      <c r="Z5896" s="12" t="inlineStr">
        <is>
          <t>device-to-JB field wiring, one cable per device</t>
        </is>
      </c>
      <c r="AA5896" s="12">
        <f>N5896*O5896</f>
        <v/>
      </c>
    </row>
    <row r="5897">
      <c r="A5897" s="12" t="inlineStr">
        <is>
          <t>K-I-0158</t>
        </is>
      </c>
      <c r="B5897" s="12" t="inlineStr">
        <is>
          <t>K</t>
        </is>
      </c>
      <c r="C5897" s="12" t="inlineStr">
        <is>
          <t>Fuel supply (adjacent market)</t>
        </is>
      </c>
      <c r="D5897" s="12" t="inlineStr">
        <is>
          <t>Home run JB-LNG 18: vent stack-DI01 to the control / marshalling room</t>
        </is>
      </c>
      <c r="E5897" s="12" t="inlineStr"/>
      <c r="F5897" s="12" t="inlineStr">
        <is>
          <t>LNG 17: LNG e-house (13.8 kV / 480 V)</t>
        </is>
      </c>
      <c r="G5897" s="12" t="inlineStr">
        <is>
          <t>JB-LNG 18: vent stack-DI01</t>
        </is>
      </c>
      <c r="H5897" s="12" t="inlineStr">
        <is>
          <t>LNG 18: vent stack</t>
        </is>
      </c>
      <c r="I5897" s="12" t="inlineStr">
        <is>
          <t>Instrumentation</t>
        </is>
      </c>
      <c r="J5897" s="12" t="inlineStr">
        <is>
          <t>Instrumentation ITC / PLTC, IS, #18 shielded pairs, blue jacket</t>
        </is>
      </c>
      <c r="K5897" s="12" t="inlineStr">
        <is>
          <t>ITC|24 pr|18</t>
        </is>
      </c>
      <c r="L5897" s="12" t="inlineStr">
        <is>
          <t>24 pr</t>
        </is>
      </c>
      <c r="M5897" s="12" t="inlineStr">
        <is>
          <t>18</t>
        </is>
      </c>
      <c r="N5897" s="12" t="n">
        <v>1</v>
      </c>
      <c r="O5897" s="12" t="n">
        <v>1</v>
      </c>
      <c r="P5897" s="12" t="n"/>
      <c r="Q5897" s="12" t="n"/>
      <c r="R5897" s="12" t="n"/>
      <c r="S5897" s="12" t="inlineStr">
        <is>
          <t>Duct bank</t>
        </is>
      </c>
      <c r="T5897" s="16" t="n">
        <v>25</v>
      </c>
      <c r="U5897" s="16" t="n">
        <v>117</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K-I-0159</t>
        </is>
      </c>
      <c r="B5898" s="12" t="inlineStr">
        <is>
          <t>K</t>
        </is>
      </c>
      <c r="C5898" s="12" t="inlineStr">
        <is>
          <t>Fuel supply (adjacent market)</t>
        </is>
      </c>
      <c r="D5898" s="12" t="inlineStr">
        <is>
          <t>Instrumentation</t>
        </is>
      </c>
      <c r="E5898" s="12" t="inlineStr"/>
      <c r="F5898" s="12" t="inlineStr">
        <is>
          <t>LNG 17: LNG e-house (13.8 kV / 480 V)</t>
        </is>
      </c>
      <c r="G5898" s="12" t="inlineStr"/>
      <c r="H5898" s="12" t="inlineStr">
        <is>
          <t>LNG impoundment sump pump</t>
        </is>
      </c>
      <c r="I5898" s="12" t="inlineStr">
        <is>
          <t>Instrumentation</t>
        </is>
      </c>
      <c r="J5898" s="12" t="inlineStr">
        <is>
          <t>Instrumentation ITC / PLTC, IS, #18 shielded pairs, blue jacket</t>
        </is>
      </c>
      <c r="K5898" s="12" t="inlineStr">
        <is>
          <t>ITC|4 pr|18</t>
        </is>
      </c>
      <c r="L5898" s="12" t="inlineStr">
        <is>
          <t>4 pr</t>
        </is>
      </c>
      <c r="M5898" s="12" t="inlineStr">
        <is>
          <t>18</t>
        </is>
      </c>
      <c r="N5898" s="12" t="n">
        <v>1</v>
      </c>
      <c r="O5898" s="12" t="n">
        <v>1</v>
      </c>
      <c r="P5898" s="12" t="n"/>
      <c r="Q5898" s="12" t="n"/>
      <c r="R5898" s="12" t="n"/>
      <c r="S5898" s="12" t="inlineStr">
        <is>
          <t>Duct bank</t>
        </is>
      </c>
      <c r="T5898" s="16" t="n">
        <v>334</v>
      </c>
      <c r="U5898" s="16" t="n">
        <v>32</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K-I-0160</t>
        </is>
      </c>
      <c r="B5899" s="12" t="inlineStr">
        <is>
          <t>K</t>
        </is>
      </c>
      <c r="C5899" s="12" t="inlineStr">
        <is>
          <t>Fuel supply (adjacent market)</t>
        </is>
      </c>
      <c r="D5899" s="12" t="inlineStr">
        <is>
          <t>Instrumentation</t>
        </is>
      </c>
      <c r="E5899" s="12" t="inlineStr"/>
      <c r="F5899" s="12" t="inlineStr">
        <is>
          <t>LNG 17: LNG e-house (13.8 kV / 480 V)</t>
        </is>
      </c>
      <c r="G5899" s="12" t="inlineStr"/>
      <c r="H5899" s="12" t="inlineStr">
        <is>
          <t>M&amp;R 1: pig receiver, lateral terminus</t>
        </is>
      </c>
      <c r="I5899" s="12" t="inlineStr">
        <is>
          <t>Instrumentation</t>
        </is>
      </c>
      <c r="J5899" s="12" t="inlineStr">
        <is>
          <t>Instrumentation ITC / PLTC, IS, #18 shielded pairs, blue jacket</t>
        </is>
      </c>
      <c r="K5899" s="12" t="inlineStr">
        <is>
          <t>ITC|4 pr|18</t>
        </is>
      </c>
      <c r="L5899" s="12" t="inlineStr">
        <is>
          <t>4 pr</t>
        </is>
      </c>
      <c r="M5899" s="12" t="inlineStr">
        <is>
          <t>18</t>
        </is>
      </c>
      <c r="N5899" s="12" t="n">
        <v>1</v>
      </c>
      <c r="O5899" s="12" t="n">
        <v>1</v>
      </c>
      <c r="P5899" s="12" t="n"/>
      <c r="Q5899" s="12" t="n"/>
      <c r="R5899" s="12" t="n"/>
      <c r="S5899" s="12" t="inlineStr">
        <is>
          <t>Duct bank</t>
        </is>
      </c>
      <c r="T5899" s="16" t="n">
        <v>773</v>
      </c>
      <c r="U5899" s="16" t="n">
        <v>37</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K-I-0161</t>
        </is>
      </c>
      <c r="B5900" s="12" t="inlineStr">
        <is>
          <t>K</t>
        </is>
      </c>
      <c r="C5900" s="12" t="inlineStr">
        <is>
          <t>Fuel supply (adjacent market)</t>
        </is>
      </c>
      <c r="D5900" s="12" t="inlineStr">
        <is>
          <t>Discrete device to JB JB-M&amp;R 2: insulating -DI01: 8 x 1 pr (field cables)</t>
        </is>
      </c>
      <c r="E5900" s="12" t="inlineStr"/>
      <c r="F5900" s="12" t="inlineStr">
        <is>
          <t>M&amp;R 2: insulating joint + ESD valve</t>
        </is>
      </c>
      <c r="G5900" s="12" t="inlineStr">
        <is>
          <t>JB-M&amp;R 2: insulating -DI01</t>
        </is>
      </c>
      <c r="H5900" s="12" t="inlineStr">
        <is>
          <t>M&amp;R 2: insulating joint + ESD valve</t>
        </is>
      </c>
      <c r="I5900" s="12" t="inlineStr">
        <is>
          <t>Instrumentation</t>
        </is>
      </c>
      <c r="J5900" s="12" t="inlineStr">
        <is>
          <t>Instrumentation ITC / PLTC, IS, #18 shielded pairs, blue jacket</t>
        </is>
      </c>
      <c r="K5900" s="12" t="inlineStr">
        <is>
          <t>ITC|1 pr|16</t>
        </is>
      </c>
      <c r="L5900" s="12" t="inlineStr">
        <is>
          <t>1 pr</t>
        </is>
      </c>
      <c r="M5900" s="12" t="inlineStr">
        <is>
          <t>16</t>
        </is>
      </c>
      <c r="N5900" s="12" t="n">
        <v>8</v>
      </c>
      <c r="O5900" s="12" t="n">
        <v>1</v>
      </c>
      <c r="P5900" s="12" t="n"/>
      <c r="Q5900" s="12" t="n"/>
      <c r="R5900" s="12" t="n"/>
      <c r="S5900" s="12" t="inlineStr">
        <is>
          <t>Tray / conduit</t>
        </is>
      </c>
      <c r="T5900" s="16" t="n">
        <v>40</v>
      </c>
      <c r="U5900" s="16" t="n">
        <v>10</v>
      </c>
      <c r="V5900" s="16">
        <f>ROUNDUP((T5900+U5900+2*'Read Me'!$B$13)*(1+'Read Me'!$B$12),-1)</f>
        <v/>
      </c>
      <c r="W5900" s="16">
        <f>V5900*N5900*O5900</f>
        <v/>
      </c>
      <c r="X5900" s="12">
        <f>IF(LEFT(I5900,2)="MV",2*N5900*IF(L5900="1/C",O5900,1),0)</f>
        <v/>
      </c>
      <c r="Y5900" s="12">
        <f>IF(OR(LEFT(K5900,4)="LVAX",LEFT(K5900,6)="MV15AX",LEFT(K5900,4)="CTAX",LEFT(K5900,2)="W|"),2*N5900*O5900,0)</f>
        <v/>
      </c>
      <c r="Z5900" s="12" t="inlineStr">
        <is>
          <t>device-to-JB field wiring, one cable per device</t>
        </is>
      </c>
      <c r="AA5900" s="12">
        <f>N5900*O5900</f>
        <v/>
      </c>
    </row>
    <row r="5901">
      <c r="A5901" s="12" t="inlineStr">
        <is>
          <t>K-I-0162</t>
        </is>
      </c>
      <c r="B5901" s="12" t="inlineStr">
        <is>
          <t>K</t>
        </is>
      </c>
      <c r="C5901" s="12" t="inlineStr">
        <is>
          <t>Fuel supply (adjacent market)</t>
        </is>
      </c>
      <c r="D5901" s="12" t="inlineStr">
        <is>
          <t>Home run JB-M&amp;R 2: insulating -DI01 to the control / marshalling room</t>
        </is>
      </c>
      <c r="E5901" s="12" t="inlineStr"/>
      <c r="F5901" s="12" t="inlineStr">
        <is>
          <t>LNG 17: LNG e-house (13.8 kV / 480 V)</t>
        </is>
      </c>
      <c r="G5901" s="12" t="inlineStr">
        <is>
          <t>JB-M&amp;R 2: insulating -DI01</t>
        </is>
      </c>
      <c r="H5901" s="12" t="inlineStr">
        <is>
          <t>M&amp;R 2: insulating joint + ESD valve</t>
        </is>
      </c>
      <c r="I5901" s="12" t="inlineStr">
        <is>
          <t>Instrumentation</t>
        </is>
      </c>
      <c r="J5901" s="12" t="inlineStr">
        <is>
          <t>Instrumentation ITC / PLTC, IS, #18 shielded pairs, blue jacket</t>
        </is>
      </c>
      <c r="K5901" s="12" t="inlineStr">
        <is>
          <t>ITC|24 pr|18</t>
        </is>
      </c>
      <c r="L5901" s="12" t="inlineStr">
        <is>
          <t>24 pr</t>
        </is>
      </c>
      <c r="M5901" s="12" t="inlineStr">
        <is>
          <t>18</t>
        </is>
      </c>
      <c r="N5901" s="12" t="n">
        <v>1</v>
      </c>
      <c r="O5901" s="12" t="n">
        <v>1</v>
      </c>
      <c r="P5901" s="12" t="n"/>
      <c r="Q5901" s="12" t="n"/>
      <c r="R5901" s="12" t="n"/>
      <c r="S5901" s="12" t="inlineStr">
        <is>
          <t>Duct bank</t>
        </is>
      </c>
      <c r="T5901" s="16" t="n">
        <v>758</v>
      </c>
      <c r="U5901" s="16" t="n">
        <v>32</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K-I-0163</t>
        </is>
      </c>
      <c r="B5902" s="12" t="inlineStr">
        <is>
          <t>K</t>
        </is>
      </c>
      <c r="C5902" s="12" t="inlineStr">
        <is>
          <t>Fuel supply (adjacent market)</t>
        </is>
      </c>
      <c r="D5902" s="12" t="inlineStr">
        <is>
          <t>Analog instrument to JB JB-M&amp;R 3: horizontal -AI01: 8 x 1 pr (field cables)</t>
        </is>
      </c>
      <c r="E5902" s="12" t="inlineStr"/>
      <c r="F5902" s="12" t="inlineStr">
        <is>
          <t>M&amp;R 3: horizontal filter-separator</t>
        </is>
      </c>
      <c r="G5902" s="12" t="inlineStr">
        <is>
          <t>JB-M&amp;R 3: horizontal -AI01</t>
        </is>
      </c>
      <c r="H5902" s="12" t="inlineStr">
        <is>
          <t>M&amp;R 3: horizontal filter-separator</t>
        </is>
      </c>
      <c r="I5902" s="12" t="inlineStr">
        <is>
          <t>Instrumentation</t>
        </is>
      </c>
      <c r="J5902" s="12" t="inlineStr">
        <is>
          <t>Instrumentation ITC / PLTC, IS, #18 shielded pairs, blue jacket</t>
        </is>
      </c>
      <c r="K5902" s="12" t="inlineStr">
        <is>
          <t>ITC|1 pr|16</t>
        </is>
      </c>
      <c r="L5902" s="12" t="inlineStr">
        <is>
          <t>1 pr</t>
        </is>
      </c>
      <c r="M5902" s="12" t="inlineStr">
        <is>
          <t>16</t>
        </is>
      </c>
      <c r="N5902" s="12" t="n">
        <v>8</v>
      </c>
      <c r="O5902" s="12" t="n">
        <v>1</v>
      </c>
      <c r="P5902" s="12" t="n"/>
      <c r="Q5902" s="12" t="n"/>
      <c r="R5902" s="12" t="n"/>
      <c r="S5902" s="12" t="inlineStr">
        <is>
          <t>Tray / conduit</t>
        </is>
      </c>
      <c r="T5902" s="16" t="n">
        <v>53</v>
      </c>
      <c r="U5902" s="16" t="n">
        <v>10</v>
      </c>
      <c r="V5902" s="16">
        <f>ROUNDUP((T5902+U5902+2*'Read Me'!$B$13)*(1+'Read Me'!$B$12),-1)</f>
        <v/>
      </c>
      <c r="W5902" s="16">
        <f>V5902*N5902*O5902</f>
        <v/>
      </c>
      <c r="X5902" s="12">
        <f>IF(LEFT(I5902,2)="MV",2*N5902*IF(L5902="1/C",O5902,1),0)</f>
        <v/>
      </c>
      <c r="Y5902" s="12">
        <f>IF(OR(LEFT(K5902,4)="LVAX",LEFT(K5902,6)="MV15AX",LEFT(K5902,4)="CTAX",LEFT(K5902,2)="W|"),2*N5902*O5902,0)</f>
        <v/>
      </c>
      <c r="Z5902" s="12" t="inlineStr">
        <is>
          <t>device-to-JB field wiring, one cable per device</t>
        </is>
      </c>
      <c r="AA5902" s="12">
        <f>N5902*O5902</f>
        <v/>
      </c>
    </row>
    <row r="5903">
      <c r="A5903" s="12" t="inlineStr">
        <is>
          <t>K-I-0164</t>
        </is>
      </c>
      <c r="B5903" s="12" t="inlineStr">
        <is>
          <t>K</t>
        </is>
      </c>
      <c r="C5903" s="12" t="inlineStr">
        <is>
          <t>Fuel supply (adjacent market)</t>
        </is>
      </c>
      <c r="D5903" s="12" t="inlineStr">
        <is>
          <t>Home run JB-M&amp;R 3: horizontal -AI01 to the control / marshalling room</t>
        </is>
      </c>
      <c r="E5903" s="12" t="inlineStr"/>
      <c r="F5903" s="12" t="inlineStr">
        <is>
          <t>LNG 17: LNG e-house (13.8 kV / 480 V)</t>
        </is>
      </c>
      <c r="G5903" s="12" t="inlineStr">
        <is>
          <t>JB-M&amp;R 3: horizontal -AI01</t>
        </is>
      </c>
      <c r="H5903" s="12" t="inlineStr">
        <is>
          <t>M&amp;R 3: horizontal filter-separator</t>
        </is>
      </c>
      <c r="I5903" s="12" t="inlineStr">
        <is>
          <t>Instrumentation</t>
        </is>
      </c>
      <c r="J5903" s="12" t="inlineStr">
        <is>
          <t>Instrumentation ITC / PLTC, IS, #18 shielded pairs, blue jacket</t>
        </is>
      </c>
      <c r="K5903" s="12" t="inlineStr">
        <is>
          <t>ITC|24 pr|18</t>
        </is>
      </c>
      <c r="L5903" s="12" t="inlineStr">
        <is>
          <t>24 pr</t>
        </is>
      </c>
      <c r="M5903" s="12" t="inlineStr">
        <is>
          <t>18</t>
        </is>
      </c>
      <c r="N5903" s="12" t="n">
        <v>1</v>
      </c>
      <c r="O5903" s="12" t="n">
        <v>1</v>
      </c>
      <c r="P5903" s="12" t="n"/>
      <c r="Q5903" s="12" t="n"/>
      <c r="R5903" s="12" t="n"/>
      <c r="S5903" s="12" t="inlineStr">
        <is>
          <t>Duct bank</t>
        </is>
      </c>
      <c r="T5903" s="16" t="n">
        <v>797</v>
      </c>
      <c r="U5903" s="16" t="n">
        <v>32</v>
      </c>
      <c r="V5903" s="16">
        <f>ROUNDUP((T5903+U5903+2*'Read Me'!$B$13)*(1+'Read Me'!$B$12),-1)</f>
        <v/>
      </c>
      <c r="W5903" s="16">
        <f>V5903*N5903*O5903</f>
        <v/>
      </c>
      <c r="X5903" s="12">
        <f>IF(LEFT(I5903,2)="MV",2*N5903*IF(L5903="1/C",O5903,1),0)</f>
        <v/>
      </c>
      <c r="Y5903" s="12">
        <f>IF(OR(LEFT(K5903,4)="LVAX",LEFT(K5903,6)="MV15AX",LEFT(K5903,4)="CTAX",LEFT(K5903,2)="W|"),2*N5903*O5903,0)</f>
        <v/>
      </c>
      <c r="Z5903" s="12" t="inlineStr"/>
      <c r="AA5903" s="12">
        <f>N5903*O5903</f>
        <v/>
      </c>
    </row>
    <row r="5904">
      <c r="A5904" s="12" t="inlineStr">
        <is>
          <t>K-I-0165</t>
        </is>
      </c>
      <c r="B5904" s="12" t="inlineStr">
        <is>
          <t>K</t>
        </is>
      </c>
      <c r="C5904" s="12" t="inlineStr">
        <is>
          <t>Fuel supply (adjacent market)</t>
        </is>
      </c>
      <c r="D5904" s="12" t="inlineStr">
        <is>
          <t>Discrete device to JB JB-M&amp;R 3: horizontal -DI01: 12 x 1 pr (field cables)</t>
        </is>
      </c>
      <c r="E5904" s="12" t="inlineStr"/>
      <c r="F5904" s="12" t="inlineStr">
        <is>
          <t>M&amp;R 3: horizontal filter-separator</t>
        </is>
      </c>
      <c r="G5904" s="12" t="inlineStr">
        <is>
          <t>JB-M&amp;R 3: horizontal -DI01</t>
        </is>
      </c>
      <c r="H5904" s="12" t="inlineStr">
        <is>
          <t>M&amp;R 3: horizontal filter-separator</t>
        </is>
      </c>
      <c r="I5904" s="12" t="inlineStr">
        <is>
          <t>Instrumentation</t>
        </is>
      </c>
      <c r="J5904" s="12" t="inlineStr">
        <is>
          <t>Instrumentation ITC / PLTC, IS, #18 shielded pairs, blue jacket</t>
        </is>
      </c>
      <c r="K5904" s="12" t="inlineStr">
        <is>
          <t>ITC|1 pr|16</t>
        </is>
      </c>
      <c r="L5904" s="12" t="inlineStr">
        <is>
          <t>1 pr</t>
        </is>
      </c>
      <c r="M5904" s="12" t="inlineStr">
        <is>
          <t>16</t>
        </is>
      </c>
      <c r="N5904" s="12" t="n">
        <v>12</v>
      </c>
      <c r="O5904" s="12" t="n">
        <v>1</v>
      </c>
      <c r="P5904" s="12" t="n"/>
      <c r="Q5904" s="12" t="n"/>
      <c r="R5904" s="12" t="n"/>
      <c r="S5904" s="12" t="inlineStr">
        <is>
          <t>Tray / conduit</t>
        </is>
      </c>
      <c r="T5904" s="16" t="n">
        <v>53</v>
      </c>
      <c r="U5904" s="16" t="n">
        <v>10</v>
      </c>
      <c r="V5904" s="16">
        <f>ROUNDUP((T5904+U5904+2*'Read Me'!$B$13)*(1+'Read Me'!$B$12),-1)</f>
        <v/>
      </c>
      <c r="W5904" s="16">
        <f>V5904*N5904*O5904</f>
        <v/>
      </c>
      <c r="X5904" s="12">
        <f>IF(LEFT(I5904,2)="MV",2*N5904*IF(L5904="1/C",O5904,1),0)</f>
        <v/>
      </c>
      <c r="Y5904" s="12">
        <f>IF(OR(LEFT(K5904,4)="LVAX",LEFT(K5904,6)="MV15AX",LEFT(K5904,4)="CTAX",LEFT(K5904,2)="W|"),2*N5904*O5904,0)</f>
        <v/>
      </c>
      <c r="Z5904" s="12" t="inlineStr">
        <is>
          <t>device-to-JB field wiring, one cable per device</t>
        </is>
      </c>
      <c r="AA5904" s="12">
        <f>N5904*O5904</f>
        <v/>
      </c>
    </row>
    <row r="5905">
      <c r="A5905" s="12" t="inlineStr">
        <is>
          <t>K-I-0166</t>
        </is>
      </c>
      <c r="B5905" s="12" t="inlineStr">
        <is>
          <t>K</t>
        </is>
      </c>
      <c r="C5905" s="12" t="inlineStr">
        <is>
          <t>Fuel supply (adjacent market)</t>
        </is>
      </c>
      <c r="D5905" s="12" t="inlineStr">
        <is>
          <t>Home run JB-M&amp;R 3: horizontal -DI01 to the control / marshalling room</t>
        </is>
      </c>
      <c r="E5905" s="12" t="inlineStr"/>
      <c r="F5905" s="12" t="inlineStr">
        <is>
          <t>LNG 17: LNG e-house (13.8 kV / 480 V)</t>
        </is>
      </c>
      <c r="G5905" s="12" t="inlineStr">
        <is>
          <t>JB-M&amp;R 3: horizontal -DI01</t>
        </is>
      </c>
      <c r="H5905" s="12" t="inlineStr">
        <is>
          <t>M&amp;R 3: horizontal filter-separator</t>
        </is>
      </c>
      <c r="I5905" s="12" t="inlineStr">
        <is>
          <t>Instrumentation</t>
        </is>
      </c>
      <c r="J5905" s="12" t="inlineStr">
        <is>
          <t>Instrumentation ITC / PLTC, IS, #18 shielded pairs, blue jacket</t>
        </is>
      </c>
      <c r="K5905" s="12" t="inlineStr">
        <is>
          <t>ITC|24 pr|18</t>
        </is>
      </c>
      <c r="L5905" s="12" t="inlineStr">
        <is>
          <t>24 pr</t>
        </is>
      </c>
      <c r="M5905" s="12" t="inlineStr">
        <is>
          <t>18</t>
        </is>
      </c>
      <c r="N5905" s="12" t="n">
        <v>1</v>
      </c>
      <c r="O5905" s="12" t="n">
        <v>1</v>
      </c>
      <c r="P5905" s="12" t="n"/>
      <c r="Q5905" s="12" t="n"/>
      <c r="R5905" s="12" t="n"/>
      <c r="S5905" s="12" t="inlineStr">
        <is>
          <t>Duct bank</t>
        </is>
      </c>
      <c r="T5905" s="16" t="n">
        <v>797</v>
      </c>
      <c r="U5905" s="16" t="n">
        <v>32</v>
      </c>
      <c r="V5905" s="16">
        <f>ROUNDUP((T5905+U5905+2*'Read Me'!$B$13)*(1+'Read Me'!$B$12),-1)</f>
        <v/>
      </c>
      <c r="W5905" s="16">
        <f>V5905*N5905*O5905</f>
        <v/>
      </c>
      <c r="X5905" s="12">
        <f>IF(LEFT(I5905,2)="MV",2*N5905*IF(L5905="1/C",O5905,1),0)</f>
        <v/>
      </c>
      <c r="Y5905" s="12">
        <f>IF(OR(LEFT(K5905,4)="LVAX",LEFT(K5905,6)="MV15AX",LEFT(K5905,4)="CTAX",LEFT(K5905,2)="W|"),2*N5905*O5905,0)</f>
        <v/>
      </c>
      <c r="Z5905" s="12" t="inlineStr"/>
      <c r="AA5905" s="12">
        <f>N5905*O5905</f>
        <v/>
      </c>
    </row>
    <row r="5906">
      <c r="A5906" s="12" t="inlineStr">
        <is>
          <t>K-I-0167</t>
        </is>
      </c>
      <c r="B5906" s="12" t="inlineStr">
        <is>
          <t>K</t>
        </is>
      </c>
      <c r="C5906" s="12" t="inlineStr">
        <is>
          <t>Fuel supply (adjacent market)</t>
        </is>
      </c>
      <c r="D5906" s="12" t="inlineStr">
        <is>
          <t>Instrumentation</t>
        </is>
      </c>
      <c r="E5906" s="12" t="inlineStr"/>
      <c r="F5906" s="12" t="inlineStr">
        <is>
          <t>LNG 17: LNG e-house (13.8 kV / 480 V)</t>
        </is>
      </c>
      <c r="G5906" s="12" t="inlineStr"/>
      <c r="H5906" s="12" t="inlineStr">
        <is>
          <t>M&amp;R 4: line heater 1 (water bath)</t>
        </is>
      </c>
      <c r="I5906" s="12" t="inlineStr">
        <is>
          <t>Instrumentation</t>
        </is>
      </c>
      <c r="J5906" s="12" t="inlineStr">
        <is>
          <t>Instrumentation ITC / PLTC, IS, #18 shielded pairs, blue jacket</t>
        </is>
      </c>
      <c r="K5906" s="12" t="inlineStr">
        <is>
          <t>ITC|4 pr|18</t>
        </is>
      </c>
      <c r="L5906" s="12" t="inlineStr">
        <is>
          <t>4 pr</t>
        </is>
      </c>
      <c r="M5906" s="12" t="inlineStr">
        <is>
          <t>18</t>
        </is>
      </c>
      <c r="N5906" s="12" t="n">
        <v>1</v>
      </c>
      <c r="O5906" s="12" t="n">
        <v>1</v>
      </c>
      <c r="P5906" s="12" t="n"/>
      <c r="Q5906" s="12" t="n"/>
      <c r="R5906" s="12" t="n"/>
      <c r="S5906" s="12" t="inlineStr">
        <is>
          <t>Duct bank</t>
        </is>
      </c>
      <c r="T5906" s="16" t="n">
        <v>593</v>
      </c>
      <c r="U5906" s="16" t="n">
        <v>32</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K-I-0168</t>
        </is>
      </c>
      <c r="B5907" s="12" t="inlineStr">
        <is>
          <t>K</t>
        </is>
      </c>
      <c r="C5907" s="12" t="inlineStr">
        <is>
          <t>Fuel supply (adjacent market)</t>
        </is>
      </c>
      <c r="D5907" s="12" t="inlineStr">
        <is>
          <t>Instrumentation</t>
        </is>
      </c>
      <c r="E5907" s="12" t="inlineStr"/>
      <c r="F5907" s="12" t="inlineStr">
        <is>
          <t>LNG 17: LNG e-house (13.8 kV / 480 V)</t>
        </is>
      </c>
      <c r="G5907" s="12" t="inlineStr"/>
      <c r="H5907" s="12" t="inlineStr">
        <is>
          <t>M&amp;R 4: line heater 1 (water bath)</t>
        </is>
      </c>
      <c r="I5907" s="12" t="inlineStr">
        <is>
          <t>Instrumentation</t>
        </is>
      </c>
      <c r="J5907" s="12" t="inlineStr">
        <is>
          <t>Instrumentation ITC / PLTC, IS, #18 shielded pairs, blue jacket</t>
        </is>
      </c>
      <c r="K5907" s="12" t="inlineStr">
        <is>
          <t>ITC|12 pr|18</t>
        </is>
      </c>
      <c r="L5907" s="12" t="inlineStr">
        <is>
          <t>12 pr</t>
        </is>
      </c>
      <c r="M5907" s="12" t="inlineStr">
        <is>
          <t>18</t>
        </is>
      </c>
      <c r="N5907" s="12" t="n">
        <v>1</v>
      </c>
      <c r="O5907" s="12" t="n">
        <v>1</v>
      </c>
      <c r="P5907" s="12" t="n"/>
      <c r="Q5907" s="12" t="n"/>
      <c r="R5907" s="12" t="n"/>
      <c r="S5907" s="12" t="inlineStr">
        <is>
          <t>Duct bank</t>
        </is>
      </c>
      <c r="T5907" s="16" t="n">
        <v>593</v>
      </c>
      <c r="U5907" s="16" t="n">
        <v>32</v>
      </c>
      <c r="V5907" s="16">
        <f>ROUNDUP((T5907+U5907+2*'Read Me'!$B$13)*(1+'Read Me'!$B$12),-1)</f>
        <v/>
      </c>
      <c r="W5907" s="16">
        <f>V5907*N5907*O5907</f>
        <v/>
      </c>
      <c r="X5907" s="12">
        <f>IF(LEFT(I5907,2)="MV",2*N5907*IF(L5907="1/C",O5907,1),0)</f>
        <v/>
      </c>
      <c r="Y5907" s="12">
        <f>IF(OR(LEFT(K5907,4)="LVAX",LEFT(K5907,6)="MV15AX",LEFT(K5907,4)="CTAX",LEFT(K5907,2)="W|"),2*N5907*O5907,0)</f>
        <v/>
      </c>
      <c r="Z5907" s="12" t="inlineStr"/>
      <c r="AA5907" s="12">
        <f>N5907*O5907</f>
        <v/>
      </c>
    </row>
    <row r="5908">
      <c r="A5908" s="12" t="inlineStr">
        <is>
          <t>K-I-0169</t>
        </is>
      </c>
      <c r="B5908" s="12" t="inlineStr">
        <is>
          <t>K</t>
        </is>
      </c>
      <c r="C5908" s="12" t="inlineStr">
        <is>
          <t>Fuel supply (adjacent market)</t>
        </is>
      </c>
      <c r="D5908" s="12" t="inlineStr">
        <is>
          <t>Instrumentation</t>
        </is>
      </c>
      <c r="E5908" s="12" t="inlineStr"/>
      <c r="F5908" s="12" t="inlineStr">
        <is>
          <t>LNG 17: LNG e-house (13.8 kV / 480 V)</t>
        </is>
      </c>
      <c r="G5908" s="12" t="inlineStr"/>
      <c r="H5908" s="12" t="inlineStr">
        <is>
          <t>M&amp;R 4: line heater 2 (water bath)</t>
        </is>
      </c>
      <c r="I5908" s="12" t="inlineStr">
        <is>
          <t>Instrumentation</t>
        </is>
      </c>
      <c r="J5908" s="12" t="inlineStr">
        <is>
          <t>Instrumentation ITC / PLTC, IS, #18 shielded pairs, blue jacket</t>
        </is>
      </c>
      <c r="K5908" s="12" t="inlineStr">
        <is>
          <t>ITC|4 pr|18</t>
        </is>
      </c>
      <c r="L5908" s="12" t="inlineStr">
        <is>
          <t>4 pr</t>
        </is>
      </c>
      <c r="M5908" s="12" t="inlineStr">
        <is>
          <t>18</t>
        </is>
      </c>
      <c r="N5908" s="12" t="n">
        <v>1</v>
      </c>
      <c r="O5908" s="12" t="n">
        <v>1</v>
      </c>
      <c r="P5908" s="12" t="n"/>
      <c r="Q5908" s="12" t="n"/>
      <c r="R5908" s="12" t="n"/>
      <c r="S5908" s="12" t="inlineStr">
        <is>
          <t>Duct bank</t>
        </is>
      </c>
      <c r="T5908" s="16" t="n">
        <v>593</v>
      </c>
      <c r="U5908" s="16" t="n">
        <v>50</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K-I-0170</t>
        </is>
      </c>
      <c r="B5909" s="12" t="inlineStr">
        <is>
          <t>K</t>
        </is>
      </c>
      <c r="C5909" s="12" t="inlineStr">
        <is>
          <t>Fuel supply (adjacent market)</t>
        </is>
      </c>
      <c r="D5909" s="12" t="inlineStr">
        <is>
          <t>Instrumentation</t>
        </is>
      </c>
      <c r="E5909" s="12" t="inlineStr"/>
      <c r="F5909" s="12" t="inlineStr">
        <is>
          <t>LNG 17: LNG e-house (13.8 kV / 480 V)</t>
        </is>
      </c>
      <c r="G5909" s="12" t="inlineStr"/>
      <c r="H5909" s="12" t="inlineStr">
        <is>
          <t>M&amp;R 4: line heater 2 (water bath)</t>
        </is>
      </c>
      <c r="I5909" s="12" t="inlineStr">
        <is>
          <t>Instrumentation</t>
        </is>
      </c>
      <c r="J5909" s="12" t="inlineStr">
        <is>
          <t>Instrumentation ITC / PLTC, IS, #18 shielded pairs, blue jacket</t>
        </is>
      </c>
      <c r="K5909" s="12" t="inlineStr">
        <is>
          <t>ITC|12 pr|18</t>
        </is>
      </c>
      <c r="L5909" s="12" t="inlineStr">
        <is>
          <t>12 pr</t>
        </is>
      </c>
      <c r="M5909" s="12" t="inlineStr">
        <is>
          <t>18</t>
        </is>
      </c>
      <c r="N5909" s="12" t="n">
        <v>1</v>
      </c>
      <c r="O5909" s="12" t="n">
        <v>1</v>
      </c>
      <c r="P5909" s="12" t="n"/>
      <c r="Q5909" s="12" t="n"/>
      <c r="R5909" s="12" t="n"/>
      <c r="S5909" s="12" t="inlineStr">
        <is>
          <t>Duct bank</t>
        </is>
      </c>
      <c r="T5909" s="16" t="n">
        <v>593</v>
      </c>
      <c r="U5909" s="16" t="n">
        <v>50</v>
      </c>
      <c r="V5909" s="16">
        <f>ROUNDUP((T5909+U5909+2*'Read Me'!$B$13)*(1+'Read Me'!$B$12),-1)</f>
        <v/>
      </c>
      <c r="W5909" s="16">
        <f>V5909*N5909*O5909</f>
        <v/>
      </c>
      <c r="X5909" s="12">
        <f>IF(LEFT(I5909,2)="MV",2*N5909*IF(L5909="1/C",O5909,1),0)</f>
        <v/>
      </c>
      <c r="Y5909" s="12">
        <f>IF(OR(LEFT(K5909,4)="LVAX",LEFT(K5909,6)="MV15AX",LEFT(K5909,4)="CTAX",LEFT(K5909,2)="W|"),2*N5909*O5909,0)</f>
        <v/>
      </c>
      <c r="Z5909" s="12" t="inlineStr"/>
      <c r="AA5909" s="12">
        <f>N5909*O5909</f>
        <v/>
      </c>
    </row>
    <row r="5910">
      <c r="A5910" s="12" t="inlineStr">
        <is>
          <t>K-I-0171</t>
        </is>
      </c>
      <c r="B5910" s="12" t="inlineStr">
        <is>
          <t>K</t>
        </is>
      </c>
      <c r="C5910" s="12" t="inlineStr">
        <is>
          <t>Fuel supply (adjacent market)</t>
        </is>
      </c>
      <c r="D5910" s="12" t="inlineStr">
        <is>
          <t>Instrumentation</t>
        </is>
      </c>
      <c r="E5910" s="12" t="inlineStr"/>
      <c r="F5910" s="12" t="inlineStr">
        <is>
          <t>LNG 17: LNG e-house (13.8 kV / 480 V)</t>
        </is>
      </c>
      <c r="G5910" s="12" t="inlineStr"/>
      <c r="H5910" s="12" t="inlineStr">
        <is>
          <t>M&amp;R 4: line heater 3 (water bath)</t>
        </is>
      </c>
      <c r="I5910" s="12" t="inlineStr">
        <is>
          <t>Instrumentation</t>
        </is>
      </c>
      <c r="J5910" s="12" t="inlineStr">
        <is>
          <t>Instrumentation ITC / PLTC, IS, #18 shielded pairs, blue jacket</t>
        </is>
      </c>
      <c r="K5910" s="12" t="inlineStr">
        <is>
          <t>ITC|4 pr|18</t>
        </is>
      </c>
      <c r="L5910" s="12" t="inlineStr">
        <is>
          <t>4 pr</t>
        </is>
      </c>
      <c r="M5910" s="12" t="inlineStr">
        <is>
          <t>18</t>
        </is>
      </c>
      <c r="N5910" s="12" t="n">
        <v>1</v>
      </c>
      <c r="O5910" s="12" t="n">
        <v>1</v>
      </c>
      <c r="P5910" s="12" t="n"/>
      <c r="Q5910" s="12" t="n"/>
      <c r="R5910" s="12" t="n"/>
      <c r="S5910" s="12" t="inlineStr">
        <is>
          <t>Duct bank</t>
        </is>
      </c>
      <c r="T5910" s="16" t="n">
        <v>593</v>
      </c>
      <c r="U5910" s="16" t="n">
        <v>68</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K-I-0172</t>
        </is>
      </c>
      <c r="B5911" s="12" t="inlineStr">
        <is>
          <t>K</t>
        </is>
      </c>
      <c r="C5911" s="12" t="inlineStr">
        <is>
          <t>Fuel supply (adjacent market)</t>
        </is>
      </c>
      <c r="D5911" s="12" t="inlineStr">
        <is>
          <t>Instrumentation</t>
        </is>
      </c>
      <c r="E5911" s="12" t="inlineStr"/>
      <c r="F5911" s="12" t="inlineStr">
        <is>
          <t>LNG 17: LNG e-house (13.8 kV / 480 V)</t>
        </is>
      </c>
      <c r="G5911" s="12" t="inlineStr"/>
      <c r="H5911" s="12" t="inlineStr">
        <is>
          <t>M&amp;R 4: line heater 3 (water bath)</t>
        </is>
      </c>
      <c r="I5911" s="12" t="inlineStr">
        <is>
          <t>Instrumentation</t>
        </is>
      </c>
      <c r="J5911" s="12" t="inlineStr">
        <is>
          <t>Instrumentation ITC / PLTC, IS, #18 shielded pairs, blue jacket</t>
        </is>
      </c>
      <c r="K5911" s="12" t="inlineStr">
        <is>
          <t>ITC|12 pr|18</t>
        </is>
      </c>
      <c r="L5911" s="12" t="inlineStr">
        <is>
          <t>12 pr</t>
        </is>
      </c>
      <c r="M5911" s="12" t="inlineStr">
        <is>
          <t>18</t>
        </is>
      </c>
      <c r="N5911" s="12" t="n">
        <v>1</v>
      </c>
      <c r="O5911" s="12" t="n">
        <v>1</v>
      </c>
      <c r="P5911" s="12" t="n"/>
      <c r="Q5911" s="12" t="n"/>
      <c r="R5911" s="12" t="n"/>
      <c r="S5911" s="12" t="inlineStr">
        <is>
          <t>Duct bank</t>
        </is>
      </c>
      <c r="T5911" s="16" t="n">
        <v>593</v>
      </c>
      <c r="U5911" s="16" t="n">
        <v>68</v>
      </c>
      <c r="V5911" s="16">
        <f>ROUNDUP((T5911+U5911+2*'Read Me'!$B$13)*(1+'Read Me'!$B$12),-1)</f>
        <v/>
      </c>
      <c r="W5911" s="16">
        <f>V5911*N5911*O5911</f>
        <v/>
      </c>
      <c r="X5911" s="12">
        <f>IF(LEFT(I5911,2)="MV",2*N5911*IF(L5911="1/C",O5911,1),0)</f>
        <v/>
      </c>
      <c r="Y5911" s="12">
        <f>IF(OR(LEFT(K5911,4)="LVAX",LEFT(K5911,6)="MV15AX",LEFT(K5911,4)="CTAX",LEFT(K5911,2)="W|"),2*N5911*O5911,0)</f>
        <v/>
      </c>
      <c r="Z5911" s="12" t="inlineStr"/>
      <c r="AA5911" s="12">
        <f>N5911*O5911</f>
        <v/>
      </c>
    </row>
    <row r="5912">
      <c r="A5912" s="12" t="inlineStr">
        <is>
          <t>K-I-0173</t>
        </is>
      </c>
      <c r="B5912" s="12" t="inlineStr">
        <is>
          <t>K</t>
        </is>
      </c>
      <c r="C5912" s="12" t="inlineStr">
        <is>
          <t>Fuel supply (adjacent market)</t>
        </is>
      </c>
      <c r="D5912" s="12" t="inlineStr">
        <is>
          <t>Analog instrument to JB JB-M&amp;R 5: ultrasonic -AI01: 20 x 1 pr (field cables)</t>
        </is>
      </c>
      <c r="E5912" s="12" t="inlineStr"/>
      <c r="F5912" s="12" t="inlineStr">
        <is>
          <t>M&amp;R 5: ultrasonic meters, 2 runs (custody transfer)</t>
        </is>
      </c>
      <c r="G5912" s="12" t="inlineStr">
        <is>
          <t>JB-M&amp;R 5: ultrasonic -AI01</t>
        </is>
      </c>
      <c r="H5912" s="12" t="inlineStr">
        <is>
          <t>M&amp;R 5: ultrasonic meters, 2 runs (custody transfer)</t>
        </is>
      </c>
      <c r="I5912" s="12" t="inlineStr">
        <is>
          <t>Instrumentation</t>
        </is>
      </c>
      <c r="J5912" s="12" t="inlineStr">
        <is>
          <t>Instrumentation ITC / PLTC, IS, #18 shielded pairs, blue jacket</t>
        </is>
      </c>
      <c r="K5912" s="12" t="inlineStr">
        <is>
          <t>ITC|1 pr|16</t>
        </is>
      </c>
      <c r="L5912" s="12" t="inlineStr">
        <is>
          <t>1 pr</t>
        </is>
      </c>
      <c r="M5912" s="12" t="inlineStr">
        <is>
          <t>16</t>
        </is>
      </c>
      <c r="N5912" s="12" t="n">
        <v>20</v>
      </c>
      <c r="O5912" s="12" t="n">
        <v>1</v>
      </c>
      <c r="P5912" s="12" t="n"/>
      <c r="Q5912" s="12" t="n"/>
      <c r="R5912" s="12" t="n"/>
      <c r="S5912" s="12" t="inlineStr">
        <is>
          <t>Tray / conduit</t>
        </is>
      </c>
      <c r="T5912" s="16" t="n">
        <v>60</v>
      </c>
      <c r="U5912" s="16" t="n">
        <v>10</v>
      </c>
      <c r="V5912" s="16">
        <f>ROUNDUP((T5912+U5912+2*'Read Me'!$B$13)*(1+'Read Me'!$B$12),-1)</f>
        <v/>
      </c>
      <c r="W5912" s="16">
        <f>V5912*N5912*O5912</f>
        <v/>
      </c>
      <c r="X5912" s="12">
        <f>IF(LEFT(I5912,2)="MV",2*N5912*IF(L5912="1/C",O5912,1),0)</f>
        <v/>
      </c>
      <c r="Y5912" s="12">
        <f>IF(OR(LEFT(K5912,4)="LVAX",LEFT(K5912,6)="MV15AX",LEFT(K5912,4)="CTAX",LEFT(K5912,2)="W|"),2*N5912*O5912,0)</f>
        <v/>
      </c>
      <c r="Z5912" s="12" t="inlineStr">
        <is>
          <t>device-to-JB field wiring, one cable per device</t>
        </is>
      </c>
      <c r="AA5912" s="12">
        <f>N5912*O5912</f>
        <v/>
      </c>
    </row>
    <row r="5913">
      <c r="A5913" s="12" t="inlineStr">
        <is>
          <t>K-I-0174</t>
        </is>
      </c>
      <c r="B5913" s="12" t="inlineStr">
        <is>
          <t>K</t>
        </is>
      </c>
      <c r="C5913" s="12" t="inlineStr">
        <is>
          <t>Fuel supply (adjacent market)</t>
        </is>
      </c>
      <c r="D5913" s="12" t="inlineStr">
        <is>
          <t>Home run JB-M&amp;R 5: ultrasonic -AI01 to the control / marshalling room</t>
        </is>
      </c>
      <c r="E5913" s="12" t="inlineStr"/>
      <c r="F5913" s="12" t="inlineStr">
        <is>
          <t>LNG 17: LNG e-house (13.8 kV / 480 V)</t>
        </is>
      </c>
      <c r="G5913" s="12" t="inlineStr">
        <is>
          <t>JB-M&amp;R 5: ultrasonic -AI01</t>
        </is>
      </c>
      <c r="H5913" s="12" t="inlineStr">
        <is>
          <t>M&amp;R 5: ultrasonic meters, 2 runs (custody transfer)</t>
        </is>
      </c>
      <c r="I5913" s="12" t="inlineStr">
        <is>
          <t>Instrumentation</t>
        </is>
      </c>
      <c r="J5913" s="12" t="inlineStr">
        <is>
          <t>Instrumentation ITC / PLTC, IS, #18 shielded pairs, blue jacket</t>
        </is>
      </c>
      <c r="K5913" s="12" t="inlineStr">
        <is>
          <t>ITC|24 pr|18</t>
        </is>
      </c>
      <c r="L5913" s="12" t="inlineStr">
        <is>
          <t>24 pr</t>
        </is>
      </c>
      <c r="M5913" s="12" t="inlineStr">
        <is>
          <t>18</t>
        </is>
      </c>
      <c r="N5913" s="12" t="n">
        <v>1</v>
      </c>
      <c r="O5913" s="12" t="n">
        <v>1</v>
      </c>
      <c r="P5913" s="12" t="n"/>
      <c r="Q5913" s="12" t="n"/>
      <c r="R5913" s="12" t="n"/>
      <c r="S5913" s="12" t="inlineStr">
        <is>
          <t>Duct bank</t>
        </is>
      </c>
      <c r="T5913" s="16" t="n">
        <v>651</v>
      </c>
      <c r="U5913" s="16" t="n">
        <v>57</v>
      </c>
      <c r="V5913" s="16">
        <f>ROUNDUP((T5913+U5913+2*'Read Me'!$B$13)*(1+'Read Me'!$B$12),-1)</f>
        <v/>
      </c>
      <c r="W5913" s="16">
        <f>V5913*N5913*O5913</f>
        <v/>
      </c>
      <c r="X5913" s="12">
        <f>IF(LEFT(I5913,2)="MV",2*N5913*IF(L5913="1/C",O5913,1),0)</f>
        <v/>
      </c>
      <c r="Y5913" s="12">
        <f>IF(OR(LEFT(K5913,4)="LVAX",LEFT(K5913,6)="MV15AX",LEFT(K5913,4)="CTAX",LEFT(K5913,2)="W|"),2*N5913*O5913,0)</f>
        <v/>
      </c>
      <c r="Z5913" s="12" t="inlineStr"/>
      <c r="AA5913" s="12">
        <f>N5913*O5913</f>
        <v/>
      </c>
    </row>
    <row r="5914">
      <c r="A5914" s="12" t="inlineStr">
        <is>
          <t>K-I-0175</t>
        </is>
      </c>
      <c r="B5914" s="12" t="inlineStr">
        <is>
          <t>K</t>
        </is>
      </c>
      <c r="C5914" s="12" t="inlineStr">
        <is>
          <t>Fuel supply (adjacent market)</t>
        </is>
      </c>
      <c r="D5914" s="12" t="inlineStr">
        <is>
          <t>Discrete device to JB JB-M&amp;R 5: ultrasonic -DI01: 8 x 1 pr (field cables)</t>
        </is>
      </c>
      <c r="E5914" s="12" t="inlineStr"/>
      <c r="F5914" s="12" t="inlineStr">
        <is>
          <t>M&amp;R 5: ultrasonic meters, 2 runs (custody transfer)</t>
        </is>
      </c>
      <c r="G5914" s="12" t="inlineStr">
        <is>
          <t>JB-M&amp;R 5: ultrasonic -DI01</t>
        </is>
      </c>
      <c r="H5914" s="12" t="inlineStr">
        <is>
          <t>M&amp;R 5: ultrasonic meters, 2 runs (custody transfer)</t>
        </is>
      </c>
      <c r="I5914" s="12" t="inlineStr">
        <is>
          <t>Instrumentation</t>
        </is>
      </c>
      <c r="J5914" s="12" t="inlineStr">
        <is>
          <t>Instrumentation ITC / PLTC, IS, #18 shielded pairs, blue jacket</t>
        </is>
      </c>
      <c r="K5914" s="12" t="inlineStr">
        <is>
          <t>ITC|1 pr|16</t>
        </is>
      </c>
      <c r="L5914" s="12" t="inlineStr">
        <is>
          <t>1 pr</t>
        </is>
      </c>
      <c r="M5914" s="12" t="inlineStr">
        <is>
          <t>16</t>
        </is>
      </c>
      <c r="N5914" s="12" t="n">
        <v>8</v>
      </c>
      <c r="O5914" s="12" t="n">
        <v>1</v>
      </c>
      <c r="P5914" s="12" t="n"/>
      <c r="Q5914" s="12" t="n"/>
      <c r="R5914" s="12" t="n"/>
      <c r="S5914" s="12" t="inlineStr">
        <is>
          <t>Tray / conduit</t>
        </is>
      </c>
      <c r="T5914" s="16" t="n">
        <v>60</v>
      </c>
      <c r="U5914" s="16" t="n">
        <v>10</v>
      </c>
      <c r="V5914" s="16">
        <f>ROUNDUP((T5914+U5914+2*'Read Me'!$B$13)*(1+'Read Me'!$B$12),-1)</f>
        <v/>
      </c>
      <c r="W5914" s="16">
        <f>V5914*N5914*O5914</f>
        <v/>
      </c>
      <c r="X5914" s="12">
        <f>IF(LEFT(I5914,2)="MV",2*N5914*IF(L5914="1/C",O5914,1),0)</f>
        <v/>
      </c>
      <c r="Y5914" s="12">
        <f>IF(OR(LEFT(K5914,4)="LVAX",LEFT(K5914,6)="MV15AX",LEFT(K5914,4)="CTAX",LEFT(K5914,2)="W|"),2*N5914*O5914,0)</f>
        <v/>
      </c>
      <c r="Z5914" s="12" t="inlineStr">
        <is>
          <t>device-to-JB field wiring, one cable per device</t>
        </is>
      </c>
      <c r="AA5914" s="12">
        <f>N5914*O5914</f>
        <v/>
      </c>
    </row>
    <row r="5915">
      <c r="A5915" s="12" t="inlineStr">
        <is>
          <t>K-I-0176</t>
        </is>
      </c>
      <c r="B5915" s="12" t="inlineStr">
        <is>
          <t>K</t>
        </is>
      </c>
      <c r="C5915" s="12" t="inlineStr">
        <is>
          <t>Fuel supply (adjacent market)</t>
        </is>
      </c>
      <c r="D5915" s="12" t="inlineStr">
        <is>
          <t>Home run JB-M&amp;R 5: ultrasonic -DI01 to the control / marshalling room</t>
        </is>
      </c>
      <c r="E5915" s="12" t="inlineStr"/>
      <c r="F5915" s="12" t="inlineStr">
        <is>
          <t>LNG 17: LNG e-house (13.8 kV / 480 V)</t>
        </is>
      </c>
      <c r="G5915" s="12" t="inlineStr">
        <is>
          <t>JB-M&amp;R 5: ultrasonic -DI01</t>
        </is>
      </c>
      <c r="H5915" s="12" t="inlineStr">
        <is>
          <t>M&amp;R 5: ultrasonic meters, 2 runs (custody transfer)</t>
        </is>
      </c>
      <c r="I5915" s="12" t="inlineStr">
        <is>
          <t>Instrumentation</t>
        </is>
      </c>
      <c r="J5915" s="12" t="inlineStr">
        <is>
          <t>Instrumentation ITC / PLTC, IS, #18 shielded pairs, blue jacket</t>
        </is>
      </c>
      <c r="K5915" s="12" t="inlineStr">
        <is>
          <t>ITC|24 pr|18</t>
        </is>
      </c>
      <c r="L5915" s="12" t="inlineStr">
        <is>
          <t>24 pr</t>
        </is>
      </c>
      <c r="M5915" s="12" t="inlineStr">
        <is>
          <t>18</t>
        </is>
      </c>
      <c r="N5915" s="12" t="n">
        <v>1</v>
      </c>
      <c r="O5915" s="12" t="n">
        <v>1</v>
      </c>
      <c r="P5915" s="12" t="n"/>
      <c r="Q5915" s="12" t="n"/>
      <c r="R5915" s="12" t="n"/>
      <c r="S5915" s="12" t="inlineStr">
        <is>
          <t>Duct bank</t>
        </is>
      </c>
      <c r="T5915" s="16" t="n">
        <v>651</v>
      </c>
      <c r="U5915" s="16" t="n">
        <v>57</v>
      </c>
      <c r="V5915" s="16">
        <f>ROUNDUP((T5915+U5915+2*'Read Me'!$B$13)*(1+'Read Me'!$B$12),-1)</f>
        <v/>
      </c>
      <c r="W5915" s="16">
        <f>V5915*N5915*O5915</f>
        <v/>
      </c>
      <c r="X5915" s="12">
        <f>IF(LEFT(I5915,2)="MV",2*N5915*IF(L5915="1/C",O5915,1),0)</f>
        <v/>
      </c>
      <c r="Y5915" s="12">
        <f>IF(OR(LEFT(K5915,4)="LVAX",LEFT(K5915,6)="MV15AX",LEFT(K5915,4)="CTAX",LEFT(K5915,2)="W|"),2*N5915*O5915,0)</f>
        <v/>
      </c>
      <c r="Z5915" s="12" t="inlineStr"/>
      <c r="AA5915" s="12">
        <f>N5915*O5915</f>
        <v/>
      </c>
    </row>
    <row r="5916">
      <c r="A5916" s="12" t="inlineStr">
        <is>
          <t>K-I-0177</t>
        </is>
      </c>
      <c r="B5916" s="12" t="inlineStr">
        <is>
          <t>K</t>
        </is>
      </c>
      <c r="C5916" s="12" t="inlineStr">
        <is>
          <t>Fuel supply (adjacent market)</t>
        </is>
      </c>
      <c r="D5916" s="12" t="inlineStr">
        <is>
          <t>Analog instrument to JB JB-M&amp;R 6: regulation -AI01: 12 x 1 pr (field cables)</t>
        </is>
      </c>
      <c r="E5916" s="12" t="inlineStr"/>
      <c r="F5916" s="12" t="inlineStr">
        <is>
          <t>M&amp;R 6: regulation / flow control building</t>
        </is>
      </c>
      <c r="G5916" s="12" t="inlineStr">
        <is>
          <t>JB-M&amp;R 6: regulation -AI01</t>
        </is>
      </c>
      <c r="H5916" s="12" t="inlineStr">
        <is>
          <t>M&amp;R 6: regulation / flow control building</t>
        </is>
      </c>
      <c r="I5916" s="12" t="inlineStr">
        <is>
          <t>Instrumentation</t>
        </is>
      </c>
      <c r="J5916" s="12" t="inlineStr">
        <is>
          <t>Instrumentation ITC / PLTC, IS, #18 shielded pairs, blue jacket</t>
        </is>
      </c>
      <c r="K5916" s="12" t="inlineStr">
        <is>
          <t>ITC|1 pr|16</t>
        </is>
      </c>
      <c r="L5916" s="12" t="inlineStr">
        <is>
          <t>1 pr</t>
        </is>
      </c>
      <c r="M5916" s="12" t="inlineStr">
        <is>
          <t>16</t>
        </is>
      </c>
      <c r="N5916" s="12" t="n">
        <v>12</v>
      </c>
      <c r="O5916" s="12" t="n">
        <v>1</v>
      </c>
      <c r="P5916" s="12" t="n"/>
      <c r="Q5916" s="12" t="n"/>
      <c r="R5916" s="12" t="n"/>
      <c r="S5916" s="12" t="inlineStr">
        <is>
          <t>Tray / conduit</t>
        </is>
      </c>
      <c r="T5916" s="16" t="n">
        <v>61</v>
      </c>
      <c r="U5916" s="16" t="n">
        <v>10</v>
      </c>
      <c r="V5916" s="16">
        <f>ROUNDUP((T5916+U5916+2*'Read Me'!$B$13)*(1+'Read Me'!$B$12),-1)</f>
        <v/>
      </c>
      <c r="W5916" s="16">
        <f>V5916*N5916*O5916</f>
        <v/>
      </c>
      <c r="X5916" s="12">
        <f>IF(LEFT(I5916,2)="MV",2*N5916*IF(L5916="1/C",O5916,1),0)</f>
        <v/>
      </c>
      <c r="Y5916" s="12">
        <f>IF(OR(LEFT(K5916,4)="LVAX",LEFT(K5916,6)="MV15AX",LEFT(K5916,4)="CTAX",LEFT(K5916,2)="W|"),2*N5916*O5916,0)</f>
        <v/>
      </c>
      <c r="Z5916" s="12" t="inlineStr">
        <is>
          <t>device-to-JB field wiring, one cable per device</t>
        </is>
      </c>
      <c r="AA5916" s="12">
        <f>N5916*O5916</f>
        <v/>
      </c>
    </row>
    <row r="5917">
      <c r="A5917" s="12" t="inlineStr">
        <is>
          <t>K-I-0178</t>
        </is>
      </c>
      <c r="B5917" s="12" t="inlineStr">
        <is>
          <t>K</t>
        </is>
      </c>
      <c r="C5917" s="12" t="inlineStr">
        <is>
          <t>Fuel supply (adjacent market)</t>
        </is>
      </c>
      <c r="D5917" s="12" t="inlineStr">
        <is>
          <t>Home run JB-M&amp;R 6: regulation -AI01 to the control / marshalling room</t>
        </is>
      </c>
      <c r="E5917" s="12" t="inlineStr"/>
      <c r="F5917" s="12" t="inlineStr">
        <is>
          <t>LNG 17: LNG e-house (13.8 kV / 480 V)</t>
        </is>
      </c>
      <c r="G5917" s="12" t="inlineStr">
        <is>
          <t>JB-M&amp;R 6: regulation -AI01</t>
        </is>
      </c>
      <c r="H5917" s="12" t="inlineStr">
        <is>
          <t>M&amp;R 6: regulation / flow control building</t>
        </is>
      </c>
      <c r="I5917" s="12" t="inlineStr">
        <is>
          <t>Instrumentation</t>
        </is>
      </c>
      <c r="J5917" s="12" t="inlineStr">
        <is>
          <t>Instrumentation ITC / PLTC, IS, #18 shielded pairs, blue jacket</t>
        </is>
      </c>
      <c r="K5917" s="12" t="inlineStr">
        <is>
          <t>ITC|24 pr|18</t>
        </is>
      </c>
      <c r="L5917" s="12" t="inlineStr">
        <is>
          <t>24 pr</t>
        </is>
      </c>
      <c r="M5917" s="12" t="inlineStr">
        <is>
          <t>18</t>
        </is>
      </c>
      <c r="N5917" s="12" t="n">
        <v>1</v>
      </c>
      <c r="O5917" s="12" t="n">
        <v>1</v>
      </c>
      <c r="P5917" s="12" t="n"/>
      <c r="Q5917" s="12" t="n"/>
      <c r="R5917" s="12" t="n"/>
      <c r="S5917" s="12" t="inlineStr">
        <is>
          <t>Duct bank</t>
        </is>
      </c>
      <c r="T5917" s="16" t="n">
        <v>470</v>
      </c>
      <c r="U5917" s="16" t="n">
        <v>70</v>
      </c>
      <c r="V5917" s="16">
        <f>ROUNDUP((T5917+U5917+2*'Read Me'!$B$13)*(1+'Read Me'!$B$12),-1)</f>
        <v/>
      </c>
      <c r="W5917" s="16">
        <f>V5917*N5917*O5917</f>
        <v/>
      </c>
      <c r="X5917" s="12">
        <f>IF(LEFT(I5917,2)="MV",2*N5917*IF(L5917="1/C",O5917,1),0)</f>
        <v/>
      </c>
      <c r="Y5917" s="12">
        <f>IF(OR(LEFT(K5917,4)="LVAX",LEFT(K5917,6)="MV15AX",LEFT(K5917,4)="CTAX",LEFT(K5917,2)="W|"),2*N5917*O5917,0)</f>
        <v/>
      </c>
      <c r="Z5917" s="12" t="inlineStr"/>
      <c r="AA5917" s="12">
        <f>N5917*O5917</f>
        <v/>
      </c>
    </row>
    <row r="5918">
      <c r="A5918" s="12" t="inlineStr">
        <is>
          <t>K-I-0179</t>
        </is>
      </c>
      <c r="B5918" s="12" t="inlineStr">
        <is>
          <t>K</t>
        </is>
      </c>
      <c r="C5918" s="12" t="inlineStr">
        <is>
          <t>Fuel supply (adjacent market)</t>
        </is>
      </c>
      <c r="D5918" s="12" t="inlineStr">
        <is>
          <t>Discrete device to JB JB-M&amp;R 6: regulation -DI01: 12 x 1 pr (field cables)</t>
        </is>
      </c>
      <c r="E5918" s="12" t="inlineStr"/>
      <c r="F5918" s="12" t="inlineStr">
        <is>
          <t>M&amp;R 6: regulation / flow control building</t>
        </is>
      </c>
      <c r="G5918" s="12" t="inlineStr">
        <is>
          <t>JB-M&amp;R 6: regulation -DI01</t>
        </is>
      </c>
      <c r="H5918" s="12" t="inlineStr">
        <is>
          <t>M&amp;R 6: regulation / flow control building</t>
        </is>
      </c>
      <c r="I5918" s="12" t="inlineStr">
        <is>
          <t>Instrumentation</t>
        </is>
      </c>
      <c r="J5918" s="12" t="inlineStr">
        <is>
          <t>Instrumentation ITC / PLTC, IS, #18 shielded pairs, blue jacket</t>
        </is>
      </c>
      <c r="K5918" s="12" t="inlineStr">
        <is>
          <t>ITC|1 pr|16</t>
        </is>
      </c>
      <c r="L5918" s="12" t="inlineStr">
        <is>
          <t>1 pr</t>
        </is>
      </c>
      <c r="M5918" s="12" t="inlineStr">
        <is>
          <t>16</t>
        </is>
      </c>
      <c r="N5918" s="12" t="n">
        <v>12</v>
      </c>
      <c r="O5918" s="12" t="n">
        <v>1</v>
      </c>
      <c r="P5918" s="12" t="n"/>
      <c r="Q5918" s="12" t="n"/>
      <c r="R5918" s="12" t="n"/>
      <c r="S5918" s="12" t="inlineStr">
        <is>
          <t>Tray / conduit</t>
        </is>
      </c>
      <c r="T5918" s="16" t="n">
        <v>61</v>
      </c>
      <c r="U5918" s="16" t="n">
        <v>10</v>
      </c>
      <c r="V5918" s="16">
        <f>ROUNDUP((T5918+U5918+2*'Read Me'!$B$13)*(1+'Read Me'!$B$12),-1)</f>
        <v/>
      </c>
      <c r="W5918" s="16">
        <f>V5918*N5918*O5918</f>
        <v/>
      </c>
      <c r="X5918" s="12">
        <f>IF(LEFT(I5918,2)="MV",2*N5918*IF(L5918="1/C",O5918,1),0)</f>
        <v/>
      </c>
      <c r="Y5918" s="12">
        <f>IF(OR(LEFT(K5918,4)="LVAX",LEFT(K5918,6)="MV15AX",LEFT(K5918,4)="CTAX",LEFT(K5918,2)="W|"),2*N5918*O5918,0)</f>
        <v/>
      </c>
      <c r="Z5918" s="12" t="inlineStr">
        <is>
          <t>device-to-JB field wiring, one cable per device</t>
        </is>
      </c>
      <c r="AA5918" s="12">
        <f>N5918*O5918</f>
        <v/>
      </c>
    </row>
    <row r="5919">
      <c r="A5919" s="12" t="inlineStr">
        <is>
          <t>K-I-0180</t>
        </is>
      </c>
      <c r="B5919" s="12" t="inlineStr">
        <is>
          <t>K</t>
        </is>
      </c>
      <c r="C5919" s="12" t="inlineStr">
        <is>
          <t>Fuel supply (adjacent market)</t>
        </is>
      </c>
      <c r="D5919" s="12" t="inlineStr">
        <is>
          <t>Home run JB-M&amp;R 6: regulation -DI01 to the control / marshalling room</t>
        </is>
      </c>
      <c r="E5919" s="12" t="inlineStr"/>
      <c r="F5919" s="12" t="inlineStr">
        <is>
          <t>LNG 17: LNG e-house (13.8 kV / 480 V)</t>
        </is>
      </c>
      <c r="G5919" s="12" t="inlineStr">
        <is>
          <t>JB-M&amp;R 6: regulation -DI01</t>
        </is>
      </c>
      <c r="H5919" s="12" t="inlineStr">
        <is>
          <t>M&amp;R 6: regulation / flow control building</t>
        </is>
      </c>
      <c r="I5919" s="12" t="inlineStr">
        <is>
          <t>Instrumentation</t>
        </is>
      </c>
      <c r="J5919" s="12" t="inlineStr">
        <is>
          <t>Instrumentation ITC / PLTC, IS, #18 shielded pairs, blue jacket</t>
        </is>
      </c>
      <c r="K5919" s="12" t="inlineStr">
        <is>
          <t>ITC|24 pr|18</t>
        </is>
      </c>
      <c r="L5919" s="12" t="inlineStr">
        <is>
          <t>24 pr</t>
        </is>
      </c>
      <c r="M5919" s="12" t="inlineStr">
        <is>
          <t>18</t>
        </is>
      </c>
      <c r="N5919" s="12" t="n">
        <v>1</v>
      </c>
      <c r="O5919" s="12" t="n">
        <v>1</v>
      </c>
      <c r="P5919" s="12" t="n"/>
      <c r="Q5919" s="12" t="n"/>
      <c r="R5919" s="12" t="n"/>
      <c r="S5919" s="12" t="inlineStr">
        <is>
          <t>Duct bank</t>
        </is>
      </c>
      <c r="T5919" s="16" t="n">
        <v>470</v>
      </c>
      <c r="U5919" s="16" t="n">
        <v>70</v>
      </c>
      <c r="V5919" s="16">
        <f>ROUNDUP((T5919+U5919+2*'Read Me'!$B$13)*(1+'Read Me'!$B$12),-1)</f>
        <v/>
      </c>
      <c r="W5919" s="16">
        <f>V5919*N5919*O5919</f>
        <v/>
      </c>
      <c r="X5919" s="12">
        <f>IF(LEFT(I5919,2)="MV",2*N5919*IF(L5919="1/C",O5919,1),0)</f>
        <v/>
      </c>
      <c r="Y5919" s="12">
        <f>IF(OR(LEFT(K5919,4)="LVAX",LEFT(K5919,6)="MV15AX",LEFT(K5919,4)="CTAX",LEFT(K5919,2)="W|"),2*N5919*O5919,0)</f>
        <v/>
      </c>
      <c r="Z5919" s="12" t="inlineStr"/>
      <c r="AA5919" s="12">
        <f>N5919*O5919</f>
        <v/>
      </c>
    </row>
    <row r="5920">
      <c r="A5920" s="12" t="inlineStr">
        <is>
          <t>K-I-0181</t>
        </is>
      </c>
      <c r="B5920" s="12" t="inlineStr">
        <is>
          <t>K</t>
        </is>
      </c>
      <c r="C5920" s="12" t="inlineStr">
        <is>
          <t>Fuel supply (adjacent market)</t>
        </is>
      </c>
      <c r="D5920" s="12" t="inlineStr">
        <is>
          <t>Analog instrument to JB JB-M&amp;R 7: gas quality-AI01: 20 x 1 pr (field cables)</t>
        </is>
      </c>
      <c r="E5920" s="12" t="inlineStr"/>
      <c r="F5920" s="12" t="inlineStr">
        <is>
          <t>M&amp;R 7: gas quality + measurement building</t>
        </is>
      </c>
      <c r="G5920" s="12" t="inlineStr">
        <is>
          <t>JB-M&amp;R 7: gas quality-AI01</t>
        </is>
      </c>
      <c r="H5920" s="12" t="inlineStr">
        <is>
          <t>M&amp;R 7: gas quality + measurement building</t>
        </is>
      </c>
      <c r="I5920" s="12" t="inlineStr">
        <is>
          <t>Instrumentation</t>
        </is>
      </c>
      <c r="J5920" s="12" t="inlineStr">
        <is>
          <t>Instrumentation ITC / PLTC, IS, #18 shielded pairs, blue jacket</t>
        </is>
      </c>
      <c r="K5920" s="12" t="inlineStr">
        <is>
          <t>ITC|1 pr|16</t>
        </is>
      </c>
      <c r="L5920" s="12" t="inlineStr">
        <is>
          <t>1 pr</t>
        </is>
      </c>
      <c r="M5920" s="12" t="inlineStr">
        <is>
          <t>16</t>
        </is>
      </c>
      <c r="N5920" s="12" t="n">
        <v>20</v>
      </c>
      <c r="O5920" s="12" t="n">
        <v>1</v>
      </c>
      <c r="P5920" s="12" t="n"/>
      <c r="Q5920" s="12" t="n"/>
      <c r="R5920" s="12" t="n"/>
      <c r="S5920" s="12" t="inlineStr">
        <is>
          <t>Tray / conduit</t>
        </is>
      </c>
      <c r="T5920" s="16" t="n">
        <v>41</v>
      </c>
      <c r="U5920" s="16" t="n">
        <v>10</v>
      </c>
      <c r="V5920" s="16">
        <f>ROUNDUP((T5920+U5920+2*'Read Me'!$B$13)*(1+'Read Me'!$B$12),-1)</f>
        <v/>
      </c>
      <c r="W5920" s="16">
        <f>V5920*N5920*O5920</f>
        <v/>
      </c>
      <c r="X5920" s="12">
        <f>IF(LEFT(I5920,2)="MV",2*N5920*IF(L5920="1/C",O5920,1),0)</f>
        <v/>
      </c>
      <c r="Y5920" s="12">
        <f>IF(OR(LEFT(K5920,4)="LVAX",LEFT(K5920,6)="MV15AX",LEFT(K5920,4)="CTAX",LEFT(K5920,2)="W|"),2*N5920*O5920,0)</f>
        <v/>
      </c>
      <c r="Z5920" s="12" t="inlineStr">
        <is>
          <t>device-to-JB field wiring, one cable per device</t>
        </is>
      </c>
      <c r="AA5920" s="12">
        <f>N5920*O5920</f>
        <v/>
      </c>
    </row>
    <row r="5921">
      <c r="A5921" s="12" t="inlineStr">
        <is>
          <t>K-I-0182</t>
        </is>
      </c>
      <c r="B5921" s="12" t="inlineStr">
        <is>
          <t>K</t>
        </is>
      </c>
      <c r="C5921" s="12" t="inlineStr">
        <is>
          <t>Fuel supply (adjacent market)</t>
        </is>
      </c>
      <c r="D5921" s="12" t="inlineStr">
        <is>
          <t>Home run JB-M&amp;R 7: gas quality-AI01 to the control / marshalling room</t>
        </is>
      </c>
      <c r="E5921" s="12" t="inlineStr"/>
      <c r="F5921" s="12" t="inlineStr">
        <is>
          <t>LNG 17: LNG e-house (13.8 kV / 480 V)</t>
        </is>
      </c>
      <c r="G5921" s="12" t="inlineStr">
        <is>
          <t>JB-M&amp;R 7: gas quality-AI01</t>
        </is>
      </c>
      <c r="H5921" s="12" t="inlineStr">
        <is>
          <t>M&amp;R 7: gas quality + measurement building</t>
        </is>
      </c>
      <c r="I5921" s="12" t="inlineStr">
        <is>
          <t>Instrumentation</t>
        </is>
      </c>
      <c r="J5921" s="12" t="inlineStr">
        <is>
          <t>Instrumentation ITC / PLTC, IS, #18 shielded pairs, blue jacket</t>
        </is>
      </c>
      <c r="K5921" s="12" t="inlineStr">
        <is>
          <t>ITC|24 pr|18</t>
        </is>
      </c>
      <c r="L5921" s="12" t="inlineStr">
        <is>
          <t>24 pr</t>
        </is>
      </c>
      <c r="M5921" s="12" t="inlineStr">
        <is>
          <t>18</t>
        </is>
      </c>
      <c r="N5921" s="12" t="n">
        <v>1</v>
      </c>
      <c r="O5921" s="12" t="n">
        <v>1</v>
      </c>
      <c r="P5921" s="12" t="n"/>
      <c r="Q5921" s="12" t="n"/>
      <c r="R5921" s="12" t="n"/>
      <c r="S5921" s="12" t="inlineStr">
        <is>
          <t>Duct bank</t>
        </is>
      </c>
      <c r="T5921" s="16" t="n">
        <v>616</v>
      </c>
      <c r="U5921" s="16" t="n">
        <v>52</v>
      </c>
      <c r="V5921" s="16">
        <f>ROUNDUP((T5921+U5921+2*'Read Me'!$B$13)*(1+'Read Me'!$B$12),-1)</f>
        <v/>
      </c>
      <c r="W5921" s="16">
        <f>V5921*N5921*O5921</f>
        <v/>
      </c>
      <c r="X5921" s="12">
        <f>IF(LEFT(I5921,2)="MV",2*N5921*IF(L5921="1/C",O5921,1),0)</f>
        <v/>
      </c>
      <c r="Y5921" s="12">
        <f>IF(OR(LEFT(K5921,4)="LVAX",LEFT(K5921,6)="MV15AX",LEFT(K5921,4)="CTAX",LEFT(K5921,2)="W|"),2*N5921*O5921,0)</f>
        <v/>
      </c>
      <c r="Z5921" s="12" t="inlineStr"/>
      <c r="AA5921" s="12">
        <f>N5921*O5921</f>
        <v/>
      </c>
    </row>
    <row r="5922">
      <c r="A5922" s="12" t="inlineStr">
        <is>
          <t>K-I-0183</t>
        </is>
      </c>
      <c r="B5922" s="12" t="inlineStr">
        <is>
          <t>K</t>
        </is>
      </c>
      <c r="C5922" s="12" t="inlineStr">
        <is>
          <t>Fuel supply (adjacent market)</t>
        </is>
      </c>
      <c r="D5922" s="12" t="inlineStr">
        <is>
          <t>Discrete device to JB JB-M&amp;R 7: gas quality-DI01: 8 x 1 pr (field cables)</t>
        </is>
      </c>
      <c r="E5922" s="12" t="inlineStr"/>
      <c r="F5922" s="12" t="inlineStr">
        <is>
          <t>M&amp;R 7: gas quality + measurement building</t>
        </is>
      </c>
      <c r="G5922" s="12" t="inlineStr">
        <is>
          <t>JB-M&amp;R 7: gas quality-DI01</t>
        </is>
      </c>
      <c r="H5922" s="12" t="inlineStr">
        <is>
          <t>M&amp;R 7: gas quality + measurement building</t>
        </is>
      </c>
      <c r="I5922" s="12" t="inlineStr">
        <is>
          <t>Instrumentation</t>
        </is>
      </c>
      <c r="J5922" s="12" t="inlineStr">
        <is>
          <t>Instrumentation ITC / PLTC, IS, #18 shielded pairs, blue jacket</t>
        </is>
      </c>
      <c r="K5922" s="12" t="inlineStr">
        <is>
          <t>ITC|1 pr|16</t>
        </is>
      </c>
      <c r="L5922" s="12" t="inlineStr">
        <is>
          <t>1 pr</t>
        </is>
      </c>
      <c r="M5922" s="12" t="inlineStr">
        <is>
          <t>16</t>
        </is>
      </c>
      <c r="N5922" s="12" t="n">
        <v>8</v>
      </c>
      <c r="O5922" s="12" t="n">
        <v>1</v>
      </c>
      <c r="P5922" s="12" t="n"/>
      <c r="Q5922" s="12" t="n"/>
      <c r="R5922" s="12" t="n"/>
      <c r="S5922" s="12" t="inlineStr">
        <is>
          <t>Tray / conduit</t>
        </is>
      </c>
      <c r="T5922" s="16" t="n">
        <v>41</v>
      </c>
      <c r="U5922" s="16" t="n">
        <v>10</v>
      </c>
      <c r="V5922" s="16">
        <f>ROUNDUP((T5922+U5922+2*'Read Me'!$B$13)*(1+'Read Me'!$B$12),-1)</f>
        <v/>
      </c>
      <c r="W5922" s="16">
        <f>V5922*N5922*O5922</f>
        <v/>
      </c>
      <c r="X5922" s="12">
        <f>IF(LEFT(I5922,2)="MV",2*N5922*IF(L5922="1/C",O5922,1),0)</f>
        <v/>
      </c>
      <c r="Y5922" s="12">
        <f>IF(OR(LEFT(K5922,4)="LVAX",LEFT(K5922,6)="MV15AX",LEFT(K5922,4)="CTAX",LEFT(K5922,2)="W|"),2*N5922*O5922,0)</f>
        <v/>
      </c>
      <c r="Z5922" s="12" t="inlineStr">
        <is>
          <t>device-to-JB field wiring, one cable per device</t>
        </is>
      </c>
      <c r="AA5922" s="12">
        <f>N5922*O5922</f>
        <v/>
      </c>
    </row>
    <row r="5923">
      <c r="A5923" s="12" t="inlineStr">
        <is>
          <t>K-I-0184</t>
        </is>
      </c>
      <c r="B5923" s="12" t="inlineStr">
        <is>
          <t>K</t>
        </is>
      </c>
      <c r="C5923" s="12" t="inlineStr">
        <is>
          <t>Fuel supply (adjacent market)</t>
        </is>
      </c>
      <c r="D5923" s="12" t="inlineStr">
        <is>
          <t>Home run JB-M&amp;R 7: gas quality-DI01 to the control / marshalling room</t>
        </is>
      </c>
      <c r="E5923" s="12" t="inlineStr"/>
      <c r="F5923" s="12" t="inlineStr">
        <is>
          <t>LNG 17: LNG e-house (13.8 kV / 480 V)</t>
        </is>
      </c>
      <c r="G5923" s="12" t="inlineStr">
        <is>
          <t>JB-M&amp;R 7: gas quality-DI01</t>
        </is>
      </c>
      <c r="H5923" s="12" t="inlineStr">
        <is>
          <t>M&amp;R 7: gas quality + measurement building</t>
        </is>
      </c>
      <c r="I5923" s="12" t="inlineStr">
        <is>
          <t>Instrumentation</t>
        </is>
      </c>
      <c r="J5923" s="12" t="inlineStr">
        <is>
          <t>Instrumentation ITC / PLTC, IS, #18 shielded pairs, blue jacket</t>
        </is>
      </c>
      <c r="K5923" s="12" t="inlineStr">
        <is>
          <t>ITC|24 pr|18</t>
        </is>
      </c>
      <c r="L5923" s="12" t="inlineStr">
        <is>
          <t>24 pr</t>
        </is>
      </c>
      <c r="M5923" s="12" t="inlineStr">
        <is>
          <t>18</t>
        </is>
      </c>
      <c r="N5923" s="12" t="n">
        <v>1</v>
      </c>
      <c r="O5923" s="12" t="n">
        <v>1</v>
      </c>
      <c r="P5923" s="12" t="n"/>
      <c r="Q5923" s="12" t="n"/>
      <c r="R5923" s="12" t="n"/>
      <c r="S5923" s="12" t="inlineStr">
        <is>
          <t>Duct bank</t>
        </is>
      </c>
      <c r="T5923" s="16" t="n">
        <v>616</v>
      </c>
      <c r="U5923" s="16" t="n">
        <v>52</v>
      </c>
      <c r="V5923" s="16">
        <f>ROUNDUP((T5923+U5923+2*'Read Me'!$B$13)*(1+'Read Me'!$B$12),-1)</f>
        <v/>
      </c>
      <c r="W5923" s="16">
        <f>V5923*N5923*O5923</f>
        <v/>
      </c>
      <c r="X5923" s="12">
        <f>IF(LEFT(I5923,2)="MV",2*N5923*IF(L5923="1/C",O5923,1),0)</f>
        <v/>
      </c>
      <c r="Y5923" s="12">
        <f>IF(OR(LEFT(K5923,4)="LVAX",LEFT(K5923,6)="MV15AX",LEFT(K5923,4)="CTAX",LEFT(K5923,2)="W|"),2*N5923*O5923,0)</f>
        <v/>
      </c>
      <c r="Z5923" s="12" t="inlineStr"/>
      <c r="AA5923" s="12">
        <f>N5923*O5923</f>
        <v/>
      </c>
    </row>
    <row r="5924">
      <c r="A5924" s="12" t="inlineStr">
        <is>
          <t>K-I-0185</t>
        </is>
      </c>
      <c r="B5924" s="12" t="inlineStr">
        <is>
          <t>K</t>
        </is>
      </c>
      <c r="C5924" s="12" t="inlineStr">
        <is>
          <t>Fuel supply (adjacent market)</t>
        </is>
      </c>
      <c r="D5924" s="12" t="inlineStr">
        <is>
          <t>Analog instrument to JB JB-M&amp;R 8: condensate -AI01: 4 x 1 pr (field cables)</t>
        </is>
      </c>
      <c r="E5924" s="12" t="inlineStr"/>
      <c r="F5924" s="12" t="inlineStr">
        <is>
          <t>M&amp;R 8: condensate tank</t>
        </is>
      </c>
      <c r="G5924" s="12" t="inlineStr">
        <is>
          <t>JB-M&amp;R 8: condensate -AI01</t>
        </is>
      </c>
      <c r="H5924" s="12" t="inlineStr">
        <is>
          <t>M&amp;R 8: condensate tank</t>
        </is>
      </c>
      <c r="I5924" s="12" t="inlineStr">
        <is>
          <t>Instrumentation</t>
        </is>
      </c>
      <c r="J5924" s="12" t="inlineStr">
        <is>
          <t>Instrumentation ITC / PLTC, IS, #18 shielded pairs, blue jacket</t>
        </is>
      </c>
      <c r="K5924" s="12" t="inlineStr">
        <is>
          <t>ITC|1 pr|16</t>
        </is>
      </c>
      <c r="L5924" s="12" t="inlineStr">
        <is>
          <t>1 pr</t>
        </is>
      </c>
      <c r="M5924" s="12" t="inlineStr">
        <is>
          <t>16</t>
        </is>
      </c>
      <c r="N5924" s="12" t="n">
        <v>4</v>
      </c>
      <c r="O5924" s="12" t="n">
        <v>1</v>
      </c>
      <c r="P5924" s="12" t="n"/>
      <c r="Q5924" s="12" t="n"/>
      <c r="R5924" s="12" t="n"/>
      <c r="S5924" s="12" t="inlineStr">
        <is>
          <t>Tray / conduit</t>
        </is>
      </c>
      <c r="T5924" s="16" t="n">
        <v>41</v>
      </c>
      <c r="U5924" s="16" t="n">
        <v>10</v>
      </c>
      <c r="V5924" s="16">
        <f>ROUNDUP((T5924+U5924+2*'Read Me'!$B$13)*(1+'Read Me'!$B$12),-1)</f>
        <v/>
      </c>
      <c r="W5924" s="16">
        <f>V5924*N5924*O5924</f>
        <v/>
      </c>
      <c r="X5924" s="12">
        <f>IF(LEFT(I5924,2)="MV",2*N5924*IF(L5924="1/C",O5924,1),0)</f>
        <v/>
      </c>
      <c r="Y5924" s="12">
        <f>IF(OR(LEFT(K5924,4)="LVAX",LEFT(K5924,6)="MV15AX",LEFT(K5924,4)="CTAX",LEFT(K5924,2)="W|"),2*N5924*O5924,0)</f>
        <v/>
      </c>
      <c r="Z5924" s="12" t="inlineStr">
        <is>
          <t>device-to-JB field wiring, one cable per device</t>
        </is>
      </c>
      <c r="AA5924" s="12">
        <f>N5924*O5924</f>
        <v/>
      </c>
    </row>
    <row r="5925">
      <c r="A5925" s="12" t="inlineStr">
        <is>
          <t>K-I-0186</t>
        </is>
      </c>
      <c r="B5925" s="12" t="inlineStr">
        <is>
          <t>K</t>
        </is>
      </c>
      <c r="C5925" s="12" t="inlineStr">
        <is>
          <t>Fuel supply (adjacent market)</t>
        </is>
      </c>
      <c r="D5925" s="12" t="inlineStr">
        <is>
          <t>Home run JB-M&amp;R 8: condensate -AI01 to the control / marshalling room</t>
        </is>
      </c>
      <c r="E5925" s="12" t="inlineStr"/>
      <c r="F5925" s="12" t="inlineStr">
        <is>
          <t>LNG 17: LNG e-house (13.8 kV / 480 V)</t>
        </is>
      </c>
      <c r="G5925" s="12" t="inlineStr">
        <is>
          <t>JB-M&amp;R 8: condensate -AI01</t>
        </is>
      </c>
      <c r="H5925" s="12" t="inlineStr">
        <is>
          <t>M&amp;R 8: condensate tank</t>
        </is>
      </c>
      <c r="I5925" s="12" t="inlineStr">
        <is>
          <t>Instrumentation</t>
        </is>
      </c>
      <c r="J5925" s="12" t="inlineStr">
        <is>
          <t>Instrumentation ITC / PLTC, IS, #18 shielded pairs, blue jacket</t>
        </is>
      </c>
      <c r="K5925" s="12" t="inlineStr">
        <is>
          <t>ITC|24 pr|18</t>
        </is>
      </c>
      <c r="L5925" s="12" t="inlineStr">
        <is>
          <t>24 pr</t>
        </is>
      </c>
      <c r="M5925" s="12" t="inlineStr">
        <is>
          <t>18</t>
        </is>
      </c>
      <c r="N5925" s="12" t="n">
        <v>1</v>
      </c>
      <c r="O5925" s="12" t="n">
        <v>1</v>
      </c>
      <c r="P5925" s="12" t="n"/>
      <c r="Q5925" s="12" t="n"/>
      <c r="R5925" s="12" t="n"/>
      <c r="S5925" s="12" t="inlineStr">
        <is>
          <t>Duct bank</t>
        </is>
      </c>
      <c r="T5925" s="16" t="n">
        <v>530</v>
      </c>
      <c r="U5925" s="16" t="n">
        <v>87</v>
      </c>
      <c r="V5925" s="16">
        <f>ROUNDUP((T5925+U5925+2*'Read Me'!$B$13)*(1+'Read Me'!$B$12),-1)</f>
        <v/>
      </c>
      <c r="W5925" s="16">
        <f>V5925*N5925*O5925</f>
        <v/>
      </c>
      <c r="X5925" s="12">
        <f>IF(LEFT(I5925,2)="MV",2*N5925*IF(L5925="1/C",O5925,1),0)</f>
        <v/>
      </c>
      <c r="Y5925" s="12">
        <f>IF(OR(LEFT(K5925,4)="LVAX",LEFT(K5925,6)="MV15AX",LEFT(K5925,4)="CTAX",LEFT(K5925,2)="W|"),2*N5925*O5925,0)</f>
        <v/>
      </c>
      <c r="Z5925" s="12" t="inlineStr"/>
      <c r="AA5925" s="12">
        <f>N5925*O5925</f>
        <v/>
      </c>
    </row>
    <row r="5926">
      <c r="A5926" s="12" t="inlineStr">
        <is>
          <t>K-I-0187</t>
        </is>
      </c>
      <c r="B5926" s="12" t="inlineStr">
        <is>
          <t>K</t>
        </is>
      </c>
      <c r="C5926" s="12" t="inlineStr">
        <is>
          <t>Fuel supply (adjacent market)</t>
        </is>
      </c>
      <c r="D5926" s="12" t="inlineStr">
        <is>
          <t>Discrete device to JB JB-M&amp;R 8: condensate -DI01: 4 x 1 pr (field cables)</t>
        </is>
      </c>
      <c r="E5926" s="12" t="inlineStr"/>
      <c r="F5926" s="12" t="inlineStr">
        <is>
          <t>M&amp;R 8: condensate tank</t>
        </is>
      </c>
      <c r="G5926" s="12" t="inlineStr">
        <is>
          <t>JB-M&amp;R 8: condensate -DI01</t>
        </is>
      </c>
      <c r="H5926" s="12" t="inlineStr">
        <is>
          <t>M&amp;R 8: condensate tank</t>
        </is>
      </c>
      <c r="I5926" s="12" t="inlineStr">
        <is>
          <t>Instrumentation</t>
        </is>
      </c>
      <c r="J5926" s="12" t="inlineStr">
        <is>
          <t>Instrumentation ITC / PLTC, IS, #18 shielded pairs, blue jacket</t>
        </is>
      </c>
      <c r="K5926" s="12" t="inlineStr">
        <is>
          <t>ITC|1 pr|16</t>
        </is>
      </c>
      <c r="L5926" s="12" t="inlineStr">
        <is>
          <t>1 pr</t>
        </is>
      </c>
      <c r="M5926" s="12" t="inlineStr">
        <is>
          <t>16</t>
        </is>
      </c>
      <c r="N5926" s="12" t="n">
        <v>4</v>
      </c>
      <c r="O5926" s="12" t="n">
        <v>1</v>
      </c>
      <c r="P5926" s="12" t="n"/>
      <c r="Q5926" s="12" t="n"/>
      <c r="R5926" s="12" t="n"/>
      <c r="S5926" s="12" t="inlineStr">
        <is>
          <t>Tray / conduit</t>
        </is>
      </c>
      <c r="T5926" s="16" t="n">
        <v>41</v>
      </c>
      <c r="U5926" s="16" t="n">
        <v>10</v>
      </c>
      <c r="V5926" s="16">
        <f>ROUNDUP((T5926+U5926+2*'Read Me'!$B$13)*(1+'Read Me'!$B$12),-1)</f>
        <v/>
      </c>
      <c r="W5926" s="16">
        <f>V5926*N5926*O5926</f>
        <v/>
      </c>
      <c r="X5926" s="12">
        <f>IF(LEFT(I5926,2)="MV",2*N5926*IF(L5926="1/C",O5926,1),0)</f>
        <v/>
      </c>
      <c r="Y5926" s="12">
        <f>IF(OR(LEFT(K5926,4)="LVAX",LEFT(K5926,6)="MV15AX",LEFT(K5926,4)="CTAX",LEFT(K5926,2)="W|"),2*N5926*O5926,0)</f>
        <v/>
      </c>
      <c r="Z5926" s="12" t="inlineStr">
        <is>
          <t>device-to-JB field wiring, one cable per device</t>
        </is>
      </c>
      <c r="AA5926" s="12">
        <f>N5926*O5926</f>
        <v/>
      </c>
    </row>
    <row r="5927">
      <c r="A5927" s="12" t="inlineStr">
        <is>
          <t>K-I-0188</t>
        </is>
      </c>
      <c r="B5927" s="12" t="inlineStr">
        <is>
          <t>K</t>
        </is>
      </c>
      <c r="C5927" s="12" t="inlineStr">
        <is>
          <t>Fuel supply (adjacent market)</t>
        </is>
      </c>
      <c r="D5927" s="12" t="inlineStr">
        <is>
          <t>Home run JB-M&amp;R 8: condensate -DI01 to the control / marshalling room</t>
        </is>
      </c>
      <c r="E5927" s="12" t="inlineStr"/>
      <c r="F5927" s="12" t="inlineStr">
        <is>
          <t>LNG 17: LNG e-house (13.8 kV / 480 V)</t>
        </is>
      </c>
      <c r="G5927" s="12" t="inlineStr">
        <is>
          <t>JB-M&amp;R 8: condensate -DI01</t>
        </is>
      </c>
      <c r="H5927" s="12" t="inlineStr">
        <is>
          <t>M&amp;R 8: condensate tank</t>
        </is>
      </c>
      <c r="I5927" s="12" t="inlineStr">
        <is>
          <t>Instrumentation</t>
        </is>
      </c>
      <c r="J5927" s="12" t="inlineStr">
        <is>
          <t>Instrumentation ITC / PLTC, IS, #18 shielded pairs, blue jacket</t>
        </is>
      </c>
      <c r="K5927" s="12" t="inlineStr">
        <is>
          <t>ITC|24 pr|18</t>
        </is>
      </c>
      <c r="L5927" s="12" t="inlineStr">
        <is>
          <t>24 pr</t>
        </is>
      </c>
      <c r="M5927" s="12" t="inlineStr">
        <is>
          <t>18</t>
        </is>
      </c>
      <c r="N5927" s="12" t="n">
        <v>1</v>
      </c>
      <c r="O5927" s="12" t="n">
        <v>1</v>
      </c>
      <c r="P5927" s="12" t="n"/>
      <c r="Q5927" s="12" t="n"/>
      <c r="R5927" s="12" t="n"/>
      <c r="S5927" s="12" t="inlineStr">
        <is>
          <t>Duct bank</t>
        </is>
      </c>
      <c r="T5927" s="16" t="n">
        <v>530</v>
      </c>
      <c r="U5927" s="16" t="n">
        <v>87</v>
      </c>
      <c r="V5927" s="16">
        <f>ROUNDUP((T5927+U5927+2*'Read Me'!$B$13)*(1+'Read Me'!$B$12),-1)</f>
        <v/>
      </c>
      <c r="W5927" s="16">
        <f>V5927*N5927*O5927</f>
        <v/>
      </c>
      <c r="X5927" s="12">
        <f>IF(LEFT(I5927,2)="MV",2*N5927*IF(L5927="1/C",O5927,1),0)</f>
        <v/>
      </c>
      <c r="Y5927" s="12">
        <f>IF(OR(LEFT(K5927,4)="LVAX",LEFT(K5927,6)="MV15AX",LEFT(K5927,4)="CTAX",LEFT(K5927,2)="W|"),2*N5927*O5927,0)</f>
        <v/>
      </c>
      <c r="Z5927" s="12" t="inlineStr"/>
      <c r="AA5927" s="12">
        <f>N5927*O5927</f>
        <v/>
      </c>
    </row>
    <row r="5928">
      <c r="A5928" s="12" t="inlineStr">
        <is>
          <t>K-I-0189</t>
        </is>
      </c>
      <c r="B5928" s="12" t="inlineStr">
        <is>
          <t>K</t>
        </is>
      </c>
      <c r="C5928" s="12" t="inlineStr">
        <is>
          <t>Fuel supply (adjacent market)</t>
        </is>
      </c>
      <c r="D5928" s="12" t="inlineStr">
        <is>
          <t>Instrumentation</t>
        </is>
      </c>
      <c r="E5928" s="12" t="inlineStr"/>
      <c r="F5928" s="12" t="inlineStr">
        <is>
          <t>LNG 17: LNG e-house (13.8 kV / 480 V)</t>
        </is>
      </c>
      <c r="G5928" s="12" t="inlineStr"/>
      <c r="H5928" s="12" t="inlineStr">
        <is>
          <t>M&amp;R CP test station (as drawn)</t>
        </is>
      </c>
      <c r="I5928" s="12" t="inlineStr">
        <is>
          <t>Instrumentation</t>
        </is>
      </c>
      <c r="J5928" s="12" t="inlineStr">
        <is>
          <t>Instrumentation ITC / PLTC, IS, #18 shielded pairs, blue jacket</t>
        </is>
      </c>
      <c r="K5928" s="12" t="inlineStr">
        <is>
          <t>ITC|4 pr|18</t>
        </is>
      </c>
      <c r="L5928" s="12" t="inlineStr">
        <is>
          <t>4 pr</t>
        </is>
      </c>
      <c r="M5928" s="12" t="inlineStr">
        <is>
          <t>18</t>
        </is>
      </c>
      <c r="N5928" s="12" t="n">
        <v>1</v>
      </c>
      <c r="O5928" s="12" t="n">
        <v>1</v>
      </c>
      <c r="P5928" s="12" t="n"/>
      <c r="Q5928" s="12" t="n"/>
      <c r="R5928" s="12" t="n"/>
      <c r="S5928" s="12" t="inlineStr">
        <is>
          <t>Duct bank</t>
        </is>
      </c>
      <c r="T5928" s="16" t="n">
        <v>441</v>
      </c>
      <c r="U5928" s="16" t="n">
        <v>42</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K-I-0190</t>
        </is>
      </c>
      <c r="B5929" s="12" t="inlineStr">
        <is>
          <t>K</t>
        </is>
      </c>
      <c r="C5929" s="12" t="inlineStr">
        <is>
          <t>Fuel supply (adjacent market)</t>
        </is>
      </c>
      <c r="D5929" s="12" t="inlineStr">
        <is>
          <t>Instrumentation</t>
        </is>
      </c>
      <c r="E5929" s="12" t="inlineStr"/>
      <c r="F5929" s="12" t="inlineStr">
        <is>
          <t>H2 20: 13.8 kV e-house</t>
        </is>
      </c>
      <c r="G5929" s="12" t="inlineStr"/>
      <c r="H5929" s="12" t="inlineStr">
        <is>
          <t>PEM electrolyzer 1 (HyLYZER-1000)</t>
        </is>
      </c>
      <c r="I5929" s="12" t="inlineStr">
        <is>
          <t>Instrumentation</t>
        </is>
      </c>
      <c r="J5929" s="12" t="inlineStr">
        <is>
          <t>Instrumentation ITC / PLTC, IS, #18 shielded pairs, blue jacket</t>
        </is>
      </c>
      <c r="K5929" s="12" t="inlineStr">
        <is>
          <t>ITC|4 pr|18</t>
        </is>
      </c>
      <c r="L5929" s="12" t="inlineStr">
        <is>
          <t>4 pr</t>
        </is>
      </c>
      <c r="M5929" s="12" t="inlineStr">
        <is>
          <t>18</t>
        </is>
      </c>
      <c r="N5929" s="12" t="n">
        <v>1</v>
      </c>
      <c r="O5929" s="12" t="n">
        <v>1</v>
      </c>
      <c r="P5929" s="12" t="n"/>
      <c r="Q5929" s="12" t="n"/>
      <c r="R5929" s="12" t="n"/>
      <c r="S5929" s="12" t="inlineStr">
        <is>
          <t>Duct bank</t>
        </is>
      </c>
      <c r="T5929" s="16" t="n">
        <v>358</v>
      </c>
      <c r="U5929" s="16" t="n">
        <v>32</v>
      </c>
      <c r="V5929" s="16">
        <f>ROUNDUP((T5929+U5929+2*'Read Me'!$B$13)*(1+'Read Me'!$B$12),-1)</f>
        <v/>
      </c>
      <c r="W5929" s="16">
        <f>V5929*N5929*O5929</f>
        <v/>
      </c>
      <c r="X5929" s="12">
        <f>IF(LEFT(I5929,2)="MV",2*N5929*IF(L5929="1/C",O5929,1),0)</f>
        <v/>
      </c>
      <c r="Y5929" s="12">
        <f>IF(OR(LEFT(K5929,4)="LVAX",LEFT(K5929,6)="MV15AX",LEFT(K5929,4)="CTAX",LEFT(K5929,2)="W|"),2*N5929*O5929,0)</f>
        <v/>
      </c>
      <c r="Z5929" s="12" t="inlineStr"/>
      <c r="AA5929" s="12">
        <f>N5929*O5929</f>
        <v/>
      </c>
    </row>
    <row r="5930">
      <c r="A5930" s="12" t="inlineStr">
        <is>
          <t>K-I-0191</t>
        </is>
      </c>
      <c r="B5930" s="12" t="inlineStr">
        <is>
          <t>K</t>
        </is>
      </c>
      <c r="C5930" s="12" t="inlineStr">
        <is>
          <t>Fuel supply (adjacent market)</t>
        </is>
      </c>
      <c r="D5930" s="12" t="inlineStr">
        <is>
          <t>Instrumentation</t>
        </is>
      </c>
      <c r="E5930" s="12" t="inlineStr"/>
      <c r="F5930" s="12" t="inlineStr">
        <is>
          <t>H2 20: 13.8 kV e-house</t>
        </is>
      </c>
      <c r="G5930" s="12" t="inlineStr"/>
      <c r="H5930" s="12" t="inlineStr">
        <is>
          <t>PEM electrolyzer 2 (HyLYZER-1000)</t>
        </is>
      </c>
      <c r="I5930" s="12" t="inlineStr">
        <is>
          <t>Instrumentation</t>
        </is>
      </c>
      <c r="J5930" s="12" t="inlineStr">
        <is>
          <t>Instrumentation ITC / PLTC, IS, #18 shielded pairs, blue jacket</t>
        </is>
      </c>
      <c r="K5930" s="12" t="inlineStr">
        <is>
          <t>ITC|4 pr|18</t>
        </is>
      </c>
      <c r="L5930" s="12" t="inlineStr">
        <is>
          <t>4 pr</t>
        </is>
      </c>
      <c r="M5930" s="12" t="inlineStr">
        <is>
          <t>18</t>
        </is>
      </c>
      <c r="N5930" s="12" t="n">
        <v>1</v>
      </c>
      <c r="O5930" s="12" t="n">
        <v>1</v>
      </c>
      <c r="P5930" s="12" t="n"/>
      <c r="Q5930" s="12" t="n"/>
      <c r="R5930" s="12" t="n"/>
      <c r="S5930" s="12" t="inlineStr">
        <is>
          <t>Duct bank</t>
        </is>
      </c>
      <c r="T5930" s="16" t="n">
        <v>358</v>
      </c>
      <c r="U5930" s="16" t="n">
        <v>48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K-I-0192</t>
        </is>
      </c>
      <c r="B5931" s="12" t="inlineStr">
        <is>
          <t>K</t>
        </is>
      </c>
      <c r="C5931" s="12" t="inlineStr">
        <is>
          <t>Fuel supply (adjacent market)</t>
        </is>
      </c>
      <c r="D5931" s="12" t="inlineStr">
        <is>
          <t>Instrumentation</t>
        </is>
      </c>
      <c r="E5931" s="12" t="inlineStr"/>
      <c r="F5931" s="12" t="inlineStr">
        <is>
          <t>H2 20: 13.8 kV e-house</t>
        </is>
      </c>
      <c r="G5931" s="12" t="inlineStr"/>
      <c r="H5931" s="12" t="inlineStr">
        <is>
          <t>PEM electrolyzer 3 (HyLYZER-1000)</t>
        </is>
      </c>
      <c r="I5931" s="12" t="inlineStr">
        <is>
          <t>Instrumentation</t>
        </is>
      </c>
      <c r="J5931" s="12" t="inlineStr">
        <is>
          <t>Instrumentation ITC / PLTC, IS, #18 shielded pairs, blue jacket</t>
        </is>
      </c>
      <c r="K5931" s="12" t="inlineStr">
        <is>
          <t>ITC|4 pr|18</t>
        </is>
      </c>
      <c r="L5931" s="12" t="inlineStr">
        <is>
          <t>4 pr</t>
        </is>
      </c>
      <c r="M5931" s="12" t="inlineStr">
        <is>
          <t>18</t>
        </is>
      </c>
      <c r="N5931" s="12" t="n">
        <v>1</v>
      </c>
      <c r="O5931" s="12" t="n">
        <v>1</v>
      </c>
      <c r="P5931" s="12" t="n"/>
      <c r="Q5931" s="12" t="n"/>
      <c r="R5931" s="12" t="n"/>
      <c r="S5931" s="12" t="inlineStr">
        <is>
          <t>Duct bank</t>
        </is>
      </c>
      <c r="T5931" s="16" t="n">
        <v>348</v>
      </c>
      <c r="U5931" s="16" t="n">
        <v>49</v>
      </c>
      <c r="V5931" s="16">
        <f>ROUNDUP((T5931+U5931+2*'Read Me'!$B$13)*(1+'Read Me'!$B$12),-1)</f>
        <v/>
      </c>
      <c r="W5931" s="16">
        <f>V5931*N5931*O5931</f>
        <v/>
      </c>
      <c r="X5931" s="12">
        <f>IF(LEFT(I5931,2)="MV",2*N5931*IF(L5931="1/C",O5931,1),0)</f>
        <v/>
      </c>
      <c r="Y5931" s="12">
        <f>IF(OR(LEFT(K5931,4)="LVAX",LEFT(K5931,6)="MV15AX",LEFT(K5931,4)="CTAX",LEFT(K5931,2)="W|"),2*N5931*O5931,0)</f>
        <v/>
      </c>
      <c r="Z5931" s="12" t="inlineStr"/>
      <c r="AA5931" s="12">
        <f>N5931*O5931</f>
        <v/>
      </c>
    </row>
    <row r="5932">
      <c r="A5932" s="12" t="inlineStr">
        <is>
          <t>K-I-0193</t>
        </is>
      </c>
      <c r="B5932" s="12" t="inlineStr">
        <is>
          <t>K</t>
        </is>
      </c>
      <c r="C5932" s="12" t="inlineStr">
        <is>
          <t>Fuel supply (adjacent market)</t>
        </is>
      </c>
      <c r="D5932" s="12" t="inlineStr">
        <is>
          <t>Instrumentation</t>
        </is>
      </c>
      <c r="E5932" s="12" t="inlineStr"/>
      <c r="F5932" s="12" t="inlineStr">
        <is>
          <t>H2 20: 13.8 kV e-house</t>
        </is>
      </c>
      <c r="G5932" s="12" t="inlineStr"/>
      <c r="H5932" s="12" t="inlineStr">
        <is>
          <t>PEM electrolyzer 4 (HyLYZER-1000)</t>
        </is>
      </c>
      <c r="I5932" s="12" t="inlineStr">
        <is>
          <t>Instrumentation</t>
        </is>
      </c>
      <c r="J5932" s="12" t="inlineStr">
        <is>
          <t>Instrumentation ITC / PLTC, IS, #18 shielded pairs, blue jacket</t>
        </is>
      </c>
      <c r="K5932" s="12" t="inlineStr">
        <is>
          <t>ITC|4 pr|18</t>
        </is>
      </c>
      <c r="L5932" s="12" t="inlineStr">
        <is>
          <t>4 pr</t>
        </is>
      </c>
      <c r="M5932" s="12" t="inlineStr">
        <is>
          <t>18</t>
        </is>
      </c>
      <c r="N5932" s="12" t="n">
        <v>1</v>
      </c>
      <c r="O5932" s="12" t="n">
        <v>1</v>
      </c>
      <c r="P5932" s="12" t="n"/>
      <c r="Q5932" s="12" t="n"/>
      <c r="R5932" s="12" t="n"/>
      <c r="S5932" s="12" t="inlineStr">
        <is>
          <t>Duct bank</t>
        </is>
      </c>
      <c r="T5932" s="16" t="n">
        <v>328</v>
      </c>
      <c r="U5932" s="16" t="n">
        <v>49</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K-I-0194</t>
        </is>
      </c>
      <c r="B5933" s="12" t="inlineStr">
        <is>
          <t>K</t>
        </is>
      </c>
      <c r="C5933" s="12" t="inlineStr">
        <is>
          <t>Fuel supply (adjacent market)</t>
        </is>
      </c>
      <c r="D5933" s="12" t="inlineStr">
        <is>
          <t>Instrumentation</t>
        </is>
      </c>
      <c r="E5933" s="12" t="inlineStr"/>
      <c r="F5933" s="12" t="inlineStr">
        <is>
          <t>H2 20: 13.8 kV e-house</t>
        </is>
      </c>
      <c r="G5933" s="12" t="inlineStr"/>
      <c r="H5933" s="12" t="inlineStr">
        <is>
          <t>PEM electrolyzer 5 (HyLYZER-1000)</t>
        </is>
      </c>
      <c r="I5933" s="12" t="inlineStr">
        <is>
          <t>Instrumentation</t>
        </is>
      </c>
      <c r="J5933" s="12" t="inlineStr">
        <is>
          <t>Instrumentation ITC / PLTC, IS, #18 shielded pairs, blue jacket</t>
        </is>
      </c>
      <c r="K5933" s="12" t="inlineStr">
        <is>
          <t>ITC|4 pr|18</t>
        </is>
      </c>
      <c r="L5933" s="12" t="inlineStr">
        <is>
          <t>4 pr</t>
        </is>
      </c>
      <c r="M5933" s="12" t="inlineStr">
        <is>
          <t>18</t>
        </is>
      </c>
      <c r="N5933" s="12" t="n">
        <v>1</v>
      </c>
      <c r="O5933" s="12" t="n">
        <v>1</v>
      </c>
      <c r="P5933" s="12" t="n"/>
      <c r="Q5933" s="12" t="n"/>
      <c r="R5933" s="12" t="n"/>
      <c r="S5933" s="12" t="inlineStr">
        <is>
          <t>Duct bank</t>
        </is>
      </c>
      <c r="T5933" s="16" t="n">
        <v>328</v>
      </c>
      <c r="U5933" s="16" t="n">
        <v>32</v>
      </c>
      <c r="V5933" s="16">
        <f>ROUNDUP((T5933+U5933+2*'Read Me'!$B$13)*(1+'Read Me'!$B$12),-1)</f>
        <v/>
      </c>
      <c r="W5933" s="16">
        <f>V5933*N5933*O5933</f>
        <v/>
      </c>
      <c r="X5933" s="12">
        <f>IF(LEFT(I5933,2)="MV",2*N5933*IF(L5933="1/C",O5933,1),0)</f>
        <v/>
      </c>
      <c r="Y5933" s="12">
        <f>IF(OR(LEFT(K5933,4)="LVAX",LEFT(K5933,6)="MV15AX",LEFT(K5933,4)="CTAX",LEFT(K5933,2)="W|"),2*N5933*O5933,0)</f>
        <v/>
      </c>
      <c r="Z5933" s="12" t="inlineStr"/>
      <c r="AA5933" s="12">
        <f>N5933*O5933</f>
        <v/>
      </c>
    </row>
    <row r="5934">
      <c r="A5934" s="12" t="inlineStr">
        <is>
          <t>K-P-0001</t>
        </is>
      </c>
      <c r="B5934" s="12" t="inlineStr">
        <is>
          <t>K</t>
        </is>
      </c>
      <c r="C5934" s="12" t="inlineStr">
        <is>
          <t>Fuel supply (adjacent market)</t>
        </is>
      </c>
      <c r="D5934" s="12" t="inlineStr">
        <is>
          <t>Motor 1 of 1, 15 kW</t>
        </is>
      </c>
      <c r="E5934" s="12" t="inlineStr"/>
      <c r="F5934" s="12" t="inlineStr">
        <is>
          <t>H2 20: 13.8 kV e-house</t>
        </is>
      </c>
      <c r="G5934" s="12" t="inlineStr">
        <is>
          <t>T-H2</t>
        </is>
      </c>
      <c r="H5934" s="12" t="inlineStr">
        <is>
          <t>H2 19: T-H2 230/13.8 kV (about 40 MVA)</t>
        </is>
      </c>
      <c r="I5934" s="12" t="inlineStr">
        <is>
          <t>LV 600 V</t>
        </is>
      </c>
      <c r="J5934" s="12" t="inlineStr">
        <is>
          <t>ARMOR-X MC-HL 600 V 3/C Cu XHHW-2 + ground, CWA, black PVC (Class I Div 2)</t>
        </is>
      </c>
      <c r="K5934" s="12" t="inlineStr">
        <is>
          <t>LVAX|3/C+G|10</t>
        </is>
      </c>
      <c r="L5934" s="12" t="inlineStr">
        <is>
          <t>3/C+G</t>
        </is>
      </c>
      <c r="M5934" s="12" t="inlineStr">
        <is>
          <t>10</t>
        </is>
      </c>
      <c r="N5934" s="12" t="n">
        <v>1</v>
      </c>
      <c r="O5934" s="12" t="n">
        <v>1</v>
      </c>
      <c r="P5934" s="12" t="n">
        <v>480</v>
      </c>
      <c r="Q5934" s="12" t="n">
        <v>15</v>
      </c>
      <c r="R5934" s="12" t="n">
        <v>21.2</v>
      </c>
      <c r="S5934" s="12" t="inlineStr">
        <is>
          <t>Duct bank</t>
        </is>
      </c>
      <c r="T5934" s="16" t="n">
        <v>35</v>
      </c>
      <c r="U5934" s="16" t="n">
        <v>32</v>
      </c>
      <c r="V5934" s="16">
        <f>ROUNDUP((T5934+U5934+2*'Read Me'!$B$13)*(1+'Read Me'!$B$12),-1)</f>
        <v/>
      </c>
      <c r="W5934" s="16">
        <f>V5934*N5934*O5934</f>
        <v/>
      </c>
      <c r="X5934" s="12">
        <f>IF(LEFT(I5934,2)="MV",2*N5934*IF(L5934="1/C",O5934,1),0)</f>
        <v/>
      </c>
      <c r="Y5934" s="12">
        <f>IF(OR(LEFT(K5934,4)="LVAX",LEFT(K5934,6)="MV15AX",LEFT(K5934,4)="CTAX",LEFT(K5934,2)="W|"),2*N5934*O5934,0)</f>
        <v/>
      </c>
      <c r="Z5934" s="12" t="inlineStr">
        <is>
          <t>VD 0.7 %</t>
        </is>
      </c>
      <c r="AA5934" s="12">
        <f>N5934*O5934</f>
        <v/>
      </c>
    </row>
    <row r="5935">
      <c r="A5935" s="12" t="inlineStr">
        <is>
          <t>K-P-0002</t>
        </is>
      </c>
      <c r="B5935" s="12" t="inlineStr">
        <is>
          <t>K</t>
        </is>
      </c>
      <c r="C5935" s="12" t="inlineStr">
        <is>
          <t>Fuel supply (adjacent market)</t>
        </is>
      </c>
      <c r="D5935" s="12" t="inlineStr">
        <is>
          <t>Motor 1 of 1, 15 kW</t>
        </is>
      </c>
      <c r="E5935" s="12" t="inlineStr"/>
      <c r="F5935" s="12" t="inlineStr">
        <is>
          <t>H2 20: 13.8 kV e-house</t>
        </is>
      </c>
      <c r="G5935" s="12" t="inlineStr"/>
      <c r="H5935" s="12" t="inlineStr">
        <is>
          <t>H2 20: 13.8 kV e-house</t>
        </is>
      </c>
      <c r="I5935" s="12" t="inlineStr">
        <is>
          <t>LV 600 V</t>
        </is>
      </c>
      <c r="J5935" s="12" t="inlineStr">
        <is>
          <t>ARMOR-X MC-HL 600 V 3/C Cu XHHW-2 + ground, CWA, black PVC (Class I Div 2)</t>
        </is>
      </c>
      <c r="K5935" s="12" t="inlineStr">
        <is>
          <t>LVAX|3/C+G|10</t>
        </is>
      </c>
      <c r="L5935" s="12" t="inlineStr">
        <is>
          <t>3/C+G</t>
        </is>
      </c>
      <c r="M5935" s="12" t="inlineStr">
        <is>
          <t>10</t>
        </is>
      </c>
      <c r="N5935" s="12" t="n">
        <v>1</v>
      </c>
      <c r="O5935" s="12" t="n">
        <v>1</v>
      </c>
      <c r="P5935" s="12" t="n">
        <v>480</v>
      </c>
      <c r="Q5935" s="12" t="n">
        <v>15</v>
      </c>
      <c r="R5935" s="12" t="n">
        <v>21.2</v>
      </c>
      <c r="S5935" s="12" t="inlineStr">
        <is>
          <t>Tray</t>
        </is>
      </c>
      <c r="T5935" s="16" t="n">
        <v>0</v>
      </c>
      <c r="U5935" s="16" t="n">
        <v>32</v>
      </c>
      <c r="V5935" s="16">
        <f>ROUNDUP((T5935+U5935+2*'Read Me'!$B$13)*(1+'Read Me'!$B$12),-1)</f>
        <v/>
      </c>
      <c r="W5935" s="16">
        <f>V5935*N5935*O5935</f>
        <v/>
      </c>
      <c r="X5935" s="12">
        <f>IF(LEFT(I5935,2)="MV",2*N5935*IF(L5935="1/C",O5935,1),0)</f>
        <v/>
      </c>
      <c r="Y5935" s="12">
        <f>IF(OR(LEFT(K5935,4)="LVAX",LEFT(K5935,6)="MV15AX",LEFT(K5935,4)="CTAX",LEFT(K5935,2)="W|"),2*N5935*O5935,0)</f>
        <v/>
      </c>
      <c r="Z5935" s="12" t="inlineStr">
        <is>
          <t>VD 0.3 %</t>
        </is>
      </c>
      <c r="AA5935" s="12">
        <f>N5935*O5935</f>
        <v/>
      </c>
    </row>
    <row r="5936">
      <c r="A5936" s="12" t="inlineStr">
        <is>
          <t>K-P-0003</t>
        </is>
      </c>
      <c r="B5936" s="12" t="inlineStr">
        <is>
          <t>K</t>
        </is>
      </c>
      <c r="C5936" s="12" t="inlineStr">
        <is>
          <t>Fuel supply (adjacent market)</t>
        </is>
      </c>
      <c r="D5936" s="12" t="inlineStr">
        <is>
          <t>Motor 1 of 1, 15 kW</t>
        </is>
      </c>
      <c r="E5936" s="12" t="inlineStr"/>
      <c r="F5936" s="12" t="inlineStr">
        <is>
          <t>H2 20: 13.8 kV e-house</t>
        </is>
      </c>
      <c r="G5936" s="12" t="inlineStr"/>
      <c r="H5936" s="12" t="inlineStr">
        <is>
          <t>H2 21: rectifier transformer 1 (7 MVA)</t>
        </is>
      </c>
      <c r="I5936" s="12" t="inlineStr">
        <is>
          <t>LV 600 V</t>
        </is>
      </c>
      <c r="J5936" s="12" t="inlineStr">
        <is>
          <t>ARMOR-X MC-HL 600 V 3/C Cu XHHW-2 + ground, CWA, black PVC (Class I Div 2)</t>
        </is>
      </c>
      <c r="K5936" s="12" t="inlineStr">
        <is>
          <t>LVAX|3/C+G|8</t>
        </is>
      </c>
      <c r="L5936" s="12" t="inlineStr">
        <is>
          <t>3/C+G</t>
        </is>
      </c>
      <c r="M5936" s="12" t="inlineStr">
        <is>
          <t>8</t>
        </is>
      </c>
      <c r="N5936" s="12" t="n">
        <v>1</v>
      </c>
      <c r="O5936" s="12" t="n">
        <v>1</v>
      </c>
      <c r="P5936" s="12" t="n">
        <v>480</v>
      </c>
      <c r="Q5936" s="12" t="n">
        <v>15</v>
      </c>
      <c r="R5936" s="12" t="n">
        <v>21.2</v>
      </c>
      <c r="S5936" s="12" t="inlineStr">
        <is>
          <t>Duct bank</t>
        </is>
      </c>
      <c r="T5936" s="16" t="n">
        <v>356</v>
      </c>
      <c r="U5936" s="16" t="n">
        <v>48</v>
      </c>
      <c r="V5936" s="16">
        <f>ROUNDUP((T5936+U5936+2*'Read Me'!$B$13)*(1+'Read Me'!$B$12),-1)</f>
        <v/>
      </c>
      <c r="W5936" s="16">
        <f>V5936*N5936*O5936</f>
        <v/>
      </c>
      <c r="X5936" s="12">
        <f>IF(LEFT(I5936,2)="MV",2*N5936*IF(L5936="1/C",O5936,1),0)</f>
        <v/>
      </c>
      <c r="Y5936" s="12">
        <f>IF(OR(LEFT(K5936,4)="LVAX",LEFT(K5936,6)="MV15AX",LEFT(K5936,4)="CTAX",LEFT(K5936,2)="W|"),2*N5936*O5936,0)</f>
        <v/>
      </c>
      <c r="Z5936" s="12" t="inlineStr">
        <is>
          <t>VD 2.6 %</t>
        </is>
      </c>
      <c r="AA5936" s="12">
        <f>N5936*O5936</f>
        <v/>
      </c>
    </row>
    <row r="5937">
      <c r="A5937" s="12" t="inlineStr">
        <is>
          <t>K-P-0004</t>
        </is>
      </c>
      <c r="B5937" s="12" t="inlineStr">
        <is>
          <t>K</t>
        </is>
      </c>
      <c r="C5937" s="12" t="inlineStr">
        <is>
          <t>Fuel supply (adjacent market)</t>
        </is>
      </c>
      <c r="D5937" s="12" t="inlineStr">
        <is>
          <t>Motor 1 of 1, 15 kW</t>
        </is>
      </c>
      <c r="E5937" s="12" t="inlineStr"/>
      <c r="F5937" s="12" t="inlineStr">
        <is>
          <t>H2 20: 13.8 kV e-house</t>
        </is>
      </c>
      <c r="G5937" s="12" t="inlineStr"/>
      <c r="H5937" s="12" t="inlineStr">
        <is>
          <t>H2 21: rectifier transformer 2 (7 MVA)</t>
        </is>
      </c>
      <c r="I5937" s="12" t="inlineStr">
        <is>
          <t>LV 600 V</t>
        </is>
      </c>
      <c r="J5937" s="12" t="inlineStr">
        <is>
          <t>ARMOR-X MC-HL 600 V 3/C Cu XHHW-2 + ground, CWA, black PVC (Class I Div 2)</t>
        </is>
      </c>
      <c r="K5937" s="12" t="inlineStr">
        <is>
          <t>LVAX|3/C+G|8</t>
        </is>
      </c>
      <c r="L5937" s="12" t="inlineStr">
        <is>
          <t>3/C+G</t>
        </is>
      </c>
      <c r="M5937" s="12" t="inlineStr">
        <is>
          <t>8</t>
        </is>
      </c>
      <c r="N5937" s="12" t="n">
        <v>1</v>
      </c>
      <c r="O5937" s="12" t="n">
        <v>1</v>
      </c>
      <c r="P5937" s="12" t="n">
        <v>480</v>
      </c>
      <c r="Q5937" s="12" t="n">
        <v>15</v>
      </c>
      <c r="R5937" s="12" t="n">
        <v>21.2</v>
      </c>
      <c r="S5937" s="12" t="inlineStr">
        <is>
          <t>Duct bank</t>
        </is>
      </c>
      <c r="T5937" s="16" t="n">
        <v>356</v>
      </c>
      <c r="U5937" s="16" t="n">
        <v>32</v>
      </c>
      <c r="V5937" s="16">
        <f>ROUNDUP((T5937+U5937+2*'Read Me'!$B$13)*(1+'Read Me'!$B$12),-1)</f>
        <v/>
      </c>
      <c r="W5937" s="16">
        <f>V5937*N5937*O5937</f>
        <v/>
      </c>
      <c r="X5937" s="12">
        <f>IF(LEFT(I5937,2)="MV",2*N5937*IF(L5937="1/C",O5937,1),0)</f>
        <v/>
      </c>
      <c r="Y5937" s="12">
        <f>IF(OR(LEFT(K5937,4)="LVAX",LEFT(K5937,6)="MV15AX",LEFT(K5937,4)="CTAX",LEFT(K5937,2)="W|"),2*N5937*O5937,0)</f>
        <v/>
      </c>
      <c r="Z5937" s="12" t="inlineStr">
        <is>
          <t>VD 2.5 %</t>
        </is>
      </c>
      <c r="AA5937" s="12">
        <f>N5937*O5937</f>
        <v/>
      </c>
    </row>
    <row r="5938">
      <c r="A5938" s="12" t="inlineStr">
        <is>
          <t>K-P-0005</t>
        </is>
      </c>
      <c r="B5938" s="12" t="inlineStr">
        <is>
          <t>K</t>
        </is>
      </c>
      <c r="C5938" s="12" t="inlineStr">
        <is>
          <t>Fuel supply (adjacent market)</t>
        </is>
      </c>
      <c r="D5938" s="12" t="inlineStr">
        <is>
          <t>Motor 1 of 1, 15 kW</t>
        </is>
      </c>
      <c r="E5938" s="12" t="inlineStr"/>
      <c r="F5938" s="12" t="inlineStr">
        <is>
          <t>H2 20: 13.8 kV e-house</t>
        </is>
      </c>
      <c r="G5938" s="12" t="inlineStr"/>
      <c r="H5938" s="12" t="inlineStr">
        <is>
          <t>H2 21: rectifier transformer 3 (7 MVA)</t>
        </is>
      </c>
      <c r="I5938" s="12" t="inlineStr">
        <is>
          <t>LV 600 V</t>
        </is>
      </c>
      <c r="J5938" s="12" t="inlineStr">
        <is>
          <t>ARMOR-X MC-HL 600 V 3/C Cu XHHW-2 + ground, CWA, black PVC (Class I Div 2)</t>
        </is>
      </c>
      <c r="K5938" s="12" t="inlineStr">
        <is>
          <t>LVAX|3/C+G|8</t>
        </is>
      </c>
      <c r="L5938" s="12" t="inlineStr">
        <is>
          <t>3/C+G</t>
        </is>
      </c>
      <c r="M5938" s="12" t="inlineStr">
        <is>
          <t>8</t>
        </is>
      </c>
      <c r="N5938" s="12" t="n">
        <v>1</v>
      </c>
      <c r="O5938" s="12" t="n">
        <v>1</v>
      </c>
      <c r="P5938" s="12" t="n">
        <v>480</v>
      </c>
      <c r="Q5938" s="12" t="n">
        <v>15</v>
      </c>
      <c r="R5938" s="12" t="n">
        <v>21.2</v>
      </c>
      <c r="S5938" s="12" t="inlineStr">
        <is>
          <t>Duct bank</t>
        </is>
      </c>
      <c r="T5938" s="16" t="n">
        <v>334</v>
      </c>
      <c r="U5938" s="16" t="n">
        <v>32</v>
      </c>
      <c r="V5938" s="16">
        <f>ROUNDUP((T5938+U5938+2*'Read Me'!$B$13)*(1+'Read Me'!$B$12),-1)</f>
        <v/>
      </c>
      <c r="W5938" s="16">
        <f>V5938*N5938*O5938</f>
        <v/>
      </c>
      <c r="X5938" s="12">
        <f>IF(LEFT(I5938,2)="MV",2*N5938*IF(L5938="1/C",O5938,1),0)</f>
        <v/>
      </c>
      <c r="Y5938" s="12">
        <f>IF(OR(LEFT(K5938,4)="LVAX",LEFT(K5938,6)="MV15AX",LEFT(K5938,4)="CTAX",LEFT(K5938,2)="W|"),2*N5938*O5938,0)</f>
        <v/>
      </c>
      <c r="Z5938" s="12" t="inlineStr">
        <is>
          <t>VD 2.4 %</t>
        </is>
      </c>
      <c r="AA5938" s="12">
        <f>N5938*O5938</f>
        <v/>
      </c>
    </row>
    <row r="5939">
      <c r="A5939" s="12" t="inlineStr">
        <is>
          <t>K-P-0006</t>
        </is>
      </c>
      <c r="B5939" s="12" t="inlineStr">
        <is>
          <t>K</t>
        </is>
      </c>
      <c r="C5939" s="12" t="inlineStr">
        <is>
          <t>Fuel supply (adjacent market)</t>
        </is>
      </c>
      <c r="D5939" s="12" t="inlineStr">
        <is>
          <t>Motor 1 of 1, 15 kW</t>
        </is>
      </c>
      <c r="E5939" s="12" t="inlineStr"/>
      <c r="F5939" s="12" t="inlineStr">
        <is>
          <t>H2 20: 13.8 kV e-house</t>
        </is>
      </c>
      <c r="G5939" s="12" t="inlineStr"/>
      <c r="H5939" s="12" t="inlineStr">
        <is>
          <t>H2 21: rectifier transformer 4 (7 MVA)</t>
        </is>
      </c>
      <c r="I5939" s="12" t="inlineStr">
        <is>
          <t>LV 600 V</t>
        </is>
      </c>
      <c r="J5939" s="12" t="inlineStr">
        <is>
          <t>ARMOR-X MC-HL 600 V 3/C Cu XHHW-2 + ground, CWA, black PVC (Class I Div 2)</t>
        </is>
      </c>
      <c r="K5939" s="12" t="inlineStr">
        <is>
          <t>LVAX|3/C+G|8</t>
        </is>
      </c>
      <c r="L5939" s="12" t="inlineStr">
        <is>
          <t>3/C+G</t>
        </is>
      </c>
      <c r="M5939" s="12" t="inlineStr">
        <is>
          <t>8</t>
        </is>
      </c>
      <c r="N5939" s="12" t="n">
        <v>1</v>
      </c>
      <c r="O5939" s="12" t="n">
        <v>1</v>
      </c>
      <c r="P5939" s="12" t="n">
        <v>480</v>
      </c>
      <c r="Q5939" s="12" t="n">
        <v>15</v>
      </c>
      <c r="R5939" s="12" t="n">
        <v>21.2</v>
      </c>
      <c r="S5939" s="12" t="inlineStr">
        <is>
          <t>Duct bank</t>
        </is>
      </c>
      <c r="T5939" s="16" t="n">
        <v>312</v>
      </c>
      <c r="U5939" s="16" t="n">
        <v>32</v>
      </c>
      <c r="V5939" s="16">
        <f>ROUNDUP((T5939+U5939+2*'Read Me'!$B$13)*(1+'Read Me'!$B$12),-1)</f>
        <v/>
      </c>
      <c r="W5939" s="16">
        <f>V5939*N5939*O5939</f>
        <v/>
      </c>
      <c r="X5939" s="12">
        <f>IF(LEFT(I5939,2)="MV",2*N5939*IF(L5939="1/C",O5939,1),0)</f>
        <v/>
      </c>
      <c r="Y5939" s="12">
        <f>IF(OR(LEFT(K5939,4)="LVAX",LEFT(K5939,6)="MV15AX",LEFT(K5939,4)="CTAX",LEFT(K5939,2)="W|"),2*N5939*O5939,0)</f>
        <v/>
      </c>
      <c r="Z5939" s="12" t="inlineStr">
        <is>
          <t>VD 2.2 %</t>
        </is>
      </c>
      <c r="AA5939" s="12">
        <f>N5939*O5939</f>
        <v/>
      </c>
    </row>
    <row r="5940">
      <c r="A5940" s="12" t="inlineStr">
        <is>
          <t>K-P-0007</t>
        </is>
      </c>
      <c r="B5940" s="12" t="inlineStr">
        <is>
          <t>K</t>
        </is>
      </c>
      <c r="C5940" s="12" t="inlineStr">
        <is>
          <t>Fuel supply (adjacent market)</t>
        </is>
      </c>
      <c r="D5940" s="12" t="inlineStr">
        <is>
          <t>Motor 1 of 1, 15 kW</t>
        </is>
      </c>
      <c r="E5940" s="12" t="inlineStr"/>
      <c r="F5940" s="12" t="inlineStr">
        <is>
          <t>H2 20: 13.8 kV e-house</t>
        </is>
      </c>
      <c r="G5940" s="12" t="inlineStr"/>
      <c r="H5940" s="12" t="inlineStr">
        <is>
          <t>H2 21: rectifier transformer 5 (7 MVA)</t>
        </is>
      </c>
      <c r="I5940" s="12" t="inlineStr">
        <is>
          <t>LV 600 V</t>
        </is>
      </c>
      <c r="J5940" s="12" t="inlineStr">
        <is>
          <t>ARMOR-X MC-HL 600 V 3/C Cu XHHW-2 + ground, CWA, black PVC (Class I Div 2)</t>
        </is>
      </c>
      <c r="K5940" s="12" t="inlineStr">
        <is>
          <t>LVAX|3/C+G|10</t>
        </is>
      </c>
      <c r="L5940" s="12" t="inlineStr">
        <is>
          <t>3/C+G</t>
        </is>
      </c>
      <c r="M5940" s="12" t="inlineStr">
        <is>
          <t>10</t>
        </is>
      </c>
      <c r="N5940" s="12" t="n">
        <v>1</v>
      </c>
      <c r="O5940" s="12" t="n">
        <v>1</v>
      </c>
      <c r="P5940" s="12" t="n">
        <v>480</v>
      </c>
      <c r="Q5940" s="12" t="n">
        <v>15</v>
      </c>
      <c r="R5940" s="12" t="n">
        <v>21.2</v>
      </c>
      <c r="S5940" s="12" t="inlineStr">
        <is>
          <t>Duct bank</t>
        </is>
      </c>
      <c r="T5940" s="16" t="n">
        <v>254</v>
      </c>
      <c r="U5940" s="16" t="n">
        <v>32</v>
      </c>
      <c r="V5940" s="16">
        <f>ROUNDUP((T5940+U5940+2*'Read Me'!$B$13)*(1+'Read Me'!$B$12),-1)</f>
        <v/>
      </c>
      <c r="W5940" s="16">
        <f>V5940*N5940*O5940</f>
        <v/>
      </c>
      <c r="X5940" s="12">
        <f>IF(LEFT(I5940,2)="MV",2*N5940*IF(L5940="1/C",O5940,1),0)</f>
        <v/>
      </c>
      <c r="Y5940" s="12">
        <f>IF(OR(LEFT(K5940,4)="LVAX",LEFT(K5940,6)="MV15AX",LEFT(K5940,4)="CTAX",LEFT(K5940,2)="W|"),2*N5940*O5940,0)</f>
        <v/>
      </c>
      <c r="Z5940" s="12" t="inlineStr">
        <is>
          <t>VD 2.9 %</t>
        </is>
      </c>
      <c r="AA5940" s="12">
        <f>N5940*O5940</f>
        <v/>
      </c>
    </row>
    <row r="5941">
      <c r="A5941" s="12" t="inlineStr">
        <is>
          <t>K-P-0008</t>
        </is>
      </c>
      <c r="B5941" s="12" t="inlineStr">
        <is>
          <t>K</t>
        </is>
      </c>
      <c r="C5941" s="12" t="inlineStr">
        <is>
          <t>Fuel supply (adjacent market)</t>
        </is>
      </c>
      <c r="D5941" s="12" t="inlineStr">
        <is>
          <t>Motor 1 of 1, 15 kW</t>
        </is>
      </c>
      <c r="E5941" s="12" t="inlineStr"/>
      <c r="F5941" s="12" t="inlineStr">
        <is>
          <t>H2 20: 13.8 kV e-house</t>
        </is>
      </c>
      <c r="G5941" s="12" t="inlineStr">
        <is>
          <t>H2-EL</t>
        </is>
      </c>
      <c r="H5941" s="12" t="inlineStr">
        <is>
          <t>H2 22: electrolyzer building (5 x HyLYZER-1000 + 5 rectifiers)</t>
        </is>
      </c>
      <c r="I5941" s="12" t="inlineStr">
        <is>
          <t>LV 600 V</t>
        </is>
      </c>
      <c r="J5941" s="12" t="inlineStr">
        <is>
          <t>ARMOR-X MC-HL 600 V 3/C Cu XHHW-2 + ground, CWA, black PVC (Class I Div 2)</t>
        </is>
      </c>
      <c r="K5941" s="12" t="inlineStr">
        <is>
          <t>LVAX|3/C+G|8</t>
        </is>
      </c>
      <c r="L5941" s="12" t="inlineStr">
        <is>
          <t>3/C+G</t>
        </is>
      </c>
      <c r="M5941" s="12" t="inlineStr">
        <is>
          <t>8</t>
        </is>
      </c>
      <c r="N5941" s="12" t="n">
        <v>1</v>
      </c>
      <c r="O5941" s="12" t="n">
        <v>1</v>
      </c>
      <c r="P5941" s="12" t="n">
        <v>480</v>
      </c>
      <c r="Q5941" s="12" t="n">
        <v>15</v>
      </c>
      <c r="R5941" s="12" t="n">
        <v>21.2</v>
      </c>
      <c r="S5941" s="12" t="inlineStr">
        <is>
          <t>Duct bank</t>
        </is>
      </c>
      <c r="T5941" s="16" t="n">
        <v>346</v>
      </c>
      <c r="U5941" s="16" t="n">
        <v>32</v>
      </c>
      <c r="V5941" s="16">
        <f>ROUNDUP((T5941+U5941+2*'Read Me'!$B$13)*(1+'Read Me'!$B$12),-1)</f>
        <v/>
      </c>
      <c r="W5941" s="16">
        <f>V5941*N5941*O5941</f>
        <v/>
      </c>
      <c r="X5941" s="12">
        <f>IF(LEFT(I5941,2)="MV",2*N5941*IF(L5941="1/C",O5941,1),0)</f>
        <v/>
      </c>
      <c r="Y5941" s="12">
        <f>IF(OR(LEFT(K5941,4)="LVAX",LEFT(K5941,6)="MV15AX",LEFT(K5941,4)="CTAX",LEFT(K5941,2)="W|"),2*N5941*O5941,0)</f>
        <v/>
      </c>
      <c r="Z5941" s="12" t="inlineStr">
        <is>
          <t>VD 2.4 %</t>
        </is>
      </c>
      <c r="AA5941" s="12">
        <f>N5941*O5941</f>
        <v/>
      </c>
    </row>
    <row r="5942">
      <c r="A5942" s="12" t="inlineStr">
        <is>
          <t>K-P-0009</t>
        </is>
      </c>
      <c r="B5942" s="12" t="inlineStr">
        <is>
          <t>K</t>
        </is>
      </c>
      <c r="C5942" s="12" t="inlineStr">
        <is>
          <t>Fuel supply (adjacent market)</t>
        </is>
      </c>
      <c r="D5942" s="12" t="inlineStr">
        <is>
          <t>Motor 1 of 1, 15 kW</t>
        </is>
      </c>
      <c r="E5942" s="12" t="inlineStr"/>
      <c r="F5942" s="12" t="inlineStr">
        <is>
          <t>H2 20: 13.8 kV e-house</t>
        </is>
      </c>
      <c r="G5942" s="12" t="inlineStr"/>
      <c r="H5942" s="12" t="inlineStr">
        <is>
          <t>H2 23: dry coolers</t>
        </is>
      </c>
      <c r="I5942" s="12" t="inlineStr">
        <is>
          <t>LV 600 V</t>
        </is>
      </c>
      <c r="J5942" s="12" t="inlineStr">
        <is>
          <t>ARMOR-X MC-HL 600 V 3/C Cu XHHW-2 + ground, CWA, black PVC (Class I Div 2)</t>
        </is>
      </c>
      <c r="K5942" s="12" t="inlineStr">
        <is>
          <t>LVAX|3/C+G|10</t>
        </is>
      </c>
      <c r="L5942" s="12" t="inlineStr">
        <is>
          <t>3/C+G</t>
        </is>
      </c>
      <c r="M5942" s="12" t="inlineStr">
        <is>
          <t>10</t>
        </is>
      </c>
      <c r="N5942" s="12" t="n">
        <v>1</v>
      </c>
      <c r="O5942" s="12" t="n">
        <v>1</v>
      </c>
      <c r="P5942" s="12" t="n">
        <v>480</v>
      </c>
      <c r="Q5942" s="12" t="n">
        <v>15</v>
      </c>
      <c r="R5942" s="12" t="n">
        <v>21.2</v>
      </c>
      <c r="S5942" s="12" t="inlineStr">
        <is>
          <t>Duct bank</t>
        </is>
      </c>
      <c r="T5942" s="16" t="n">
        <v>100</v>
      </c>
      <c r="U5942" s="16" t="n">
        <v>32</v>
      </c>
      <c r="V5942" s="16">
        <f>ROUNDUP((T5942+U5942+2*'Read Me'!$B$13)*(1+'Read Me'!$B$12),-1)</f>
        <v/>
      </c>
      <c r="W5942" s="16">
        <f>V5942*N5942*O5942</f>
        <v/>
      </c>
      <c r="X5942" s="12">
        <f>IF(LEFT(I5942,2)="MV",2*N5942*IF(L5942="1/C",O5942,1),0)</f>
        <v/>
      </c>
      <c r="Y5942" s="12">
        <f>IF(OR(LEFT(K5942,4)="LVAX",LEFT(K5942,6)="MV15AX",LEFT(K5942,4)="CTAX",LEFT(K5942,2)="W|"),2*N5942*O5942,0)</f>
        <v/>
      </c>
      <c r="Z5942" s="12" t="inlineStr">
        <is>
          <t>VD 1.3 %</t>
        </is>
      </c>
      <c r="AA5942" s="12">
        <f>N5942*O5942</f>
        <v/>
      </c>
    </row>
    <row r="5943">
      <c r="A5943" s="12" t="inlineStr">
        <is>
          <t>K-P-0010</t>
        </is>
      </c>
      <c r="B5943" s="12" t="inlineStr">
        <is>
          <t>K</t>
        </is>
      </c>
      <c r="C5943" s="12" t="inlineStr">
        <is>
          <t>Fuel supply (adjacent market)</t>
        </is>
      </c>
      <c r="D5943" s="12" t="inlineStr">
        <is>
          <t>Motor 1 of 1, 15 kW</t>
        </is>
      </c>
      <c r="E5943" s="12" t="inlineStr"/>
      <c r="F5943" s="12" t="inlineStr">
        <is>
          <t>H2 20: 13.8 kV e-house</t>
        </is>
      </c>
      <c r="G5943" s="12" t="inlineStr"/>
      <c r="H5943" s="12" t="inlineStr">
        <is>
          <t>H2 24: water purification (RO / EDI)</t>
        </is>
      </c>
      <c r="I5943" s="12" t="inlineStr">
        <is>
          <t>LV 600 V</t>
        </is>
      </c>
      <c r="J5943" s="12" t="inlineStr">
        <is>
          <t>ARMOR-X MC-HL 600 V 3/C Cu XHHW-2 + ground, CWA, black PVC (Class I Div 2)</t>
        </is>
      </c>
      <c r="K5943" s="12" t="inlineStr">
        <is>
          <t>LVAX|3/C+G|10</t>
        </is>
      </c>
      <c r="L5943" s="12" t="inlineStr">
        <is>
          <t>3/C+G</t>
        </is>
      </c>
      <c r="M5943" s="12" t="inlineStr">
        <is>
          <t>10</t>
        </is>
      </c>
      <c r="N5943" s="12" t="n">
        <v>1</v>
      </c>
      <c r="O5943" s="12" t="n">
        <v>1</v>
      </c>
      <c r="P5943" s="12" t="n">
        <v>480</v>
      </c>
      <c r="Q5943" s="12" t="n">
        <v>15</v>
      </c>
      <c r="R5943" s="12" t="n">
        <v>21.2</v>
      </c>
      <c r="S5943" s="12" t="inlineStr">
        <is>
          <t>Duct bank</t>
        </is>
      </c>
      <c r="T5943" s="16" t="n">
        <v>146</v>
      </c>
      <c r="U5943" s="16" t="n">
        <v>32</v>
      </c>
      <c r="V5943" s="16">
        <f>ROUNDUP((T5943+U5943+2*'Read Me'!$B$13)*(1+'Read Me'!$B$12),-1)</f>
        <v/>
      </c>
      <c r="W5943" s="16">
        <f>V5943*N5943*O5943</f>
        <v/>
      </c>
      <c r="X5943" s="12">
        <f>IF(LEFT(I5943,2)="MV",2*N5943*IF(L5943="1/C",O5943,1),0)</f>
        <v/>
      </c>
      <c r="Y5943" s="12">
        <f>IF(OR(LEFT(K5943,4)="LVAX",LEFT(K5943,6)="MV15AX",LEFT(K5943,4)="CTAX",LEFT(K5943,2)="W|"),2*N5943*O5943,0)</f>
        <v/>
      </c>
      <c r="Z5943" s="12" t="inlineStr">
        <is>
          <t>VD 1.8 %</t>
        </is>
      </c>
      <c r="AA5943" s="12">
        <f>N5943*O5943</f>
        <v/>
      </c>
    </row>
    <row r="5944">
      <c r="A5944" s="12" t="inlineStr">
        <is>
          <t>K-P-0011</t>
        </is>
      </c>
      <c r="B5944" s="12" t="inlineStr">
        <is>
          <t>K</t>
        </is>
      </c>
      <c r="C5944" s="12" t="inlineStr">
        <is>
          <t>Fuel supply (adjacent market)</t>
        </is>
      </c>
      <c r="D5944" s="12" t="inlineStr">
        <is>
          <t>Motor 1 of 1, 15 kW</t>
        </is>
      </c>
      <c r="E5944" s="12" t="inlineStr"/>
      <c r="F5944" s="12" t="inlineStr">
        <is>
          <t>H2 20: 13.8 kV e-house</t>
        </is>
      </c>
      <c r="G5944" s="12" t="inlineStr"/>
      <c r="H5944" s="12" t="inlineStr">
        <is>
          <t>H2 25: H2 dryer / purification</t>
        </is>
      </c>
      <c r="I5944" s="12" t="inlineStr">
        <is>
          <t>LV 600 V</t>
        </is>
      </c>
      <c r="J5944" s="12" t="inlineStr">
        <is>
          <t>ARMOR-X MC-HL 600 V 3/C Cu XHHW-2 + ground, CWA, black PVC (Class I Div 2)</t>
        </is>
      </c>
      <c r="K5944" s="12" t="inlineStr">
        <is>
          <t>LVAX|3/C+G|10</t>
        </is>
      </c>
      <c r="L5944" s="12" t="inlineStr">
        <is>
          <t>3/C+G</t>
        </is>
      </c>
      <c r="M5944" s="12" t="inlineStr">
        <is>
          <t>10</t>
        </is>
      </c>
      <c r="N5944" s="12" t="n">
        <v>1</v>
      </c>
      <c r="O5944" s="12" t="n">
        <v>1</v>
      </c>
      <c r="P5944" s="12" t="n">
        <v>480</v>
      </c>
      <c r="Q5944" s="12" t="n">
        <v>15</v>
      </c>
      <c r="R5944" s="12" t="n">
        <v>21.2</v>
      </c>
      <c r="S5944" s="12" t="inlineStr">
        <is>
          <t>Duct bank</t>
        </is>
      </c>
      <c r="T5944" s="16" t="n">
        <v>0</v>
      </c>
      <c r="U5944" s="16" t="n">
        <v>49</v>
      </c>
      <c r="V5944" s="16">
        <f>ROUNDUP((T5944+U5944+2*'Read Me'!$B$13)*(1+'Read Me'!$B$12),-1)</f>
        <v/>
      </c>
      <c r="W5944" s="16">
        <f>V5944*N5944*O5944</f>
        <v/>
      </c>
      <c r="X5944" s="12">
        <f>IF(LEFT(I5944,2)="MV",2*N5944*IF(L5944="1/C",O5944,1),0)</f>
        <v/>
      </c>
      <c r="Y5944" s="12">
        <f>IF(OR(LEFT(K5944,4)="LVAX",LEFT(K5944,6)="MV15AX",LEFT(K5944,4)="CTAX",LEFT(K5944,2)="W|"),2*N5944*O5944,0)</f>
        <v/>
      </c>
      <c r="Z5944" s="12" t="inlineStr">
        <is>
          <t>VD 0.5 %</t>
        </is>
      </c>
      <c r="AA5944" s="12">
        <f>N5944*O5944</f>
        <v/>
      </c>
    </row>
    <row r="5945">
      <c r="A5945" s="12" t="inlineStr">
        <is>
          <t>K-P-0012</t>
        </is>
      </c>
      <c r="B5945" s="12" t="inlineStr">
        <is>
          <t>K</t>
        </is>
      </c>
      <c r="C5945" s="12" t="inlineStr">
        <is>
          <t>Fuel supply (adjacent market)</t>
        </is>
      </c>
      <c r="D5945" s="12" t="inlineStr">
        <is>
          <t>Motor 1 of 1, 15 kW</t>
        </is>
      </c>
      <c r="E5945" s="12" t="inlineStr"/>
      <c r="F5945" s="12" t="inlineStr">
        <is>
          <t>H2 20: 13.8 kV e-house</t>
        </is>
      </c>
      <c r="G5945" s="12" t="inlineStr"/>
      <c r="H5945" s="12" t="inlineStr">
        <is>
          <t>H2 26: H2 compressor 1 (40 ft ISO)</t>
        </is>
      </c>
      <c r="I5945" s="12" t="inlineStr">
        <is>
          <t>LV 600 V</t>
        </is>
      </c>
      <c r="J5945" s="12" t="inlineStr">
        <is>
          <t>ARMOR-X MC-HL 600 V 3/C Cu XHHW-2 + ground, CWA, black PVC (Class I Div 2)</t>
        </is>
      </c>
      <c r="K5945" s="12" t="inlineStr">
        <is>
          <t>LVAX|3/C+G|10</t>
        </is>
      </c>
      <c r="L5945" s="12" t="inlineStr">
        <is>
          <t>3/C+G</t>
        </is>
      </c>
      <c r="M5945" s="12" t="inlineStr">
        <is>
          <t>10</t>
        </is>
      </c>
      <c r="N5945" s="12" t="n">
        <v>1</v>
      </c>
      <c r="O5945" s="12" t="n">
        <v>1</v>
      </c>
      <c r="P5945" s="12" t="n">
        <v>480</v>
      </c>
      <c r="Q5945" s="12" t="n">
        <v>15</v>
      </c>
      <c r="R5945" s="12" t="n">
        <v>21.2</v>
      </c>
      <c r="S5945" s="12" t="inlineStr">
        <is>
          <t>Duct bank</t>
        </is>
      </c>
      <c r="T5945" s="16" t="n">
        <v>50</v>
      </c>
      <c r="U5945" s="16" t="n">
        <v>32</v>
      </c>
      <c r="V5945" s="16">
        <f>ROUNDUP((T5945+U5945+2*'Read Me'!$B$13)*(1+'Read Me'!$B$12),-1)</f>
        <v/>
      </c>
      <c r="W5945" s="16">
        <f>V5945*N5945*O5945</f>
        <v/>
      </c>
      <c r="X5945" s="12">
        <f>IF(LEFT(I5945,2)="MV",2*N5945*IF(L5945="1/C",O5945,1),0)</f>
        <v/>
      </c>
      <c r="Y5945" s="12">
        <f>IF(OR(LEFT(K5945,4)="LVAX",LEFT(K5945,6)="MV15AX",LEFT(K5945,4)="CTAX",LEFT(K5945,2)="W|"),2*N5945*O5945,0)</f>
        <v/>
      </c>
      <c r="Z5945" s="12" t="inlineStr">
        <is>
          <t>VD 0.8 %</t>
        </is>
      </c>
      <c r="AA5945" s="12">
        <f>N5945*O5945</f>
        <v/>
      </c>
    </row>
    <row r="5946">
      <c r="A5946" s="12" t="inlineStr">
        <is>
          <t>K-P-0013</t>
        </is>
      </c>
      <c r="B5946" s="12" t="inlineStr">
        <is>
          <t>K</t>
        </is>
      </c>
      <c r="C5946" s="12" t="inlineStr">
        <is>
          <t>Fuel supply (adjacent market)</t>
        </is>
      </c>
      <c r="D5946" s="12" t="inlineStr">
        <is>
          <t>Motor 1 of 1, 15 kW</t>
        </is>
      </c>
      <c r="E5946" s="12" t="inlineStr"/>
      <c r="F5946" s="12" t="inlineStr">
        <is>
          <t>H2 20: 13.8 kV e-house</t>
        </is>
      </c>
      <c r="G5946" s="12" t="inlineStr"/>
      <c r="H5946" s="12" t="inlineStr">
        <is>
          <t>H2 26: H2 compressor 2 (40 ft ISO)</t>
        </is>
      </c>
      <c r="I5946" s="12" t="inlineStr">
        <is>
          <t>LV 600 V</t>
        </is>
      </c>
      <c r="J5946" s="12" t="inlineStr">
        <is>
          <t>ARMOR-X MC-HL 600 V 3/C Cu XHHW-2 + ground, CWA, black PVC (Class I Div 2)</t>
        </is>
      </c>
      <c r="K5946" s="12" t="inlineStr">
        <is>
          <t>LVAX|3/C+G|10</t>
        </is>
      </c>
      <c r="L5946" s="12" t="inlineStr">
        <is>
          <t>3/C+G</t>
        </is>
      </c>
      <c r="M5946" s="12" t="inlineStr">
        <is>
          <t>10</t>
        </is>
      </c>
      <c r="N5946" s="12" t="n">
        <v>1</v>
      </c>
      <c r="O5946" s="12" t="n">
        <v>1</v>
      </c>
      <c r="P5946" s="12" t="n">
        <v>480</v>
      </c>
      <c r="Q5946" s="12" t="n">
        <v>15</v>
      </c>
      <c r="R5946" s="12" t="n">
        <v>21.2</v>
      </c>
      <c r="S5946" s="12" t="inlineStr">
        <is>
          <t>Duct bank</t>
        </is>
      </c>
      <c r="T5946" s="16" t="n">
        <v>50</v>
      </c>
      <c r="U5946" s="16" t="n">
        <v>47</v>
      </c>
      <c r="V5946" s="16">
        <f>ROUNDUP((T5946+U5946+2*'Read Me'!$B$13)*(1+'Read Me'!$B$12),-1)</f>
        <v/>
      </c>
      <c r="W5946" s="16">
        <f>V5946*N5946*O5946</f>
        <v/>
      </c>
      <c r="X5946" s="12">
        <f>IF(LEFT(I5946,2)="MV",2*N5946*IF(L5946="1/C",O5946,1),0)</f>
        <v/>
      </c>
      <c r="Y5946" s="12">
        <f>IF(OR(LEFT(K5946,4)="LVAX",LEFT(K5946,6)="MV15AX",LEFT(K5946,4)="CTAX",LEFT(K5946,2)="W|"),2*N5946*O5946,0)</f>
        <v/>
      </c>
      <c r="Z5946" s="12" t="inlineStr">
        <is>
          <t>VD 1.0 %</t>
        </is>
      </c>
      <c r="AA5946" s="12">
        <f>N5946*O5946</f>
        <v/>
      </c>
    </row>
    <row r="5947">
      <c r="A5947" s="12" t="inlineStr">
        <is>
          <t>K-P-0014</t>
        </is>
      </c>
      <c r="B5947" s="12" t="inlineStr">
        <is>
          <t>K</t>
        </is>
      </c>
      <c r="C5947" s="12" t="inlineStr">
        <is>
          <t>Fuel supply (adjacent market)</t>
        </is>
      </c>
      <c r="D5947" s="12" t="inlineStr">
        <is>
          <t>Motor 1 of 1, 15 kW</t>
        </is>
      </c>
      <c r="E5947" s="12" t="inlineStr"/>
      <c r="F5947" s="12" t="inlineStr">
        <is>
          <t>H2 20: 13.8 kV e-house</t>
        </is>
      </c>
      <c r="G5947" s="12" t="inlineStr"/>
      <c r="H5947" s="12" t="inlineStr">
        <is>
          <t>H2 27: storage tube bank (~40 ft tubes)</t>
        </is>
      </c>
      <c r="I5947" s="12" t="inlineStr">
        <is>
          <t>LV 600 V</t>
        </is>
      </c>
      <c r="J5947" s="12" t="inlineStr">
        <is>
          <t>ARMOR-X MC-HL 600 V 3/C Cu XHHW-2 + ground, CWA, black PVC (Class I Div 2)</t>
        </is>
      </c>
      <c r="K5947" s="12" t="inlineStr">
        <is>
          <t>LVAX|3/C+G|10</t>
        </is>
      </c>
      <c r="L5947" s="12" t="inlineStr">
        <is>
          <t>3/C+G</t>
        </is>
      </c>
      <c r="M5947" s="12" t="inlineStr">
        <is>
          <t>10</t>
        </is>
      </c>
      <c r="N5947" s="12" t="n">
        <v>1</v>
      </c>
      <c r="O5947" s="12" t="n">
        <v>1</v>
      </c>
      <c r="P5947" s="12" t="n">
        <v>480</v>
      </c>
      <c r="Q5947" s="12" t="n">
        <v>15</v>
      </c>
      <c r="R5947" s="12" t="n">
        <v>21.2</v>
      </c>
      <c r="S5947" s="12" t="inlineStr">
        <is>
          <t>Duct bank</t>
        </is>
      </c>
      <c r="T5947" s="16" t="n">
        <v>50</v>
      </c>
      <c r="U5947" s="16" t="n">
        <v>97</v>
      </c>
      <c r="V5947" s="16">
        <f>ROUNDUP((T5947+U5947+2*'Read Me'!$B$13)*(1+'Read Me'!$B$12),-1)</f>
        <v/>
      </c>
      <c r="W5947" s="16">
        <f>V5947*N5947*O5947</f>
        <v/>
      </c>
      <c r="X5947" s="12">
        <f>IF(LEFT(I5947,2)="MV",2*N5947*IF(L5947="1/C",O5947,1),0)</f>
        <v/>
      </c>
      <c r="Y5947" s="12">
        <f>IF(OR(LEFT(K5947,4)="LVAX",LEFT(K5947,6)="MV15AX",LEFT(K5947,4)="CTAX",LEFT(K5947,2)="W|"),2*N5947*O5947,0)</f>
        <v/>
      </c>
      <c r="Z5947" s="12" t="inlineStr">
        <is>
          <t>VD 1.5 %</t>
        </is>
      </c>
      <c r="AA5947" s="12">
        <f>N5947*O5947</f>
        <v/>
      </c>
    </row>
    <row r="5948">
      <c r="A5948" s="12" t="inlineStr">
        <is>
          <t>K-P-0015</t>
        </is>
      </c>
      <c r="B5948" s="12" t="inlineStr">
        <is>
          <t>K</t>
        </is>
      </c>
      <c r="C5948" s="12" t="inlineStr">
        <is>
          <t>Fuel supply (adjacent market)</t>
        </is>
      </c>
      <c r="D5948" s="12" t="inlineStr">
        <is>
          <t>Motor 1 of 1, 15 kW</t>
        </is>
      </c>
      <c r="E5948" s="12" t="inlineStr"/>
      <c r="F5948" s="12" t="inlineStr">
        <is>
          <t>H2 20: 13.8 kV e-house</t>
        </is>
      </c>
      <c r="G5948" s="12" t="inlineStr"/>
      <c r="H5948" s="12" t="inlineStr">
        <is>
          <t>H2 27: storage tube bank (~40 ft tubes)</t>
        </is>
      </c>
      <c r="I5948" s="12" t="inlineStr">
        <is>
          <t>LV 600 V</t>
        </is>
      </c>
      <c r="J5948" s="12" t="inlineStr">
        <is>
          <t>ARMOR-X MC-HL 600 V 3/C Cu XHHW-2 + ground, CWA, black PVC (Class I Div 2)</t>
        </is>
      </c>
      <c r="K5948" s="12" t="inlineStr">
        <is>
          <t>LVAX|3/C+G|10</t>
        </is>
      </c>
      <c r="L5948" s="12" t="inlineStr">
        <is>
          <t>3/C+G</t>
        </is>
      </c>
      <c r="M5948" s="12" t="inlineStr">
        <is>
          <t>10</t>
        </is>
      </c>
      <c r="N5948" s="12" t="n">
        <v>1</v>
      </c>
      <c r="O5948" s="12" t="n">
        <v>1</v>
      </c>
      <c r="P5948" s="12" t="n">
        <v>480</v>
      </c>
      <c r="Q5948" s="12" t="n">
        <v>15</v>
      </c>
      <c r="R5948" s="12" t="n">
        <v>21.2</v>
      </c>
      <c r="S5948" s="12" t="inlineStr">
        <is>
          <t>Duct bank</t>
        </is>
      </c>
      <c r="T5948" s="16" t="n">
        <v>50</v>
      </c>
      <c r="U5948" s="16" t="n">
        <v>117</v>
      </c>
      <c r="V5948" s="16">
        <f>ROUNDUP((T5948+U5948+2*'Read Me'!$B$13)*(1+'Read Me'!$B$12),-1)</f>
        <v/>
      </c>
      <c r="W5948" s="16">
        <f>V5948*N5948*O5948</f>
        <v/>
      </c>
      <c r="X5948" s="12">
        <f>IF(LEFT(I5948,2)="MV",2*N5948*IF(L5948="1/C",O5948,1),0)</f>
        <v/>
      </c>
      <c r="Y5948" s="12">
        <f>IF(OR(LEFT(K5948,4)="LVAX",LEFT(K5948,6)="MV15AX",LEFT(K5948,4)="CTAX",LEFT(K5948,2)="W|"),2*N5948*O5948,0)</f>
        <v/>
      </c>
      <c r="Z5948" s="12" t="inlineStr">
        <is>
          <t>VD 1.7 %</t>
        </is>
      </c>
      <c r="AA5948" s="12">
        <f>N5948*O5948</f>
        <v/>
      </c>
    </row>
    <row r="5949">
      <c r="A5949" s="12" t="inlineStr">
        <is>
          <t>K-P-0016</t>
        </is>
      </c>
      <c r="B5949" s="12" t="inlineStr">
        <is>
          <t>K</t>
        </is>
      </c>
      <c r="C5949" s="12" t="inlineStr">
        <is>
          <t>Fuel supply (adjacent market)</t>
        </is>
      </c>
      <c r="D5949" s="12" t="inlineStr">
        <is>
          <t>Motor 1 of 1, 15 kW</t>
        </is>
      </c>
      <c r="E5949" s="12" t="inlineStr"/>
      <c r="F5949" s="12" t="inlineStr">
        <is>
          <t>H2 20: 13.8 kV e-house</t>
        </is>
      </c>
      <c r="G5949" s="12" t="inlineStr"/>
      <c r="H5949" s="12" t="inlineStr">
        <is>
          <t>H2 27: storage tube bank (~40 ft tubes)</t>
        </is>
      </c>
      <c r="I5949" s="12" t="inlineStr">
        <is>
          <t>LV 600 V</t>
        </is>
      </c>
      <c r="J5949" s="12" t="inlineStr">
        <is>
          <t>ARMOR-X MC-HL 600 V 3/C Cu XHHW-2 + ground, CWA, black PVC (Class I Div 2)</t>
        </is>
      </c>
      <c r="K5949" s="12" t="inlineStr">
        <is>
          <t>LVAX|3/C+G|10</t>
        </is>
      </c>
      <c r="L5949" s="12" t="inlineStr">
        <is>
          <t>3/C+G</t>
        </is>
      </c>
      <c r="M5949" s="12" t="inlineStr">
        <is>
          <t>10</t>
        </is>
      </c>
      <c r="N5949" s="12" t="n">
        <v>1</v>
      </c>
      <c r="O5949" s="12" t="n">
        <v>1</v>
      </c>
      <c r="P5949" s="12" t="n">
        <v>480</v>
      </c>
      <c r="Q5949" s="12" t="n">
        <v>15</v>
      </c>
      <c r="R5949" s="12" t="n">
        <v>21.2</v>
      </c>
      <c r="S5949" s="12" t="inlineStr">
        <is>
          <t>Duct bank</t>
        </is>
      </c>
      <c r="T5949" s="16" t="n">
        <v>50</v>
      </c>
      <c r="U5949" s="16" t="n">
        <v>97</v>
      </c>
      <c r="V5949" s="16">
        <f>ROUNDUP((T5949+U5949+2*'Read Me'!$B$13)*(1+'Read Me'!$B$12),-1)</f>
        <v/>
      </c>
      <c r="W5949" s="16">
        <f>V5949*N5949*O5949</f>
        <v/>
      </c>
      <c r="X5949" s="12">
        <f>IF(LEFT(I5949,2)="MV",2*N5949*IF(L5949="1/C",O5949,1),0)</f>
        <v/>
      </c>
      <c r="Y5949" s="12">
        <f>IF(OR(LEFT(K5949,4)="LVAX",LEFT(K5949,6)="MV15AX",LEFT(K5949,4)="CTAX",LEFT(K5949,2)="W|"),2*N5949*O5949,0)</f>
        <v/>
      </c>
      <c r="Z5949" s="12" t="inlineStr">
        <is>
          <t>VD 1.5 %</t>
        </is>
      </c>
      <c r="AA5949" s="12">
        <f>N5949*O5949</f>
        <v/>
      </c>
    </row>
    <row r="5950">
      <c r="A5950" s="12" t="inlineStr">
        <is>
          <t>K-P-0017</t>
        </is>
      </c>
      <c r="B5950" s="12" t="inlineStr">
        <is>
          <t>K</t>
        </is>
      </c>
      <c r="C5950" s="12" t="inlineStr">
        <is>
          <t>Fuel supply (adjacent market)</t>
        </is>
      </c>
      <c r="D5950" s="12" t="inlineStr">
        <is>
          <t>Motor 1 of 1, 15 kW</t>
        </is>
      </c>
      <c r="E5950" s="12" t="inlineStr"/>
      <c r="F5950" s="12" t="inlineStr">
        <is>
          <t>H2 20: 13.8 kV e-house</t>
        </is>
      </c>
      <c r="G5950" s="12" t="inlineStr"/>
      <c r="H5950" s="12" t="inlineStr">
        <is>
          <t>H2 27: storage tube bank (~40 ft tubes)</t>
        </is>
      </c>
      <c r="I5950" s="12" t="inlineStr">
        <is>
          <t>LV 600 V</t>
        </is>
      </c>
      <c r="J5950" s="12" t="inlineStr">
        <is>
          <t>ARMOR-X MC-HL 600 V 3/C Cu XHHW-2 + ground, CWA, black PVC (Class I Div 2)</t>
        </is>
      </c>
      <c r="K5950" s="12" t="inlineStr">
        <is>
          <t>LVAX|3/C+G|10</t>
        </is>
      </c>
      <c r="L5950" s="12" t="inlineStr">
        <is>
          <t>3/C+G</t>
        </is>
      </c>
      <c r="M5950" s="12" t="inlineStr">
        <is>
          <t>10</t>
        </is>
      </c>
      <c r="N5950" s="12" t="n">
        <v>1</v>
      </c>
      <c r="O5950" s="12" t="n">
        <v>1</v>
      </c>
      <c r="P5950" s="12" t="n">
        <v>480</v>
      </c>
      <c r="Q5950" s="12" t="n">
        <v>15</v>
      </c>
      <c r="R5950" s="12" t="n">
        <v>21.2</v>
      </c>
      <c r="S5950" s="12" t="inlineStr">
        <is>
          <t>Duct bank</t>
        </is>
      </c>
      <c r="T5950" s="16" t="n">
        <v>50</v>
      </c>
      <c r="U5950" s="16" t="n">
        <v>117</v>
      </c>
      <c r="V5950" s="16">
        <f>ROUNDUP((T5950+U5950+2*'Read Me'!$B$13)*(1+'Read Me'!$B$12),-1)</f>
        <v/>
      </c>
      <c r="W5950" s="16">
        <f>V5950*N5950*O5950</f>
        <v/>
      </c>
      <c r="X5950" s="12">
        <f>IF(LEFT(I5950,2)="MV",2*N5950*IF(L5950="1/C",O5950,1),0)</f>
        <v/>
      </c>
      <c r="Y5950" s="12">
        <f>IF(OR(LEFT(K5950,4)="LVAX",LEFT(K5950,6)="MV15AX",LEFT(K5950,4)="CTAX",LEFT(K5950,2)="W|"),2*N5950*O5950,0)</f>
        <v/>
      </c>
      <c r="Z5950" s="12" t="inlineStr">
        <is>
          <t>VD 1.7 %</t>
        </is>
      </c>
      <c r="AA5950" s="12">
        <f>N5950*O5950</f>
        <v/>
      </c>
    </row>
    <row r="5951">
      <c r="A5951" s="12" t="inlineStr">
        <is>
          <t>K-P-0018</t>
        </is>
      </c>
      <c r="B5951" s="12" t="inlineStr">
        <is>
          <t>K</t>
        </is>
      </c>
      <c r="C5951" s="12" t="inlineStr">
        <is>
          <t>Fuel supply (adjacent market)</t>
        </is>
      </c>
      <c r="D5951" s="12" t="inlineStr">
        <is>
          <t>Motor 1 of 1, 15 kW</t>
        </is>
      </c>
      <c r="E5951" s="12" t="inlineStr"/>
      <c r="F5951" s="12" t="inlineStr">
        <is>
          <t>H2 20: 13.8 kV e-house</t>
        </is>
      </c>
      <c r="G5951" s="12" t="inlineStr"/>
      <c r="H5951" s="12" t="inlineStr">
        <is>
          <t>H2 28: N2 purge supply</t>
        </is>
      </c>
      <c r="I5951" s="12" t="inlineStr">
        <is>
          <t>LV 600 V</t>
        </is>
      </c>
      <c r="J5951" s="12" t="inlineStr">
        <is>
          <t>ARMOR-X MC-HL 600 V 3/C Cu XHHW-2 + ground, CWA, black PVC (Class I Div 2)</t>
        </is>
      </c>
      <c r="K5951" s="12" t="inlineStr">
        <is>
          <t>LVAX|3/C+G|10</t>
        </is>
      </c>
      <c r="L5951" s="12" t="inlineStr">
        <is>
          <t>3/C+G</t>
        </is>
      </c>
      <c r="M5951" s="12" t="inlineStr">
        <is>
          <t>10</t>
        </is>
      </c>
      <c r="N5951" s="12" t="n">
        <v>1</v>
      </c>
      <c r="O5951" s="12" t="n">
        <v>1</v>
      </c>
      <c r="P5951" s="12" t="n">
        <v>480</v>
      </c>
      <c r="Q5951" s="12" t="n">
        <v>15</v>
      </c>
      <c r="R5951" s="12" t="n">
        <v>21.2</v>
      </c>
      <c r="S5951" s="12" t="inlineStr">
        <is>
          <t>Duct bank</t>
        </is>
      </c>
      <c r="T5951" s="16" t="n">
        <v>53</v>
      </c>
      <c r="U5951" s="16" t="n">
        <v>36</v>
      </c>
      <c r="V5951" s="16">
        <f>ROUNDUP((T5951+U5951+2*'Read Me'!$B$13)*(1+'Read Me'!$B$12),-1)</f>
        <v/>
      </c>
      <c r="W5951" s="16">
        <f>V5951*N5951*O5951</f>
        <v/>
      </c>
      <c r="X5951" s="12">
        <f>IF(LEFT(I5951,2)="MV",2*N5951*IF(L5951="1/C",O5951,1),0)</f>
        <v/>
      </c>
      <c r="Y5951" s="12">
        <f>IF(OR(LEFT(K5951,4)="LVAX",LEFT(K5951,6)="MV15AX",LEFT(K5951,4)="CTAX",LEFT(K5951,2)="W|"),2*N5951*O5951,0)</f>
        <v/>
      </c>
      <c r="Z5951" s="12" t="inlineStr">
        <is>
          <t>VD 0.9 %</t>
        </is>
      </c>
      <c r="AA5951" s="12">
        <f>N5951*O5951</f>
        <v/>
      </c>
    </row>
    <row r="5952">
      <c r="A5952" s="12" t="inlineStr">
        <is>
          <t>K-P-0019</t>
        </is>
      </c>
      <c r="B5952" s="12" t="inlineStr">
        <is>
          <t>K</t>
        </is>
      </c>
      <c r="C5952" s="12" t="inlineStr">
        <is>
          <t>Fuel supply (adjacent market)</t>
        </is>
      </c>
      <c r="D5952" s="12" t="inlineStr">
        <is>
          <t>Motor 1 of 1, 15 kW</t>
        </is>
      </c>
      <c r="E5952" s="12" t="inlineStr"/>
      <c r="F5952" s="12" t="inlineStr">
        <is>
          <t>H2 20: 13.8 kV e-house</t>
        </is>
      </c>
      <c r="G5952" s="12" t="inlineStr"/>
      <c r="H5952" s="12" t="inlineStr">
        <is>
          <t>H2 29: vent stack</t>
        </is>
      </c>
      <c r="I5952" s="12" t="inlineStr">
        <is>
          <t>LV 600 V</t>
        </is>
      </c>
      <c r="J5952" s="12" t="inlineStr">
        <is>
          <t>ARMOR-X MC-HL 600 V 3/C Cu XHHW-2 + ground, CWA, black PVC (Class I Div 2)</t>
        </is>
      </c>
      <c r="K5952" s="12" t="inlineStr">
        <is>
          <t>LVAX|3/C+G|10</t>
        </is>
      </c>
      <c r="L5952" s="12" t="inlineStr">
        <is>
          <t>3/C+G</t>
        </is>
      </c>
      <c r="M5952" s="12" t="inlineStr">
        <is>
          <t>10</t>
        </is>
      </c>
      <c r="N5952" s="12" t="n">
        <v>1</v>
      </c>
      <c r="O5952" s="12" t="n">
        <v>1</v>
      </c>
      <c r="P5952" s="12" t="n">
        <v>480</v>
      </c>
      <c r="Q5952" s="12" t="n">
        <v>15</v>
      </c>
      <c r="R5952" s="12" t="n">
        <v>21.2</v>
      </c>
      <c r="S5952" s="12" t="inlineStr">
        <is>
          <t>Duct bank</t>
        </is>
      </c>
      <c r="T5952" s="16" t="n">
        <v>55</v>
      </c>
      <c r="U5952" s="16" t="n">
        <v>205</v>
      </c>
      <c r="V5952" s="16">
        <f>ROUNDUP((T5952+U5952+2*'Read Me'!$B$13)*(1+'Read Me'!$B$12),-1)</f>
        <v/>
      </c>
      <c r="W5952" s="16">
        <f>V5952*N5952*O5952</f>
        <v/>
      </c>
      <c r="X5952" s="12">
        <f>IF(LEFT(I5952,2)="MV",2*N5952*IF(L5952="1/C",O5952,1),0)</f>
        <v/>
      </c>
      <c r="Y5952" s="12">
        <f>IF(OR(LEFT(K5952,4)="LVAX",LEFT(K5952,6)="MV15AX",LEFT(K5952,4)="CTAX",LEFT(K5952,2)="W|"),2*N5952*O5952,0)</f>
        <v/>
      </c>
      <c r="Z5952" s="12" t="inlineStr">
        <is>
          <t>VD 2.7 %</t>
        </is>
      </c>
      <c r="AA5952" s="12">
        <f>N5952*O5952</f>
        <v/>
      </c>
    </row>
    <row r="5953">
      <c r="A5953" s="12" t="inlineStr">
        <is>
          <t>K-P-0020</t>
        </is>
      </c>
      <c r="B5953" s="12" t="inlineStr">
        <is>
          <t>K</t>
        </is>
      </c>
      <c r="C5953" s="12" t="inlineStr">
        <is>
          <t>Fuel supply (adjacent market)</t>
        </is>
      </c>
      <c r="D5953" s="12" t="inlineStr">
        <is>
          <t>Motor 1 of 1, 15 kW</t>
        </is>
      </c>
      <c r="E5953" s="12" t="inlineStr"/>
      <c r="F5953" s="12" t="inlineStr">
        <is>
          <t>LNG 17: LNG e-house (13.8 kV / 480 V)</t>
        </is>
      </c>
      <c r="G5953" s="12" t="inlineStr"/>
      <c r="H5953" s="12" t="inlineStr">
        <is>
          <t>H2 30: H2 / gas blending station (plant gas yard)</t>
        </is>
      </c>
      <c r="I5953" s="12" t="inlineStr">
        <is>
          <t>LV 600 V</t>
        </is>
      </c>
      <c r="J5953" s="12" t="inlineStr">
        <is>
          <t>ARMOR-X MC-HL 600 V 3/C Cu XHHW-2 + ground, CWA, black PVC (Class I Div 2)</t>
        </is>
      </c>
      <c r="K5953" s="12" t="inlineStr">
        <is>
          <t>LVAX|3/C+G|4</t>
        </is>
      </c>
      <c r="L5953" s="12" t="inlineStr">
        <is>
          <t>3/C+G</t>
        </is>
      </c>
      <c r="M5953" s="12" t="inlineStr">
        <is>
          <t>4</t>
        </is>
      </c>
      <c r="N5953" s="12" t="n">
        <v>1</v>
      </c>
      <c r="O5953" s="12" t="n">
        <v>1</v>
      </c>
      <c r="P5953" s="12" t="n">
        <v>480</v>
      </c>
      <c r="Q5953" s="12" t="n">
        <v>15</v>
      </c>
      <c r="R5953" s="12" t="n">
        <v>21.2</v>
      </c>
      <c r="S5953" s="12" t="inlineStr">
        <is>
          <t>Duct bank</t>
        </is>
      </c>
      <c r="T5953" s="16" t="n">
        <v>994</v>
      </c>
      <c r="U5953" s="16" t="n">
        <v>114</v>
      </c>
      <c r="V5953" s="16">
        <f>ROUNDUP((T5953+U5953+2*'Read Me'!$B$13)*(1+'Read Me'!$B$12),-1)</f>
        <v/>
      </c>
      <c r="W5953" s="16">
        <f>V5953*N5953*O5953</f>
        <v/>
      </c>
      <c r="X5953" s="12">
        <f>IF(LEFT(I5953,2)="MV",2*N5953*IF(L5953="1/C",O5953,1),0)</f>
        <v/>
      </c>
      <c r="Y5953" s="12">
        <f>IF(OR(LEFT(K5953,4)="LVAX",LEFT(K5953,6)="MV15AX",LEFT(K5953,4)="CTAX",LEFT(K5953,2)="W|"),2*N5953*O5953,0)</f>
        <v/>
      </c>
      <c r="Z5953" s="12" t="inlineStr">
        <is>
          <t>VD 2.9 %</t>
        </is>
      </c>
      <c r="AA5953" s="12">
        <f>N5953*O5953</f>
        <v/>
      </c>
    </row>
    <row r="5954">
      <c r="A5954" s="12" t="inlineStr">
        <is>
          <t>K-P-0021</t>
        </is>
      </c>
      <c r="B5954" s="12" t="inlineStr">
        <is>
          <t>K</t>
        </is>
      </c>
      <c r="C5954" s="12" t="inlineStr">
        <is>
          <t>Fuel supply (adjacent market)</t>
        </is>
      </c>
      <c r="D5954" s="12" t="inlineStr">
        <is>
          <t>Motor 1 of 2, 250 kW</t>
        </is>
      </c>
      <c r="E5954" s="12" t="inlineStr"/>
      <c r="F5954" s="12" t="inlineStr">
        <is>
          <t>H2 20: 13.8 kV e-house</t>
        </is>
      </c>
      <c r="G5954" s="12" t="inlineStr"/>
      <c r="H5954" s="12" t="inlineStr">
        <is>
          <t>H2 pipe track and cable trench, hall -&gt; dryer / compressors (N2, instr</t>
        </is>
      </c>
      <c r="I5954" s="12" t="inlineStr">
        <is>
          <t>LV 600 V</t>
        </is>
      </c>
      <c r="J5954" s="12" t="inlineStr">
        <is>
          <t>ARMOR-X MC-HL 600 V 3/C Cu XHHW-2 + ground, CWA, black PVC (Class I Div 2)</t>
        </is>
      </c>
      <c r="K5954" s="12" t="inlineStr">
        <is>
          <t>LVAX|3/C+G|4/0</t>
        </is>
      </c>
      <c r="L5954" s="12" t="inlineStr">
        <is>
          <t>3/C+G</t>
        </is>
      </c>
      <c r="M5954" s="12" t="inlineStr">
        <is>
          <t>4/0</t>
        </is>
      </c>
      <c r="N5954" s="12" t="n">
        <v>2</v>
      </c>
      <c r="O5954" s="12" t="n">
        <v>1</v>
      </c>
      <c r="P5954" s="12" t="n">
        <v>480</v>
      </c>
      <c r="Q5954" s="12" t="n">
        <v>250</v>
      </c>
      <c r="R5954" s="12" t="n">
        <v>353.8</v>
      </c>
      <c r="S5954" s="12" t="inlineStr">
        <is>
          <t>Duct bank</t>
        </is>
      </c>
      <c r="T5954" s="16" t="n">
        <v>53</v>
      </c>
      <c r="U5954" s="16" t="n">
        <v>62</v>
      </c>
      <c r="V5954" s="16">
        <f>ROUNDUP((T5954+U5954+2*'Read Me'!$B$13)*(1+'Read Me'!$B$12),-1)</f>
        <v/>
      </c>
      <c r="W5954" s="16">
        <f>V5954*N5954*O5954</f>
        <v/>
      </c>
      <c r="X5954" s="12">
        <f>IF(LEFT(I5954,2)="MV",2*N5954*IF(L5954="1/C",O5954,1),0)</f>
        <v/>
      </c>
      <c r="Y5954" s="12">
        <f>IF(OR(LEFT(K5954,4)="LVAX",LEFT(K5954,6)="MV15AX",LEFT(K5954,4)="CTAX",LEFT(K5954,2)="W|"),2*N5954*O5954,0)</f>
        <v/>
      </c>
      <c r="Z5954" s="12" t="inlineStr">
        <is>
          <t>VD 0.5 %</t>
        </is>
      </c>
      <c r="AA5954" s="12">
        <f>N5954*O5954</f>
        <v/>
      </c>
    </row>
    <row r="5955">
      <c r="A5955" s="12" t="inlineStr">
        <is>
          <t>K-P-0022</t>
        </is>
      </c>
      <c r="B5955" s="12" t="inlineStr">
        <is>
          <t>K</t>
        </is>
      </c>
      <c r="C5955" s="12" t="inlineStr">
        <is>
          <t>Fuel supply (adjacent market)</t>
        </is>
      </c>
      <c r="D5955" s="12" t="inlineStr">
        <is>
          <t>Motor 2 of 2, 250 kW</t>
        </is>
      </c>
      <c r="E5955" s="12" t="inlineStr"/>
      <c r="F5955" s="12" t="inlineStr">
        <is>
          <t>H2 20: 13.8 kV e-house</t>
        </is>
      </c>
      <c r="G5955" s="12" t="inlineStr"/>
      <c r="H5955" s="12" t="inlineStr">
        <is>
          <t>H2 pipe track and cable trench, hall -&gt; dryer / compressors (N2, instr</t>
        </is>
      </c>
      <c r="I5955" s="12" t="inlineStr">
        <is>
          <t>LV 600 V</t>
        </is>
      </c>
      <c r="J5955" s="12" t="inlineStr">
        <is>
          <t>ARMOR-X MC-HL 600 V 3/C Cu XHHW-2 + ground, CWA, black PVC (Class I Div 2)</t>
        </is>
      </c>
      <c r="K5955" s="12" t="inlineStr">
        <is>
          <t>LVAX|3/C+G|4/0</t>
        </is>
      </c>
      <c r="L5955" s="12" t="inlineStr">
        <is>
          <t>3/C+G</t>
        </is>
      </c>
      <c r="M5955" s="12" t="inlineStr">
        <is>
          <t>4/0</t>
        </is>
      </c>
      <c r="N5955" s="12" t="n">
        <v>2</v>
      </c>
      <c r="O5955" s="12" t="n">
        <v>1</v>
      </c>
      <c r="P5955" s="12" t="n">
        <v>480</v>
      </c>
      <c r="Q5955" s="12" t="n">
        <v>250</v>
      </c>
      <c r="R5955" s="12" t="n">
        <v>353.8</v>
      </c>
      <c r="S5955" s="12" t="inlineStr">
        <is>
          <t>Duct bank</t>
        </is>
      </c>
      <c r="T5955" s="16" t="n">
        <v>53</v>
      </c>
      <c r="U5955" s="16" t="n">
        <v>62</v>
      </c>
      <c r="V5955" s="16">
        <f>ROUNDUP((T5955+U5955+2*'Read Me'!$B$13)*(1+'Read Me'!$B$12),-1)</f>
        <v/>
      </c>
      <c r="W5955" s="16">
        <f>V5955*N5955*O5955</f>
        <v/>
      </c>
      <c r="X5955" s="12">
        <f>IF(LEFT(I5955,2)="MV",2*N5955*IF(L5955="1/C",O5955,1),0)</f>
        <v/>
      </c>
      <c r="Y5955" s="12">
        <f>IF(OR(LEFT(K5955,4)="LVAX",LEFT(K5955,6)="MV15AX",LEFT(K5955,4)="CTAX",LEFT(K5955,2)="W|"),2*N5955*O5955,0)</f>
        <v/>
      </c>
      <c r="Z5955" s="12" t="inlineStr">
        <is>
          <t>VD 0.5 %</t>
        </is>
      </c>
      <c r="AA5955" s="12">
        <f>N5955*O5955</f>
        <v/>
      </c>
    </row>
    <row r="5956">
      <c r="A5956" s="12" t="inlineStr">
        <is>
          <t>K-P-0023</t>
        </is>
      </c>
      <c r="B5956" s="12" t="inlineStr">
        <is>
          <t>K</t>
        </is>
      </c>
      <c r="C5956" s="12" t="inlineStr">
        <is>
          <t>Fuel supply (adjacent market)</t>
        </is>
      </c>
      <c r="D5956" s="12" t="inlineStr">
        <is>
          <t>LV power feeder</t>
        </is>
      </c>
      <c r="E5956" s="12" t="inlineStr"/>
      <c r="F5956" s="12" t="inlineStr">
        <is>
          <t>H2 20: 13.8 kV e-house</t>
        </is>
      </c>
      <c r="G5956" s="12" t="inlineStr">
        <is>
          <t>H2-ST</t>
        </is>
      </c>
      <c r="H5956" s="12" t="inlineStr">
        <is>
          <t>H2 storage tube banks x4</t>
        </is>
      </c>
      <c r="I5956" s="12" t="inlineStr">
        <is>
          <t>LV 600 V</t>
        </is>
      </c>
      <c r="J5956" s="12" t="inlineStr">
        <is>
          <t>ARMOR-X MC-HL 600 V 3/C Cu XHHW-2 + ground, CWA, black PVC (Class I Div 2)</t>
        </is>
      </c>
      <c r="K5956" s="12" t="inlineStr">
        <is>
          <t>LVAX|3/C+G|10</t>
        </is>
      </c>
      <c r="L5956" s="12" t="inlineStr">
        <is>
          <t>3/C+G</t>
        </is>
      </c>
      <c r="M5956" s="12" t="inlineStr">
        <is>
          <t>10</t>
        </is>
      </c>
      <c r="N5956" s="12" t="n">
        <v>1</v>
      </c>
      <c r="O5956" s="12" t="n">
        <v>1</v>
      </c>
      <c r="P5956" s="12" t="n">
        <v>480</v>
      </c>
      <c r="Q5956" s="12" t="n">
        <v>15</v>
      </c>
      <c r="R5956" s="12" t="n">
        <v>21.2</v>
      </c>
      <c r="S5956" s="12" t="inlineStr">
        <is>
          <t>Duct bank</t>
        </is>
      </c>
      <c r="T5956" s="16" t="n">
        <v>50</v>
      </c>
      <c r="U5956" s="16" t="n">
        <v>92</v>
      </c>
      <c r="V5956" s="16">
        <f>ROUNDUP((T5956+U5956+2*'Read Me'!$B$13)*(1+'Read Me'!$B$12),-1)</f>
        <v/>
      </c>
      <c r="W5956" s="16">
        <f>V5956*N5956*O5956</f>
        <v/>
      </c>
      <c r="X5956" s="12">
        <f>IF(LEFT(I5956,2)="MV",2*N5956*IF(L5956="1/C",O5956,1),0)</f>
        <v/>
      </c>
      <c r="Y5956" s="12">
        <f>IF(OR(LEFT(K5956,4)="LVAX",LEFT(K5956,6)="MV15AX",LEFT(K5956,4)="CTAX",LEFT(K5956,2)="W|"),2*N5956*O5956,0)</f>
        <v/>
      </c>
      <c r="Z5956" s="12" t="inlineStr">
        <is>
          <t>VD 1.4 %</t>
        </is>
      </c>
      <c r="AA5956" s="12">
        <f>N5956*O5956</f>
        <v/>
      </c>
    </row>
    <row r="5957">
      <c r="A5957" s="12" t="inlineStr">
        <is>
          <t>K-P-0024</t>
        </is>
      </c>
      <c r="B5957" s="12" t="inlineStr">
        <is>
          <t>K</t>
        </is>
      </c>
      <c r="C5957" s="12" t="inlineStr">
        <is>
          <t>Fuel supply (adjacent market)</t>
        </is>
      </c>
      <c r="D5957" s="12" t="inlineStr">
        <is>
          <t>LV power feeder</t>
        </is>
      </c>
      <c r="E5957" s="12" t="inlineStr"/>
      <c r="F5957" s="12" t="inlineStr">
        <is>
          <t>H2 20: 13.8 kV e-house</t>
        </is>
      </c>
      <c r="G5957" s="12" t="inlineStr">
        <is>
          <t>H2R</t>
        </is>
      </c>
      <c r="H5957" s="12" t="inlineStr">
        <is>
          <t>H2R: hydrogen pipeline receiving station (pig receiver, filters, meter</t>
        </is>
      </c>
      <c r="I5957" s="12" t="inlineStr">
        <is>
          <t>LV 600 V</t>
        </is>
      </c>
      <c r="J5957" s="12" t="inlineStr">
        <is>
          <t>ARMOR-X MC-HL 600 V 3/C Cu XHHW-2 + ground, CWA, black PVC (Class I Div 2)</t>
        </is>
      </c>
      <c r="K5957" s="12" t="inlineStr">
        <is>
          <t>LVAX|3/C+G|10</t>
        </is>
      </c>
      <c r="L5957" s="12" t="inlineStr">
        <is>
          <t>3/C+G</t>
        </is>
      </c>
      <c r="M5957" s="12" t="inlineStr">
        <is>
          <t>10</t>
        </is>
      </c>
      <c r="N5957" s="12" t="n">
        <v>1</v>
      </c>
      <c r="O5957" s="12" t="n">
        <v>1</v>
      </c>
      <c r="P5957" s="12" t="n">
        <v>480</v>
      </c>
      <c r="Q5957" s="12" t="n">
        <v>15</v>
      </c>
      <c r="R5957" s="12" t="n">
        <v>21.2</v>
      </c>
      <c r="S5957" s="12" t="inlineStr">
        <is>
          <t>Duct bank</t>
        </is>
      </c>
      <c r="T5957" s="16" t="n">
        <v>40</v>
      </c>
      <c r="U5957" s="16" t="n">
        <v>32</v>
      </c>
      <c r="V5957" s="16">
        <f>ROUNDUP((T5957+U5957+2*'Read Me'!$B$13)*(1+'Read Me'!$B$12),-1)</f>
        <v/>
      </c>
      <c r="W5957" s="16">
        <f>V5957*N5957*O5957</f>
        <v/>
      </c>
      <c r="X5957" s="12">
        <f>IF(LEFT(I5957,2)="MV",2*N5957*IF(L5957="1/C",O5957,1),0)</f>
        <v/>
      </c>
      <c r="Y5957" s="12">
        <f>IF(OR(LEFT(K5957,4)="LVAX",LEFT(K5957,6)="MV15AX",LEFT(K5957,4)="CTAX",LEFT(K5957,2)="W|"),2*N5957*O5957,0)</f>
        <v/>
      </c>
      <c r="Z5957" s="12" t="inlineStr">
        <is>
          <t>VD 0.7 %</t>
        </is>
      </c>
      <c r="AA5957" s="12">
        <f>N5957*O5957</f>
        <v/>
      </c>
    </row>
    <row r="5958">
      <c r="A5958" s="12" t="inlineStr">
        <is>
          <t>K-P-0025</t>
        </is>
      </c>
      <c r="B5958" s="12" t="inlineStr">
        <is>
          <t>K</t>
        </is>
      </c>
      <c r="C5958" s="12" t="inlineStr">
        <is>
          <t>Fuel supply (adjacent market)</t>
        </is>
      </c>
      <c r="D5958" s="12" t="inlineStr">
        <is>
          <t>Motor 1 of 1, 15 kW</t>
        </is>
      </c>
      <c r="E5958" s="12" t="inlineStr"/>
      <c r="F5958" s="12" t="inlineStr">
        <is>
          <t>LNG 17: LNG e-house (13.8 kV / 480 V)</t>
        </is>
      </c>
      <c r="G5958" s="12" t="inlineStr"/>
      <c r="H5958" s="12" t="inlineStr">
        <is>
          <t>LNG 10: truck unloading bay 1</t>
        </is>
      </c>
      <c r="I5958" s="12" t="inlineStr">
        <is>
          <t>LV 600 V</t>
        </is>
      </c>
      <c r="J5958" s="12" t="inlineStr">
        <is>
          <t>ARMOR-X MC-HL 600 V 3/C Cu XHHW-2 + ground, CWA, black PVC (Class I Div 2)</t>
        </is>
      </c>
      <c r="K5958" s="12" t="inlineStr">
        <is>
          <t>LVAX|3/C+G|8</t>
        </is>
      </c>
      <c r="L5958" s="12" t="inlineStr">
        <is>
          <t>3/C+G</t>
        </is>
      </c>
      <c r="M5958" s="12" t="inlineStr">
        <is>
          <t>8</t>
        </is>
      </c>
      <c r="N5958" s="12" t="n">
        <v>1</v>
      </c>
      <c r="O5958" s="12" t="n">
        <v>1</v>
      </c>
      <c r="P5958" s="12" t="n">
        <v>480</v>
      </c>
      <c r="Q5958" s="12" t="n">
        <v>15</v>
      </c>
      <c r="R5958" s="12" t="n">
        <v>21.2</v>
      </c>
      <c r="S5958" s="12" t="inlineStr">
        <is>
          <t>Duct bank</t>
        </is>
      </c>
      <c r="T5958" s="16" t="n">
        <v>237</v>
      </c>
      <c r="U5958" s="16" t="n">
        <v>61</v>
      </c>
      <c r="V5958" s="16">
        <f>ROUNDUP((T5958+U5958+2*'Read Me'!$B$13)*(1+'Read Me'!$B$12),-1)</f>
        <v/>
      </c>
      <c r="W5958" s="16">
        <f>V5958*N5958*O5958</f>
        <v/>
      </c>
      <c r="X5958" s="12">
        <f>IF(LEFT(I5958,2)="MV",2*N5958*IF(L5958="1/C",O5958,1),0)</f>
        <v/>
      </c>
      <c r="Y5958" s="12">
        <f>IF(OR(LEFT(K5958,4)="LVAX",LEFT(K5958,6)="MV15AX",LEFT(K5958,4)="CTAX",LEFT(K5958,2)="W|"),2*N5958*O5958,0)</f>
        <v/>
      </c>
      <c r="Z5958" s="12" t="inlineStr">
        <is>
          <t>VD 1.9 %</t>
        </is>
      </c>
      <c r="AA5958" s="12">
        <f>N5958*O5958</f>
        <v/>
      </c>
    </row>
    <row r="5959">
      <c r="A5959" s="12" t="inlineStr">
        <is>
          <t>K-P-0026</t>
        </is>
      </c>
      <c r="B5959" s="12" t="inlineStr">
        <is>
          <t>K</t>
        </is>
      </c>
      <c r="C5959" s="12" t="inlineStr">
        <is>
          <t>Fuel supply (adjacent market)</t>
        </is>
      </c>
      <c r="D5959" s="12" t="inlineStr">
        <is>
          <t>Motor 1 of 1, 15 kW</t>
        </is>
      </c>
      <c r="E5959" s="12" t="inlineStr"/>
      <c r="F5959" s="12" t="inlineStr">
        <is>
          <t>LNG 17: LNG e-house (13.8 kV / 480 V)</t>
        </is>
      </c>
      <c r="G5959" s="12" t="inlineStr"/>
      <c r="H5959" s="12" t="inlineStr">
        <is>
          <t>LNG 10: truck unloading bay 2</t>
        </is>
      </c>
      <c r="I5959" s="12" t="inlineStr">
        <is>
          <t>LV 600 V</t>
        </is>
      </c>
      <c r="J5959" s="12" t="inlineStr">
        <is>
          <t>ARMOR-X MC-HL 600 V 3/C Cu XHHW-2 + ground, CWA, black PVC (Class I Div 2)</t>
        </is>
      </c>
      <c r="K5959" s="12" t="inlineStr">
        <is>
          <t>LVAX|3/C+G|10</t>
        </is>
      </c>
      <c r="L5959" s="12" t="inlineStr">
        <is>
          <t>3/C+G</t>
        </is>
      </c>
      <c r="M5959" s="12" t="inlineStr">
        <is>
          <t>10</t>
        </is>
      </c>
      <c r="N5959" s="12" t="n">
        <v>1</v>
      </c>
      <c r="O5959" s="12" t="n">
        <v>1</v>
      </c>
      <c r="P5959" s="12" t="n">
        <v>480</v>
      </c>
      <c r="Q5959" s="12" t="n">
        <v>15</v>
      </c>
      <c r="R5959" s="12" t="n">
        <v>21.2</v>
      </c>
      <c r="S5959" s="12" t="inlineStr">
        <is>
          <t>Duct bank</t>
        </is>
      </c>
      <c r="T5959" s="16" t="n">
        <v>147</v>
      </c>
      <c r="U5959" s="16" t="n">
        <v>66</v>
      </c>
      <c r="V5959" s="16">
        <f>ROUNDUP((T5959+U5959+2*'Read Me'!$B$13)*(1+'Read Me'!$B$12),-1)</f>
        <v/>
      </c>
      <c r="W5959" s="16">
        <f>V5959*N5959*O5959</f>
        <v/>
      </c>
      <c r="X5959" s="12">
        <f>IF(LEFT(I5959,2)="MV",2*N5959*IF(L5959="1/C",O5959,1),0)</f>
        <v/>
      </c>
      <c r="Y5959" s="12">
        <f>IF(OR(LEFT(K5959,4)="LVAX",LEFT(K5959,6)="MV15AX",LEFT(K5959,4)="CTAX",LEFT(K5959,2)="W|"),2*N5959*O5959,0)</f>
        <v/>
      </c>
      <c r="Z5959" s="12" t="inlineStr">
        <is>
          <t>VD 2.2 %</t>
        </is>
      </c>
      <c r="AA5959" s="12">
        <f>N5959*O5959</f>
        <v/>
      </c>
    </row>
    <row r="5960">
      <c r="A5960" s="12" t="inlineStr">
        <is>
          <t>K-P-0027</t>
        </is>
      </c>
      <c r="B5960" s="12" t="inlineStr">
        <is>
          <t>K</t>
        </is>
      </c>
      <c r="C5960" s="12" t="inlineStr">
        <is>
          <t>Fuel supply (adjacent market)</t>
        </is>
      </c>
      <c r="D5960" s="12" t="inlineStr">
        <is>
          <t>Motor 1 of 1, 15 kW</t>
        </is>
      </c>
      <c r="E5960" s="12" t="inlineStr"/>
      <c r="F5960" s="12" t="inlineStr">
        <is>
          <t>LNG 17: LNG e-house (13.8 kV / 480 V)</t>
        </is>
      </c>
      <c r="G5960" s="12" t="inlineStr"/>
      <c r="H5960" s="12" t="inlineStr">
        <is>
          <t>LNG 10: unloading skid</t>
        </is>
      </c>
      <c r="I5960" s="12" t="inlineStr">
        <is>
          <t>LV 600 V</t>
        </is>
      </c>
      <c r="J5960" s="12" t="inlineStr">
        <is>
          <t>ARMOR-X MC-HL 600 V 3/C Cu XHHW-2 + ground, CWA, black PVC (Class I Div 2)</t>
        </is>
      </c>
      <c r="K5960" s="12" t="inlineStr">
        <is>
          <t>LVAX|3/C+G|10</t>
        </is>
      </c>
      <c r="L5960" s="12" t="inlineStr">
        <is>
          <t>3/C+G</t>
        </is>
      </c>
      <c r="M5960" s="12" t="inlineStr">
        <is>
          <t>10</t>
        </is>
      </c>
      <c r="N5960" s="12" t="n">
        <v>1</v>
      </c>
      <c r="O5960" s="12" t="n">
        <v>1</v>
      </c>
      <c r="P5960" s="12" t="n">
        <v>480</v>
      </c>
      <c r="Q5960" s="12" t="n">
        <v>15</v>
      </c>
      <c r="R5960" s="12" t="n">
        <v>21.2</v>
      </c>
      <c r="S5960" s="12" t="inlineStr">
        <is>
          <t>Duct bank</t>
        </is>
      </c>
      <c r="T5960" s="16" t="n">
        <v>237</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is>
          <t>VD 2.7 %</t>
        </is>
      </c>
      <c r="AA5960" s="12">
        <f>N5960*O5960</f>
        <v/>
      </c>
    </row>
    <row r="5961">
      <c r="A5961" s="12" t="inlineStr">
        <is>
          <t>K-P-0028</t>
        </is>
      </c>
      <c r="B5961" s="12" t="inlineStr">
        <is>
          <t>K</t>
        </is>
      </c>
      <c r="C5961" s="12" t="inlineStr">
        <is>
          <t>Fuel supply (adjacent market)</t>
        </is>
      </c>
      <c r="D5961" s="12" t="inlineStr">
        <is>
          <t>LV power feeder</t>
        </is>
      </c>
      <c r="E5961" s="12" t="inlineStr"/>
      <c r="F5961" s="12" t="inlineStr">
        <is>
          <t>LNG 17: LNG e-house (13.8 kV / 480 V)</t>
        </is>
      </c>
      <c r="G5961" s="12" t="inlineStr">
        <is>
          <t>LNG-T1</t>
        </is>
      </c>
      <c r="H5961" s="12" t="inlineStr">
        <is>
          <t>LNG 11: tank 1, Chart HS 50000 (51,780 gal)</t>
        </is>
      </c>
      <c r="I5961" s="12" t="inlineStr">
        <is>
          <t>LV 600 V</t>
        </is>
      </c>
      <c r="J5961" s="12" t="inlineStr">
        <is>
          <t>ARMOR-X MC-HL 600 V 3/C Cu XHHW-2 + ground, CWA, black PVC (Class I Div 2)</t>
        </is>
      </c>
      <c r="K5961" s="12" t="inlineStr">
        <is>
          <t>LVAX|3/C+G|10</t>
        </is>
      </c>
      <c r="L5961" s="12" t="inlineStr">
        <is>
          <t>3/C+G</t>
        </is>
      </c>
      <c r="M5961" s="12" t="inlineStr">
        <is>
          <t>10</t>
        </is>
      </c>
      <c r="N5961" s="12" t="n">
        <v>1</v>
      </c>
      <c r="O5961" s="12" t="n">
        <v>1</v>
      </c>
      <c r="P5961" s="12" t="n">
        <v>480</v>
      </c>
      <c r="Q5961" s="12" t="n">
        <v>10</v>
      </c>
      <c r="R5961" s="12" t="n">
        <v>14.2</v>
      </c>
      <c r="S5961" s="12" t="inlineStr">
        <is>
          <t>Duct bank</t>
        </is>
      </c>
      <c r="T5961" s="16" t="n">
        <v>210</v>
      </c>
      <c r="U5961" s="16" t="n">
        <v>32</v>
      </c>
      <c r="V5961" s="16">
        <f>ROUNDUP((T5961+U5961+2*'Read Me'!$B$13)*(1+'Read Me'!$B$12),-1)</f>
        <v/>
      </c>
      <c r="W5961" s="16">
        <f>V5961*N5961*O5961</f>
        <v/>
      </c>
      <c r="X5961" s="12">
        <f>IF(LEFT(I5961,2)="MV",2*N5961*IF(L5961="1/C",O5961,1),0)</f>
        <v/>
      </c>
      <c r="Y5961" s="12">
        <f>IF(OR(LEFT(K5961,4)="LVAX",LEFT(K5961,6)="MV15AX",LEFT(K5961,4)="CTAX",LEFT(K5961,2)="W|"),2*N5961*O5961,0)</f>
        <v/>
      </c>
      <c r="Z5961" s="12" t="inlineStr">
        <is>
          <t>VD 1.6 %</t>
        </is>
      </c>
      <c r="AA5961" s="12">
        <f>N5961*O5961</f>
        <v/>
      </c>
    </row>
    <row r="5962">
      <c r="A5962" s="12" t="inlineStr">
        <is>
          <t>K-P-0029</t>
        </is>
      </c>
      <c r="B5962" s="12" t="inlineStr">
        <is>
          <t>K</t>
        </is>
      </c>
      <c r="C5962" s="12" t="inlineStr">
        <is>
          <t>Fuel supply (adjacent market)</t>
        </is>
      </c>
      <c r="D5962" s="12" t="inlineStr">
        <is>
          <t>LV power feeder</t>
        </is>
      </c>
      <c r="E5962" s="12" t="inlineStr"/>
      <c r="F5962" s="12" t="inlineStr">
        <is>
          <t>LNG 17: LNG e-house (13.8 kV / 480 V)</t>
        </is>
      </c>
      <c r="G5962" s="12" t="inlineStr">
        <is>
          <t>LNG-T2</t>
        </is>
      </c>
      <c r="H5962" s="12" t="inlineStr">
        <is>
          <t>LNG 11: tank 2, Chart HS 50000 (51,780 gal)</t>
        </is>
      </c>
      <c r="I5962" s="12" t="inlineStr">
        <is>
          <t>LV 600 V</t>
        </is>
      </c>
      <c r="J5962" s="12" t="inlineStr">
        <is>
          <t>ARMOR-X MC-HL 600 V 3/C Cu XHHW-2 + ground, CWA, black PVC (Class I Div 2)</t>
        </is>
      </c>
      <c r="K5962" s="12" t="inlineStr">
        <is>
          <t>LVAX|3/C+G|10</t>
        </is>
      </c>
      <c r="L5962" s="12" t="inlineStr">
        <is>
          <t>3/C+G</t>
        </is>
      </c>
      <c r="M5962" s="12" t="inlineStr">
        <is>
          <t>10</t>
        </is>
      </c>
      <c r="N5962" s="12" t="n">
        <v>1</v>
      </c>
      <c r="O5962" s="12" t="n">
        <v>1</v>
      </c>
      <c r="P5962" s="12" t="n">
        <v>480</v>
      </c>
      <c r="Q5962" s="12" t="n">
        <v>10</v>
      </c>
      <c r="R5962" s="12" t="n">
        <v>14.2</v>
      </c>
      <c r="S5962" s="12" t="inlineStr">
        <is>
          <t>Duct bank</t>
        </is>
      </c>
      <c r="T5962" s="16" t="n">
        <v>230</v>
      </c>
      <c r="U5962" s="16" t="n">
        <v>32</v>
      </c>
      <c r="V5962" s="16">
        <f>ROUNDUP((T5962+U5962+2*'Read Me'!$B$13)*(1+'Read Me'!$B$12),-1)</f>
        <v/>
      </c>
      <c r="W5962" s="16">
        <f>V5962*N5962*O5962</f>
        <v/>
      </c>
      <c r="X5962" s="12">
        <f>IF(LEFT(I5962,2)="MV",2*N5962*IF(L5962="1/C",O5962,1),0)</f>
        <v/>
      </c>
      <c r="Y5962" s="12">
        <f>IF(OR(LEFT(K5962,4)="LVAX",LEFT(K5962,6)="MV15AX",LEFT(K5962,4)="CTAX",LEFT(K5962,2)="W|"),2*N5962*O5962,0)</f>
        <v/>
      </c>
      <c r="Z5962" s="12" t="inlineStr">
        <is>
          <t>VD 1.8 %</t>
        </is>
      </c>
      <c r="AA5962" s="12">
        <f>N5962*O5962</f>
        <v/>
      </c>
    </row>
    <row r="5963">
      <c r="A5963" s="12" t="inlineStr">
        <is>
          <t>K-P-0030</t>
        </is>
      </c>
      <c r="B5963" s="12" t="inlineStr">
        <is>
          <t>K</t>
        </is>
      </c>
      <c r="C5963" s="12" t="inlineStr">
        <is>
          <t>Fuel supply (adjacent market)</t>
        </is>
      </c>
      <c r="D5963" s="12" t="inlineStr">
        <is>
          <t>LV power feeder</t>
        </is>
      </c>
      <c r="E5963" s="12" t="inlineStr"/>
      <c r="F5963" s="12" t="inlineStr">
        <is>
          <t>LNG 17: LNG e-house (13.8 kV / 480 V)</t>
        </is>
      </c>
      <c r="G5963" s="12" t="inlineStr">
        <is>
          <t>LNG-T3</t>
        </is>
      </c>
      <c r="H5963" s="12" t="inlineStr">
        <is>
          <t>LNG 11: tank 3, Chart HS 50000 (51,780 gal)</t>
        </is>
      </c>
      <c r="I5963" s="12" t="inlineStr">
        <is>
          <t>LV 600 V</t>
        </is>
      </c>
      <c r="J5963" s="12" t="inlineStr">
        <is>
          <t>ARMOR-X MC-HL 600 V 3/C Cu XHHW-2 + ground, CWA, black PVC (Class I Div 2)</t>
        </is>
      </c>
      <c r="K5963" s="12" t="inlineStr">
        <is>
          <t>LVAX|3/C+G|10</t>
        </is>
      </c>
      <c r="L5963" s="12" t="inlineStr">
        <is>
          <t>3/C+G</t>
        </is>
      </c>
      <c r="M5963" s="12" t="inlineStr">
        <is>
          <t>10</t>
        </is>
      </c>
      <c r="N5963" s="12" t="n">
        <v>1</v>
      </c>
      <c r="O5963" s="12" t="n">
        <v>1</v>
      </c>
      <c r="P5963" s="12" t="n">
        <v>480</v>
      </c>
      <c r="Q5963" s="12" t="n">
        <v>10</v>
      </c>
      <c r="R5963" s="12" t="n">
        <v>14.2</v>
      </c>
      <c r="S5963" s="12" t="inlineStr">
        <is>
          <t>Duct bank</t>
        </is>
      </c>
      <c r="T5963" s="16" t="n">
        <v>250</v>
      </c>
      <c r="U5963" s="16" t="n">
        <v>32</v>
      </c>
      <c r="V5963" s="16">
        <f>ROUNDUP((T5963+U5963+2*'Read Me'!$B$13)*(1+'Read Me'!$B$12),-1)</f>
        <v/>
      </c>
      <c r="W5963" s="16">
        <f>V5963*N5963*O5963</f>
        <v/>
      </c>
      <c r="X5963" s="12">
        <f>IF(LEFT(I5963,2)="MV",2*N5963*IF(L5963="1/C",O5963,1),0)</f>
        <v/>
      </c>
      <c r="Y5963" s="12">
        <f>IF(OR(LEFT(K5963,4)="LVAX",LEFT(K5963,6)="MV15AX",LEFT(K5963,4)="CTAX",LEFT(K5963,2)="W|"),2*N5963*O5963,0)</f>
        <v/>
      </c>
      <c r="Z5963" s="12" t="inlineStr">
        <is>
          <t>VD 1.9 %</t>
        </is>
      </c>
      <c r="AA5963" s="12">
        <f>N5963*O5963</f>
        <v/>
      </c>
    </row>
    <row r="5964">
      <c r="A5964" s="12" t="inlineStr">
        <is>
          <t>K-P-0031</t>
        </is>
      </c>
      <c r="B5964" s="12" t="inlineStr">
        <is>
          <t>K</t>
        </is>
      </c>
      <c r="C5964" s="12" t="inlineStr">
        <is>
          <t>Fuel supply (adjacent market)</t>
        </is>
      </c>
      <c r="D5964" s="12" t="inlineStr">
        <is>
          <t>LV power feeder</t>
        </is>
      </c>
      <c r="E5964" s="12" t="inlineStr"/>
      <c r="F5964" s="12" t="inlineStr">
        <is>
          <t>LNG 17: LNG e-house (13.8 kV / 480 V)</t>
        </is>
      </c>
      <c r="G5964" s="12" t="inlineStr">
        <is>
          <t>LNG-T4</t>
        </is>
      </c>
      <c r="H5964" s="12" t="inlineStr">
        <is>
          <t>LNG 11: tank 4, Chart HS 50000 (51,780 gal)</t>
        </is>
      </c>
      <c r="I5964" s="12" t="inlineStr">
        <is>
          <t>LV 600 V</t>
        </is>
      </c>
      <c r="J5964" s="12" t="inlineStr">
        <is>
          <t>ARMOR-X MC-HL 600 V 3/C Cu XHHW-2 + ground, CWA, black PVC (Class I Div 2)</t>
        </is>
      </c>
      <c r="K5964" s="12" t="inlineStr">
        <is>
          <t>LVAX|3/C+G|10</t>
        </is>
      </c>
      <c r="L5964" s="12" t="inlineStr">
        <is>
          <t>3/C+G</t>
        </is>
      </c>
      <c r="M5964" s="12" t="inlineStr">
        <is>
          <t>10</t>
        </is>
      </c>
      <c r="N5964" s="12" t="n">
        <v>1</v>
      </c>
      <c r="O5964" s="12" t="n">
        <v>1</v>
      </c>
      <c r="P5964" s="12" t="n">
        <v>480</v>
      </c>
      <c r="Q5964" s="12" t="n">
        <v>10</v>
      </c>
      <c r="R5964" s="12" t="n">
        <v>14.2</v>
      </c>
      <c r="S5964" s="12" t="inlineStr">
        <is>
          <t>Duct bank</t>
        </is>
      </c>
      <c r="T5964" s="16" t="n">
        <v>270</v>
      </c>
      <c r="U5964" s="16" t="n">
        <v>32</v>
      </c>
      <c r="V5964" s="16">
        <f>ROUNDUP((T5964+U5964+2*'Read Me'!$B$13)*(1+'Read Me'!$B$12),-1)</f>
        <v/>
      </c>
      <c r="W5964" s="16">
        <f>V5964*N5964*O5964</f>
        <v/>
      </c>
      <c r="X5964" s="12">
        <f>IF(LEFT(I5964,2)="MV",2*N5964*IF(L5964="1/C",O5964,1),0)</f>
        <v/>
      </c>
      <c r="Y5964" s="12">
        <f>IF(OR(LEFT(K5964,4)="LVAX",LEFT(K5964,6)="MV15AX",LEFT(K5964,4)="CTAX",LEFT(K5964,2)="W|"),2*N5964*O5964,0)</f>
        <v/>
      </c>
      <c r="Z5964" s="12" t="inlineStr">
        <is>
          <t>VD 2.1 %</t>
        </is>
      </c>
      <c r="AA5964" s="12">
        <f>N5964*O5964</f>
        <v/>
      </c>
    </row>
    <row r="5965">
      <c r="A5965" s="12" t="inlineStr">
        <is>
          <t>K-P-0032</t>
        </is>
      </c>
      <c r="B5965" s="12" t="inlineStr">
        <is>
          <t>K</t>
        </is>
      </c>
      <c r="C5965" s="12" t="inlineStr">
        <is>
          <t>Fuel supply (adjacent market)</t>
        </is>
      </c>
      <c r="D5965" s="12" t="inlineStr">
        <is>
          <t>LV power feeder</t>
        </is>
      </c>
      <c r="E5965" s="12" t="inlineStr"/>
      <c r="F5965" s="12" t="inlineStr">
        <is>
          <t>LNG 17: LNG e-house (13.8 kV / 480 V)</t>
        </is>
      </c>
      <c r="G5965" s="12" t="inlineStr">
        <is>
          <t>LNG-T5</t>
        </is>
      </c>
      <c r="H5965" s="12" t="inlineStr">
        <is>
          <t>LNG 11: tank 5, Chart HS 50000 (51,780 gal)</t>
        </is>
      </c>
      <c r="I5965" s="12" t="inlineStr">
        <is>
          <t>LV 600 V</t>
        </is>
      </c>
      <c r="J5965" s="12" t="inlineStr">
        <is>
          <t>ARMOR-X MC-HL 600 V 3/C Cu XHHW-2 + ground, CWA, black PVC (Class I Div 2)</t>
        </is>
      </c>
      <c r="K5965" s="12" t="inlineStr">
        <is>
          <t>LVAX|3/C+G|10</t>
        </is>
      </c>
      <c r="L5965" s="12" t="inlineStr">
        <is>
          <t>3/C+G</t>
        </is>
      </c>
      <c r="M5965" s="12" t="inlineStr">
        <is>
          <t>10</t>
        </is>
      </c>
      <c r="N5965" s="12" t="n">
        <v>1</v>
      </c>
      <c r="O5965" s="12" t="n">
        <v>1</v>
      </c>
      <c r="P5965" s="12" t="n">
        <v>480</v>
      </c>
      <c r="Q5965" s="12" t="n">
        <v>10</v>
      </c>
      <c r="R5965" s="12" t="n">
        <v>14.2</v>
      </c>
      <c r="S5965" s="12" t="inlineStr">
        <is>
          <t>Duct bank</t>
        </is>
      </c>
      <c r="T5965" s="16" t="n">
        <v>290</v>
      </c>
      <c r="U5965" s="16" t="n">
        <v>32</v>
      </c>
      <c r="V5965" s="16">
        <f>ROUNDUP((T5965+U5965+2*'Read Me'!$B$13)*(1+'Read Me'!$B$12),-1)</f>
        <v/>
      </c>
      <c r="W5965" s="16">
        <f>V5965*N5965*O5965</f>
        <v/>
      </c>
      <c r="X5965" s="12">
        <f>IF(LEFT(I5965,2)="MV",2*N5965*IF(L5965="1/C",O5965,1),0)</f>
        <v/>
      </c>
      <c r="Y5965" s="12">
        <f>IF(OR(LEFT(K5965,4)="LVAX",LEFT(K5965,6)="MV15AX",LEFT(K5965,4)="CTAX",LEFT(K5965,2)="W|"),2*N5965*O5965,0)</f>
        <v/>
      </c>
      <c r="Z5965" s="12" t="inlineStr">
        <is>
          <t>VD 2.2 %</t>
        </is>
      </c>
      <c r="AA5965" s="12">
        <f>N5965*O5965</f>
        <v/>
      </c>
    </row>
    <row r="5966">
      <c r="A5966" s="12" t="inlineStr">
        <is>
          <t>K-P-0033</t>
        </is>
      </c>
      <c r="B5966" s="12" t="inlineStr">
        <is>
          <t>K</t>
        </is>
      </c>
      <c r="C5966" s="12" t="inlineStr">
        <is>
          <t>Fuel supply (adjacent market)</t>
        </is>
      </c>
      <c r="D5966" s="12" t="inlineStr">
        <is>
          <t>LV power feeder</t>
        </is>
      </c>
      <c r="E5966" s="12" t="inlineStr"/>
      <c r="F5966" s="12" t="inlineStr">
        <is>
          <t>LNG 17: LNG e-house (13.8 kV / 480 V)</t>
        </is>
      </c>
      <c r="G5966" s="12" t="inlineStr">
        <is>
          <t>LNG-T6</t>
        </is>
      </c>
      <c r="H5966" s="12" t="inlineStr">
        <is>
          <t>LNG 11: tank 6, Chart HS 50000 (51,780 gal)</t>
        </is>
      </c>
      <c r="I5966" s="12" t="inlineStr">
        <is>
          <t>LV 600 V</t>
        </is>
      </c>
      <c r="J5966" s="12" t="inlineStr">
        <is>
          <t>ARMOR-X MC-HL 600 V 3/C Cu XHHW-2 + ground, CWA, black PVC (Class I Div 2)</t>
        </is>
      </c>
      <c r="K5966" s="12" t="inlineStr">
        <is>
          <t>LVAX|3/C+G|10</t>
        </is>
      </c>
      <c r="L5966" s="12" t="inlineStr">
        <is>
          <t>3/C+G</t>
        </is>
      </c>
      <c r="M5966" s="12" t="inlineStr">
        <is>
          <t>10</t>
        </is>
      </c>
      <c r="N5966" s="12" t="n">
        <v>1</v>
      </c>
      <c r="O5966" s="12" t="n">
        <v>1</v>
      </c>
      <c r="P5966" s="12" t="n">
        <v>480</v>
      </c>
      <c r="Q5966" s="12" t="n">
        <v>10</v>
      </c>
      <c r="R5966" s="12" t="n">
        <v>14.2</v>
      </c>
      <c r="S5966" s="12" t="inlineStr">
        <is>
          <t>Duct bank</t>
        </is>
      </c>
      <c r="T5966" s="16" t="n">
        <v>310</v>
      </c>
      <c r="U5966" s="16" t="n">
        <v>32</v>
      </c>
      <c r="V5966" s="16">
        <f>ROUNDUP((T5966+U5966+2*'Read Me'!$B$13)*(1+'Read Me'!$B$12),-1)</f>
        <v/>
      </c>
      <c r="W5966" s="16">
        <f>V5966*N5966*O5966</f>
        <v/>
      </c>
      <c r="X5966" s="12">
        <f>IF(LEFT(I5966,2)="MV",2*N5966*IF(L5966="1/C",O5966,1),0)</f>
        <v/>
      </c>
      <c r="Y5966" s="12">
        <f>IF(OR(LEFT(K5966,4)="LVAX",LEFT(K5966,6)="MV15AX",LEFT(K5966,4)="CTAX",LEFT(K5966,2)="W|"),2*N5966*O5966,0)</f>
        <v/>
      </c>
      <c r="Z5966" s="12" t="inlineStr">
        <is>
          <t>VD 2.3 %</t>
        </is>
      </c>
      <c r="AA5966" s="12">
        <f>N5966*O5966</f>
        <v/>
      </c>
    </row>
    <row r="5967">
      <c r="A5967" s="12" t="inlineStr">
        <is>
          <t>K-P-0034</t>
        </is>
      </c>
      <c r="B5967" s="12" t="inlineStr">
        <is>
          <t>K</t>
        </is>
      </c>
      <c r="C5967" s="12" t="inlineStr">
        <is>
          <t>Fuel supply (adjacent market)</t>
        </is>
      </c>
      <c r="D5967" s="12" t="inlineStr">
        <is>
          <t>LV power feeder</t>
        </is>
      </c>
      <c r="E5967" s="12" t="inlineStr"/>
      <c r="F5967" s="12" t="inlineStr">
        <is>
          <t>LNG 17: LNG e-house (13.8 kV / 480 V)</t>
        </is>
      </c>
      <c r="G5967" s="12" t="inlineStr">
        <is>
          <t>LNG-T7</t>
        </is>
      </c>
      <c r="H5967" s="12" t="inlineStr">
        <is>
          <t>LNG 11: tank 7, Chart HS 50000 (51,780 gal)</t>
        </is>
      </c>
      <c r="I5967" s="12" t="inlineStr">
        <is>
          <t>LV 600 V</t>
        </is>
      </c>
      <c r="J5967" s="12" t="inlineStr">
        <is>
          <t>ARMOR-X MC-HL 600 V 3/C Cu XHHW-2 + ground, CWA, black PVC (Class I Div 2)</t>
        </is>
      </c>
      <c r="K5967" s="12" t="inlineStr">
        <is>
          <t>LVAX|3/C+G|10</t>
        </is>
      </c>
      <c r="L5967" s="12" t="inlineStr">
        <is>
          <t>3/C+G</t>
        </is>
      </c>
      <c r="M5967" s="12" t="inlineStr">
        <is>
          <t>10</t>
        </is>
      </c>
      <c r="N5967" s="12" t="n">
        <v>1</v>
      </c>
      <c r="O5967" s="12" t="n">
        <v>1</v>
      </c>
      <c r="P5967" s="12" t="n">
        <v>480</v>
      </c>
      <c r="Q5967" s="12" t="n">
        <v>10</v>
      </c>
      <c r="R5967" s="12" t="n">
        <v>14.2</v>
      </c>
      <c r="S5967" s="12" t="inlineStr">
        <is>
          <t>Duct bank</t>
        </is>
      </c>
      <c r="T5967" s="16" t="n">
        <v>330</v>
      </c>
      <c r="U5967" s="16" t="n">
        <v>32</v>
      </c>
      <c r="V5967" s="16">
        <f>ROUNDUP((T5967+U5967+2*'Read Me'!$B$13)*(1+'Read Me'!$B$12),-1)</f>
        <v/>
      </c>
      <c r="W5967" s="16">
        <f>V5967*N5967*O5967</f>
        <v/>
      </c>
      <c r="X5967" s="12">
        <f>IF(LEFT(I5967,2)="MV",2*N5967*IF(L5967="1/C",O5967,1),0)</f>
        <v/>
      </c>
      <c r="Y5967" s="12">
        <f>IF(OR(LEFT(K5967,4)="LVAX",LEFT(K5967,6)="MV15AX",LEFT(K5967,4)="CTAX",LEFT(K5967,2)="W|"),2*N5967*O5967,0)</f>
        <v/>
      </c>
      <c r="Z5967" s="12" t="inlineStr">
        <is>
          <t>VD 2.5 %</t>
        </is>
      </c>
      <c r="AA5967" s="12">
        <f>N5967*O5967</f>
        <v/>
      </c>
    </row>
    <row r="5968">
      <c r="A5968" s="12" t="inlineStr">
        <is>
          <t>K-P-0035</t>
        </is>
      </c>
      <c r="B5968" s="12" t="inlineStr">
        <is>
          <t>K</t>
        </is>
      </c>
      <c r="C5968" s="12" t="inlineStr">
        <is>
          <t>Fuel supply (adjacent market)</t>
        </is>
      </c>
      <c r="D5968" s="12" t="inlineStr">
        <is>
          <t>LV power feeder</t>
        </is>
      </c>
      <c r="E5968" s="12" t="inlineStr"/>
      <c r="F5968" s="12" t="inlineStr">
        <is>
          <t>LNG 17: LNG e-house (13.8 kV / 480 V)</t>
        </is>
      </c>
      <c r="G5968" s="12" t="inlineStr">
        <is>
          <t>LNG-T8</t>
        </is>
      </c>
      <c r="H5968" s="12" t="inlineStr">
        <is>
          <t>LNG 11: tank 8, Chart HS 50000 (51,780 gal)</t>
        </is>
      </c>
      <c r="I5968" s="12" t="inlineStr">
        <is>
          <t>LV 600 V</t>
        </is>
      </c>
      <c r="J5968" s="12" t="inlineStr">
        <is>
          <t>ARMOR-X MC-HL 600 V 3/C Cu XHHW-2 + ground, CWA, black PVC (Class I Div 2)</t>
        </is>
      </c>
      <c r="K5968" s="12" t="inlineStr">
        <is>
          <t>LVAX|3/C+G|10</t>
        </is>
      </c>
      <c r="L5968" s="12" t="inlineStr">
        <is>
          <t>3/C+G</t>
        </is>
      </c>
      <c r="M5968" s="12" t="inlineStr">
        <is>
          <t>10</t>
        </is>
      </c>
      <c r="N5968" s="12" t="n">
        <v>1</v>
      </c>
      <c r="O5968" s="12" t="n">
        <v>1</v>
      </c>
      <c r="P5968" s="12" t="n">
        <v>480</v>
      </c>
      <c r="Q5968" s="12" t="n">
        <v>10</v>
      </c>
      <c r="R5968" s="12" t="n">
        <v>14.2</v>
      </c>
      <c r="S5968" s="12" t="inlineStr">
        <is>
          <t>Duct bank</t>
        </is>
      </c>
      <c r="T5968" s="16" t="n">
        <v>350</v>
      </c>
      <c r="U5968" s="16" t="n">
        <v>32</v>
      </c>
      <c r="V5968" s="16">
        <f>ROUNDUP((T5968+U5968+2*'Read Me'!$B$13)*(1+'Read Me'!$B$12),-1)</f>
        <v/>
      </c>
      <c r="W5968" s="16">
        <f>V5968*N5968*O5968</f>
        <v/>
      </c>
      <c r="X5968" s="12">
        <f>IF(LEFT(I5968,2)="MV",2*N5968*IF(L5968="1/C",O5968,1),0)</f>
        <v/>
      </c>
      <c r="Y5968" s="12">
        <f>IF(OR(LEFT(K5968,4)="LVAX",LEFT(K5968,6)="MV15AX",LEFT(K5968,4)="CTAX",LEFT(K5968,2)="W|"),2*N5968*O5968,0)</f>
        <v/>
      </c>
      <c r="Z5968" s="12" t="inlineStr">
        <is>
          <t>VD 2.6 %</t>
        </is>
      </c>
      <c r="AA5968" s="12">
        <f>N5968*O5968</f>
        <v/>
      </c>
    </row>
    <row r="5969">
      <c r="A5969" s="12" t="inlineStr">
        <is>
          <t>K-P-0036</t>
        </is>
      </c>
      <c r="B5969" s="12" t="inlineStr">
        <is>
          <t>K</t>
        </is>
      </c>
      <c r="C5969" s="12" t="inlineStr">
        <is>
          <t>Fuel supply (adjacent market)</t>
        </is>
      </c>
      <c r="D5969" s="12" t="inlineStr">
        <is>
          <t>Motor 1 of 1, 15 kW</t>
        </is>
      </c>
      <c r="E5969" s="12" t="inlineStr"/>
      <c r="F5969" s="12" t="inlineStr">
        <is>
          <t>LNG 17: LNG e-house (13.8 kV / 480 V)</t>
        </is>
      </c>
      <c r="G5969" s="12" t="inlineStr"/>
      <c r="H5969" s="12" t="inlineStr">
        <is>
          <t>LNG 12: spill impoundment (NFPA 59A, to verify)</t>
        </is>
      </c>
      <c r="I5969" s="12" t="inlineStr">
        <is>
          <t>LV 600 V</t>
        </is>
      </c>
      <c r="J5969" s="12" t="inlineStr">
        <is>
          <t>ARMOR-X MC-HL 600 V 3/C Cu XHHW-2 + ground, CWA, black PVC (Class I Div 2)</t>
        </is>
      </c>
      <c r="K5969" s="12" t="inlineStr">
        <is>
          <t>LVAX|3/C+G|10</t>
        </is>
      </c>
      <c r="L5969" s="12" t="inlineStr">
        <is>
          <t>3/C+G</t>
        </is>
      </c>
      <c r="M5969" s="12" t="inlineStr">
        <is>
          <t>10</t>
        </is>
      </c>
      <c r="N5969" s="12" t="n">
        <v>1</v>
      </c>
      <c r="O5969" s="12" t="n">
        <v>1</v>
      </c>
      <c r="P5969" s="12" t="n">
        <v>480</v>
      </c>
      <c r="Q5969" s="12" t="n">
        <v>15</v>
      </c>
      <c r="R5969" s="12" t="n">
        <v>21.2</v>
      </c>
      <c r="S5969" s="12" t="inlineStr">
        <is>
          <t>Duct bank</t>
        </is>
      </c>
      <c r="T5969" s="16" t="n">
        <v>230</v>
      </c>
      <c r="U5969" s="16" t="n">
        <v>32</v>
      </c>
      <c r="V5969" s="16">
        <f>ROUNDUP((T5969+U5969+2*'Read Me'!$B$13)*(1+'Read Me'!$B$12),-1)</f>
        <v/>
      </c>
      <c r="W5969" s="16">
        <f>V5969*N5969*O5969</f>
        <v/>
      </c>
      <c r="X5969" s="12">
        <f>IF(LEFT(I5969,2)="MV",2*N5969*IF(L5969="1/C",O5969,1),0)</f>
        <v/>
      </c>
      <c r="Y5969" s="12">
        <f>IF(OR(LEFT(K5969,4)="LVAX",LEFT(K5969,6)="MV15AX",LEFT(K5969,4)="CTAX",LEFT(K5969,2)="W|"),2*N5969*O5969,0)</f>
        <v/>
      </c>
      <c r="Z5969" s="12" t="inlineStr">
        <is>
          <t>VD 2.7 %</t>
        </is>
      </c>
      <c r="AA5969" s="12">
        <f>N5969*O5969</f>
        <v/>
      </c>
    </row>
    <row r="5970">
      <c r="A5970" s="12" t="inlineStr">
        <is>
          <t>K-P-0037</t>
        </is>
      </c>
      <c r="B5970" s="12" t="inlineStr">
        <is>
          <t>K</t>
        </is>
      </c>
      <c r="C5970" s="12" t="inlineStr">
        <is>
          <t>Fuel supply (adjacent market)</t>
        </is>
      </c>
      <c r="D5970" s="12" t="inlineStr">
        <is>
          <t>Motor 1 of 1, 15 kW</t>
        </is>
      </c>
      <c r="E5970" s="12" t="inlineStr"/>
      <c r="F5970" s="12" t="inlineStr">
        <is>
          <t>LNG 17: LNG e-house (13.8 kV / 480 V)</t>
        </is>
      </c>
      <c r="G5970" s="12" t="inlineStr"/>
      <c r="H5970" s="12" t="inlineStr">
        <is>
          <t>LNG 13: send-out pumps 2 x 100%</t>
        </is>
      </c>
      <c r="I5970" s="12" t="inlineStr">
        <is>
          <t>LV 600 V</t>
        </is>
      </c>
      <c r="J5970" s="12" t="inlineStr">
        <is>
          <t>ARMOR-X MC-HL 600 V 3/C Cu XHHW-2 + ground, CWA, black PVC (Class I Div 2)</t>
        </is>
      </c>
      <c r="K5970" s="12" t="inlineStr">
        <is>
          <t>LVAX|3/C+G|10</t>
        </is>
      </c>
      <c r="L5970" s="12" t="inlineStr">
        <is>
          <t>3/C+G</t>
        </is>
      </c>
      <c r="M5970" s="12" t="inlineStr">
        <is>
          <t>10</t>
        </is>
      </c>
      <c r="N5970" s="12" t="n">
        <v>1</v>
      </c>
      <c r="O5970" s="12" t="n">
        <v>1</v>
      </c>
      <c r="P5970" s="12" t="n">
        <v>480</v>
      </c>
      <c r="Q5970" s="12" t="n">
        <v>15</v>
      </c>
      <c r="R5970" s="12" t="n">
        <v>21.2</v>
      </c>
      <c r="S5970" s="12" t="inlineStr">
        <is>
          <t>Duct bank</t>
        </is>
      </c>
      <c r="T5970" s="16" t="n">
        <v>110</v>
      </c>
      <c r="U5970" s="16" t="n">
        <v>32</v>
      </c>
      <c r="V5970" s="16">
        <f>ROUNDUP((T5970+U5970+2*'Read Me'!$B$13)*(1+'Read Me'!$B$12),-1)</f>
        <v/>
      </c>
      <c r="W5970" s="16">
        <f>V5970*N5970*O5970</f>
        <v/>
      </c>
      <c r="X5970" s="12">
        <f>IF(LEFT(I5970,2)="MV",2*N5970*IF(L5970="1/C",O5970,1),0)</f>
        <v/>
      </c>
      <c r="Y5970" s="12">
        <f>IF(OR(LEFT(K5970,4)="LVAX",LEFT(K5970,6)="MV15AX",LEFT(K5970,4)="CTAX",LEFT(K5970,2)="W|"),2*N5970*O5970,0)</f>
        <v/>
      </c>
      <c r="Z5970" s="12" t="inlineStr">
        <is>
          <t>VD 1.4 %</t>
        </is>
      </c>
      <c r="AA5970" s="12">
        <f>N5970*O5970</f>
        <v/>
      </c>
    </row>
    <row r="5971">
      <c r="A5971" s="12" t="inlineStr">
        <is>
          <t>K-P-0038</t>
        </is>
      </c>
      <c r="B5971" s="12" t="inlineStr">
        <is>
          <t>K</t>
        </is>
      </c>
      <c r="C5971" s="12" t="inlineStr">
        <is>
          <t>Fuel supply (adjacent market)</t>
        </is>
      </c>
      <c r="D5971" s="12" t="inlineStr">
        <is>
          <t>Motor 1 of 1, 15 kW</t>
        </is>
      </c>
      <c r="E5971" s="12" t="inlineStr"/>
      <c r="F5971" s="12" t="inlineStr">
        <is>
          <t>LNG 17: LNG e-house (13.8 kV / 480 V)</t>
        </is>
      </c>
      <c r="G5971" s="12" t="inlineStr"/>
      <c r="H5971" s="12" t="inlineStr">
        <is>
          <t>LNG 14: vaporizers + glycol heater</t>
        </is>
      </c>
      <c r="I5971" s="12" t="inlineStr">
        <is>
          <t>LV 600 V</t>
        </is>
      </c>
      <c r="J5971" s="12" t="inlineStr">
        <is>
          <t>ARMOR-X MC-HL 600 V 3/C Cu XHHW-2 + ground, CWA, black PVC (Class I Div 2)</t>
        </is>
      </c>
      <c r="K5971" s="12" t="inlineStr">
        <is>
          <t>LVAX|3/C+G|10</t>
        </is>
      </c>
      <c r="L5971" s="12" t="inlineStr">
        <is>
          <t>3/C+G</t>
        </is>
      </c>
      <c r="M5971" s="12" t="inlineStr">
        <is>
          <t>10</t>
        </is>
      </c>
      <c r="N5971" s="12" t="n">
        <v>1</v>
      </c>
      <c r="O5971" s="12" t="n">
        <v>1</v>
      </c>
      <c r="P5971" s="12" t="n">
        <v>480</v>
      </c>
      <c r="Q5971" s="12" t="n">
        <v>15</v>
      </c>
      <c r="R5971" s="12" t="n">
        <v>21.2</v>
      </c>
      <c r="S5971" s="12" t="inlineStr">
        <is>
          <t>Duct bank</t>
        </is>
      </c>
      <c r="T5971" s="16" t="n">
        <v>259</v>
      </c>
      <c r="U5971" s="16" t="n">
        <v>32</v>
      </c>
      <c r="V5971" s="16">
        <f>ROUNDUP((T5971+U5971+2*'Read Me'!$B$13)*(1+'Read Me'!$B$12),-1)</f>
        <v/>
      </c>
      <c r="W5971" s="16">
        <f>V5971*N5971*O5971</f>
        <v/>
      </c>
      <c r="X5971" s="12">
        <f>IF(LEFT(I5971,2)="MV",2*N5971*IF(L5971="1/C",O5971,1),0)</f>
        <v/>
      </c>
      <c r="Y5971" s="12">
        <f>IF(OR(LEFT(K5971,4)="LVAX",LEFT(K5971,6)="MV15AX",LEFT(K5971,4)="CTAX",LEFT(K5971,2)="W|"),2*N5971*O5971,0)</f>
        <v/>
      </c>
      <c r="Z5971" s="12" t="inlineStr">
        <is>
          <t>VD 3.0 %</t>
        </is>
      </c>
      <c r="AA5971" s="12">
        <f>N5971*O5971</f>
        <v/>
      </c>
    </row>
    <row r="5972">
      <c r="A5972" s="12" t="inlineStr">
        <is>
          <t>K-P-0039</t>
        </is>
      </c>
      <c r="B5972" s="12" t="inlineStr">
        <is>
          <t>K</t>
        </is>
      </c>
      <c r="C5972" s="12" t="inlineStr">
        <is>
          <t>Fuel supply (adjacent market)</t>
        </is>
      </c>
      <c r="D5972" s="12" t="inlineStr">
        <is>
          <t>Motor 1 of 1, 15 kW</t>
        </is>
      </c>
      <c r="E5972" s="12" t="inlineStr"/>
      <c r="F5972" s="12" t="inlineStr">
        <is>
          <t>LNG 17: LNG e-house (13.8 kV / 480 V)</t>
        </is>
      </c>
      <c r="G5972" s="12" t="inlineStr"/>
      <c r="H5972" s="12" t="inlineStr">
        <is>
          <t>LNG 15: boil-off gas compressor</t>
        </is>
      </c>
      <c r="I5972" s="12" t="inlineStr">
        <is>
          <t>LV 600 V</t>
        </is>
      </c>
      <c r="J5972" s="12" t="inlineStr">
        <is>
          <t>ARMOR-X MC-HL 600 V 3/C Cu XHHW-2 + ground, CWA, black PVC (Class I Div 2)</t>
        </is>
      </c>
      <c r="K5972" s="12" t="inlineStr">
        <is>
          <t>LVAX|3/C+G|10</t>
        </is>
      </c>
      <c r="L5972" s="12" t="inlineStr">
        <is>
          <t>3/C+G</t>
        </is>
      </c>
      <c r="M5972" s="12" t="inlineStr">
        <is>
          <t>10</t>
        </is>
      </c>
      <c r="N5972" s="12" t="n">
        <v>1</v>
      </c>
      <c r="O5972" s="12" t="n">
        <v>1</v>
      </c>
      <c r="P5972" s="12" t="n">
        <v>480</v>
      </c>
      <c r="Q5972" s="12" t="n">
        <v>15</v>
      </c>
      <c r="R5972" s="12" t="n">
        <v>21.2</v>
      </c>
      <c r="S5972" s="12" t="inlineStr">
        <is>
          <t>Duct bank</t>
        </is>
      </c>
      <c r="T5972" s="16" t="n">
        <v>25</v>
      </c>
      <c r="U5972" s="16" t="n">
        <v>54</v>
      </c>
      <c r="V5972" s="16">
        <f>ROUNDUP((T5972+U5972+2*'Read Me'!$B$13)*(1+'Read Me'!$B$12),-1)</f>
        <v/>
      </c>
      <c r="W5972" s="16">
        <f>V5972*N5972*O5972</f>
        <v/>
      </c>
      <c r="X5972" s="12">
        <f>IF(LEFT(I5972,2)="MV",2*N5972*IF(L5972="1/C",O5972,1),0)</f>
        <v/>
      </c>
      <c r="Y5972" s="12">
        <f>IF(OR(LEFT(K5972,4)="LVAX",LEFT(K5972,6)="MV15AX",LEFT(K5972,4)="CTAX",LEFT(K5972,2)="W|"),2*N5972*O5972,0)</f>
        <v/>
      </c>
      <c r="Z5972" s="12" t="inlineStr">
        <is>
          <t>VD 0.8 %</t>
        </is>
      </c>
      <c r="AA5972" s="12">
        <f>N5972*O5972</f>
        <v/>
      </c>
    </row>
    <row r="5973">
      <c r="A5973" s="12" t="inlineStr">
        <is>
          <t>K-P-0040</t>
        </is>
      </c>
      <c r="B5973" s="12" t="inlineStr">
        <is>
          <t>K</t>
        </is>
      </c>
      <c r="C5973" s="12" t="inlineStr">
        <is>
          <t>Fuel supply (adjacent market)</t>
        </is>
      </c>
      <c r="D5973" s="12" t="inlineStr">
        <is>
          <t>Motor 1 of 1, 15 kW</t>
        </is>
      </c>
      <c r="E5973" s="12" t="inlineStr"/>
      <c r="F5973" s="12" t="inlineStr">
        <is>
          <t>LNG 17: LNG e-house (13.8 kV / 480 V)</t>
        </is>
      </c>
      <c r="G5973" s="12" t="inlineStr"/>
      <c r="H5973" s="12" t="inlineStr">
        <is>
          <t>LNG 16: send-out metering + pressure control</t>
        </is>
      </c>
      <c r="I5973" s="12" t="inlineStr">
        <is>
          <t>LV 600 V</t>
        </is>
      </c>
      <c r="J5973" s="12" t="inlineStr">
        <is>
          <t>ARMOR-X MC-HL 600 V 3/C Cu XHHW-2 + ground, CWA, black PVC (Class I Div 2)</t>
        </is>
      </c>
      <c r="K5973" s="12" t="inlineStr">
        <is>
          <t>LVAX|3/C+G|10</t>
        </is>
      </c>
      <c r="L5973" s="12" t="inlineStr">
        <is>
          <t>3/C+G</t>
        </is>
      </c>
      <c r="M5973" s="12" t="inlineStr">
        <is>
          <t>10</t>
        </is>
      </c>
      <c r="N5973" s="12" t="n">
        <v>1</v>
      </c>
      <c r="O5973" s="12" t="n">
        <v>1</v>
      </c>
      <c r="P5973" s="12" t="n">
        <v>480</v>
      </c>
      <c r="Q5973" s="12" t="n">
        <v>15</v>
      </c>
      <c r="R5973" s="12" t="n">
        <v>21.2</v>
      </c>
      <c r="S5973" s="12" t="inlineStr">
        <is>
          <t>Duct bank</t>
        </is>
      </c>
      <c r="T5973" s="16" t="n">
        <v>20</v>
      </c>
      <c r="U5973" s="16" t="n">
        <v>32</v>
      </c>
      <c r="V5973" s="16">
        <f>ROUNDUP((T5973+U5973+2*'Read Me'!$B$13)*(1+'Read Me'!$B$12),-1)</f>
        <v/>
      </c>
      <c r="W5973" s="16">
        <f>V5973*N5973*O5973</f>
        <v/>
      </c>
      <c r="X5973" s="12">
        <f>IF(LEFT(I5973,2)="MV",2*N5973*IF(L5973="1/C",O5973,1),0)</f>
        <v/>
      </c>
      <c r="Y5973" s="12">
        <f>IF(OR(LEFT(K5973,4)="LVAX",LEFT(K5973,6)="MV15AX",LEFT(K5973,4)="CTAX",LEFT(K5973,2)="W|"),2*N5973*O5973,0)</f>
        <v/>
      </c>
      <c r="Z5973" s="12" t="inlineStr">
        <is>
          <t>VD 0.5 %</t>
        </is>
      </c>
      <c r="AA5973" s="12">
        <f>N5973*O5973</f>
        <v/>
      </c>
    </row>
    <row r="5974">
      <c r="A5974" s="12" t="inlineStr">
        <is>
          <t>K-P-0041</t>
        </is>
      </c>
      <c r="B5974" s="12" t="inlineStr">
        <is>
          <t>K</t>
        </is>
      </c>
      <c r="C5974" s="12" t="inlineStr">
        <is>
          <t>Fuel supply (adjacent market)</t>
        </is>
      </c>
      <c r="D5974" s="12" t="inlineStr">
        <is>
          <t>Motor 1 of 1, 15 kW</t>
        </is>
      </c>
      <c r="E5974" s="12" t="inlineStr"/>
      <c r="F5974" s="12" t="inlineStr">
        <is>
          <t>LNG 17: LNG e-house (13.8 kV / 480 V)</t>
        </is>
      </c>
      <c r="G5974" s="12" t="inlineStr"/>
      <c r="H5974" s="12" t="inlineStr">
        <is>
          <t>LNG 17: LNG e-house (13.8 kV / 480 V)</t>
        </is>
      </c>
      <c r="I5974" s="12" t="inlineStr">
        <is>
          <t>LV 600 V</t>
        </is>
      </c>
      <c r="J5974" s="12" t="inlineStr">
        <is>
          <t>ARMOR-X MC-HL 600 V 3/C Cu XHHW-2 + ground, CWA, black PVC (Class I Div 2)</t>
        </is>
      </c>
      <c r="K5974" s="12" t="inlineStr">
        <is>
          <t>LVAX|3/C+G|10</t>
        </is>
      </c>
      <c r="L5974" s="12" t="inlineStr">
        <is>
          <t>3/C+G</t>
        </is>
      </c>
      <c r="M5974" s="12" t="inlineStr">
        <is>
          <t>10</t>
        </is>
      </c>
      <c r="N5974" s="12" t="n">
        <v>1</v>
      </c>
      <c r="O5974" s="12" t="n">
        <v>1</v>
      </c>
      <c r="P5974" s="12" t="n">
        <v>480</v>
      </c>
      <c r="Q5974" s="12" t="n">
        <v>15</v>
      </c>
      <c r="R5974" s="12" t="n">
        <v>21.2</v>
      </c>
      <c r="S5974" s="12" t="inlineStr">
        <is>
          <t>Tray</t>
        </is>
      </c>
      <c r="T5974" s="16" t="n">
        <v>0</v>
      </c>
      <c r="U5974" s="16" t="n">
        <v>32</v>
      </c>
      <c r="V5974" s="16">
        <f>ROUNDUP((T5974+U5974+2*'Read Me'!$B$13)*(1+'Read Me'!$B$12),-1)</f>
        <v/>
      </c>
      <c r="W5974" s="16">
        <f>V5974*N5974*O5974</f>
        <v/>
      </c>
      <c r="X5974" s="12">
        <f>IF(LEFT(I5974,2)="MV",2*N5974*IF(L5974="1/C",O5974,1),0)</f>
        <v/>
      </c>
      <c r="Y5974" s="12">
        <f>IF(OR(LEFT(K5974,4)="LVAX",LEFT(K5974,6)="MV15AX",LEFT(K5974,4)="CTAX",LEFT(K5974,2)="W|"),2*N5974*O5974,0)</f>
        <v/>
      </c>
      <c r="Z5974" s="12" t="inlineStr">
        <is>
          <t>VD 0.3 %</t>
        </is>
      </c>
      <c r="AA5974" s="12">
        <f>N5974*O5974</f>
        <v/>
      </c>
    </row>
    <row r="5975">
      <c r="A5975" s="12" t="inlineStr">
        <is>
          <t>K-P-0042</t>
        </is>
      </c>
      <c r="B5975" s="12" t="inlineStr">
        <is>
          <t>K</t>
        </is>
      </c>
      <c r="C5975" s="12" t="inlineStr">
        <is>
          <t>Fuel supply (adjacent market)</t>
        </is>
      </c>
      <c r="D5975" s="12" t="inlineStr">
        <is>
          <t>Motor 1 of 1, 15 kW</t>
        </is>
      </c>
      <c r="E5975" s="12" t="inlineStr"/>
      <c r="F5975" s="12" t="inlineStr">
        <is>
          <t>LNG 17: LNG e-house (13.8 kV / 480 V)</t>
        </is>
      </c>
      <c r="G5975" s="12" t="inlineStr"/>
      <c r="H5975" s="12" t="inlineStr">
        <is>
          <t>LNG 18: vent stack</t>
        </is>
      </c>
      <c r="I5975" s="12" t="inlineStr">
        <is>
          <t>LV 600 V</t>
        </is>
      </c>
      <c r="J5975" s="12" t="inlineStr">
        <is>
          <t>ARMOR-X MC-HL 600 V 3/C Cu XHHW-2 + ground, CWA, black PVC (Class I Div 2)</t>
        </is>
      </c>
      <c r="K5975" s="12" t="inlineStr">
        <is>
          <t>LVAX|3/C+G|10</t>
        </is>
      </c>
      <c r="L5975" s="12" t="inlineStr">
        <is>
          <t>3/C+G</t>
        </is>
      </c>
      <c r="M5975" s="12" t="inlineStr">
        <is>
          <t>10</t>
        </is>
      </c>
      <c r="N5975" s="12" t="n">
        <v>1</v>
      </c>
      <c r="O5975" s="12" t="n">
        <v>1</v>
      </c>
      <c r="P5975" s="12" t="n">
        <v>480</v>
      </c>
      <c r="Q5975" s="12" t="n">
        <v>15</v>
      </c>
      <c r="R5975" s="12" t="n">
        <v>21.2</v>
      </c>
      <c r="S5975" s="12" t="inlineStr">
        <is>
          <t>Duct bank</t>
        </is>
      </c>
      <c r="T5975" s="16" t="n">
        <v>25</v>
      </c>
      <c r="U5975" s="16" t="n">
        <v>117</v>
      </c>
      <c r="V5975" s="16">
        <f>ROUNDUP((T5975+U5975+2*'Read Me'!$B$13)*(1+'Read Me'!$B$12),-1)</f>
        <v/>
      </c>
      <c r="W5975" s="16">
        <f>V5975*N5975*O5975</f>
        <v/>
      </c>
      <c r="X5975" s="12">
        <f>IF(LEFT(I5975,2)="MV",2*N5975*IF(L5975="1/C",O5975,1),0)</f>
        <v/>
      </c>
      <c r="Y5975" s="12">
        <f>IF(OR(LEFT(K5975,4)="LVAX",LEFT(K5975,6)="MV15AX",LEFT(K5975,4)="CTAX",LEFT(K5975,2)="W|"),2*N5975*O5975,0)</f>
        <v/>
      </c>
      <c r="Z5975" s="12" t="inlineStr">
        <is>
          <t>VD 1.4 %</t>
        </is>
      </c>
      <c r="AA5975" s="12">
        <f>N5975*O5975</f>
        <v/>
      </c>
    </row>
    <row r="5976">
      <c r="A5976" s="12" t="inlineStr">
        <is>
          <t>K-P-0043</t>
        </is>
      </c>
      <c r="B5976" s="12" t="inlineStr">
        <is>
          <t>K</t>
        </is>
      </c>
      <c r="C5976" s="12" t="inlineStr">
        <is>
          <t>Fuel supply (adjacent market)</t>
        </is>
      </c>
      <c r="D5976" s="12" t="inlineStr">
        <is>
          <t>LV power feeder</t>
        </is>
      </c>
      <c r="E5976" s="12" t="inlineStr"/>
      <c r="F5976" s="12" t="inlineStr">
        <is>
          <t>LNG 17: LNG e-house (13.8 kV / 480 V)</t>
        </is>
      </c>
      <c r="G5976" s="12" t="inlineStr"/>
      <c r="H5976" s="12" t="inlineStr">
        <is>
          <t>LNG impoundment sump pump</t>
        </is>
      </c>
      <c r="I5976" s="12" t="inlineStr">
        <is>
          <t>LV 600 V</t>
        </is>
      </c>
      <c r="J5976" s="12" t="inlineStr">
        <is>
          <t>ARMOR-X MC-HL 600 V 3/C Cu XHHW-2 + ground, CWA, black PVC (Class I Div 2)</t>
        </is>
      </c>
      <c r="K5976" s="12" t="inlineStr">
        <is>
          <t>LVAX|3/C+G|8</t>
        </is>
      </c>
      <c r="L5976" s="12" t="inlineStr">
        <is>
          <t>3/C+G</t>
        </is>
      </c>
      <c r="M5976" s="12" t="inlineStr">
        <is>
          <t>8</t>
        </is>
      </c>
      <c r="N5976" s="12" t="n">
        <v>1</v>
      </c>
      <c r="O5976" s="12" t="n">
        <v>1</v>
      </c>
      <c r="P5976" s="12" t="n">
        <v>480</v>
      </c>
      <c r="Q5976" s="12" t="n">
        <v>15</v>
      </c>
      <c r="R5976" s="12" t="n">
        <v>21.2</v>
      </c>
      <c r="S5976" s="12" t="inlineStr">
        <is>
          <t>Duct bank</t>
        </is>
      </c>
      <c r="T5976" s="16" t="n">
        <v>334</v>
      </c>
      <c r="U5976" s="16" t="n">
        <v>32</v>
      </c>
      <c r="V5976" s="16">
        <f>ROUNDUP((T5976+U5976+2*'Read Me'!$B$13)*(1+'Read Me'!$B$12),-1)</f>
        <v/>
      </c>
      <c r="W5976" s="16">
        <f>V5976*N5976*O5976</f>
        <v/>
      </c>
      <c r="X5976" s="12">
        <f>IF(LEFT(I5976,2)="MV",2*N5976*IF(L5976="1/C",O5976,1),0)</f>
        <v/>
      </c>
      <c r="Y5976" s="12">
        <f>IF(OR(LEFT(K5976,4)="LVAX",LEFT(K5976,6)="MV15AX",LEFT(K5976,4)="CTAX",LEFT(K5976,2)="W|"),2*N5976*O5976,0)</f>
        <v/>
      </c>
      <c r="Z5976" s="12" t="inlineStr">
        <is>
          <t>VD 2.4 %</t>
        </is>
      </c>
      <c r="AA5976" s="12">
        <f>N5976*O5976</f>
        <v/>
      </c>
    </row>
    <row r="5977">
      <c r="A5977" s="12" t="inlineStr">
        <is>
          <t>K-P-0044</t>
        </is>
      </c>
      <c r="B5977" s="12" t="inlineStr">
        <is>
          <t>K</t>
        </is>
      </c>
      <c r="C5977" s="12" t="inlineStr">
        <is>
          <t>Fuel supply (adjacent market)</t>
        </is>
      </c>
      <c r="D5977" s="12" t="inlineStr">
        <is>
          <t>LV power feeder</t>
        </is>
      </c>
      <c r="E5977" s="12" t="inlineStr"/>
      <c r="F5977" s="12" t="inlineStr">
        <is>
          <t>LNG 17: LNG e-house (13.8 kV / 480 V)</t>
        </is>
      </c>
      <c r="G5977" s="12" t="inlineStr"/>
      <c r="H5977" s="12" t="inlineStr">
        <is>
          <t>M&amp;R 2: insulating joint + ESD valve</t>
        </is>
      </c>
      <c r="I5977" s="12" t="inlineStr">
        <is>
          <t>LV 600 V</t>
        </is>
      </c>
      <c r="J5977" s="12" t="inlineStr">
        <is>
          <t>ARMOR-X MC-HL 600 V 3/C Cu XHHW-2 + ground, CWA, black PVC (Class I Div 2)</t>
        </is>
      </c>
      <c r="K5977" s="12" t="inlineStr">
        <is>
          <t>LVAX|3/C+G|6</t>
        </is>
      </c>
      <c r="L5977" s="12" t="inlineStr">
        <is>
          <t>3/C+G</t>
        </is>
      </c>
      <c r="M5977" s="12" t="inlineStr">
        <is>
          <t>6</t>
        </is>
      </c>
      <c r="N5977" s="12" t="n">
        <v>1</v>
      </c>
      <c r="O5977" s="12" t="n">
        <v>1</v>
      </c>
      <c r="P5977" s="12" t="n">
        <v>480</v>
      </c>
      <c r="Q5977" s="12" t="n">
        <v>10</v>
      </c>
      <c r="R5977" s="12" t="n">
        <v>14.2</v>
      </c>
      <c r="S5977" s="12" t="inlineStr">
        <is>
          <t>Duct bank</t>
        </is>
      </c>
      <c r="T5977" s="16" t="n">
        <v>758</v>
      </c>
      <c r="U5977" s="16" t="n">
        <v>32</v>
      </c>
      <c r="V5977" s="16">
        <f>ROUNDUP((T5977+U5977+2*'Read Me'!$B$13)*(1+'Read Me'!$B$12),-1)</f>
        <v/>
      </c>
      <c r="W5977" s="16">
        <f>V5977*N5977*O5977</f>
        <v/>
      </c>
      <c r="X5977" s="12">
        <f>IF(LEFT(I5977,2)="MV",2*N5977*IF(L5977="1/C",O5977,1),0)</f>
        <v/>
      </c>
      <c r="Y5977" s="12">
        <f>IF(OR(LEFT(K5977,4)="LVAX",LEFT(K5977,6)="MV15AX",LEFT(K5977,4)="CTAX",LEFT(K5977,2)="W|"),2*N5977*O5977,0)</f>
        <v/>
      </c>
      <c r="Z5977" s="12" t="inlineStr">
        <is>
          <t>VD 2.2 %</t>
        </is>
      </c>
      <c r="AA5977" s="12">
        <f>N5977*O5977</f>
        <v/>
      </c>
    </row>
    <row r="5978">
      <c r="A5978" s="12" t="inlineStr">
        <is>
          <t>K-P-0045</t>
        </is>
      </c>
      <c r="B5978" s="12" t="inlineStr">
        <is>
          <t>K</t>
        </is>
      </c>
      <c r="C5978" s="12" t="inlineStr">
        <is>
          <t>Fuel supply (adjacent market)</t>
        </is>
      </c>
      <c r="D5978" s="12" t="inlineStr">
        <is>
          <t>LV power feeder</t>
        </is>
      </c>
      <c r="E5978" s="12" t="inlineStr"/>
      <c r="F5978" s="12" t="inlineStr">
        <is>
          <t>LNG 17: LNG e-house (13.8 kV / 480 V)</t>
        </is>
      </c>
      <c r="G5978" s="12" t="inlineStr"/>
      <c r="H5978" s="12" t="inlineStr">
        <is>
          <t>M&amp;R 3: horizontal filter-separator</t>
        </is>
      </c>
      <c r="I5978" s="12" t="inlineStr">
        <is>
          <t>LV 600 V</t>
        </is>
      </c>
      <c r="J5978" s="12" t="inlineStr">
        <is>
          <t>ARMOR-X MC-HL 600 V 3/C Cu XHHW-2 + ground, CWA, black PVC (Class I Div 2)</t>
        </is>
      </c>
      <c r="K5978" s="12" t="inlineStr">
        <is>
          <t>LVAX|3/C+G|4</t>
        </is>
      </c>
      <c r="L5978" s="12" t="inlineStr">
        <is>
          <t>3/C+G</t>
        </is>
      </c>
      <c r="M5978" s="12" t="inlineStr">
        <is>
          <t>4</t>
        </is>
      </c>
      <c r="N5978" s="12" t="n">
        <v>1</v>
      </c>
      <c r="O5978" s="12" t="n">
        <v>1</v>
      </c>
      <c r="P5978" s="12" t="n">
        <v>480</v>
      </c>
      <c r="Q5978" s="12" t="n">
        <v>15</v>
      </c>
      <c r="R5978" s="12" t="n">
        <v>21.2</v>
      </c>
      <c r="S5978" s="12" t="inlineStr">
        <is>
          <t>Duct bank</t>
        </is>
      </c>
      <c r="T5978" s="16" t="n">
        <v>797</v>
      </c>
      <c r="U5978" s="16" t="n">
        <v>32</v>
      </c>
      <c r="V5978" s="16">
        <f>ROUNDUP((T5978+U5978+2*'Read Me'!$B$13)*(1+'Read Me'!$B$12),-1)</f>
        <v/>
      </c>
      <c r="W5978" s="16">
        <f>V5978*N5978*O5978</f>
        <v/>
      </c>
      <c r="X5978" s="12">
        <f>IF(LEFT(I5978,2)="MV",2*N5978*IF(L5978="1/C",O5978,1),0)</f>
        <v/>
      </c>
      <c r="Y5978" s="12">
        <f>IF(OR(LEFT(K5978,4)="LVAX",LEFT(K5978,6)="MV15AX",LEFT(K5978,4)="CTAX",LEFT(K5978,2)="W|"),2*N5978*O5978,0)</f>
        <v/>
      </c>
      <c r="Z5978" s="12" t="inlineStr">
        <is>
          <t>VD 2.2 %</t>
        </is>
      </c>
      <c r="AA5978" s="12">
        <f>N5978*O5978</f>
        <v/>
      </c>
    </row>
    <row r="5979">
      <c r="A5979" s="12" t="inlineStr">
        <is>
          <t>K-P-0046</t>
        </is>
      </c>
      <c r="B5979" s="12" t="inlineStr">
        <is>
          <t>K</t>
        </is>
      </c>
      <c r="C5979" s="12" t="inlineStr">
        <is>
          <t>Fuel supply (adjacent market)</t>
        </is>
      </c>
      <c r="D5979" s="12" t="inlineStr">
        <is>
          <t>LV power feeder</t>
        </is>
      </c>
      <c r="E5979" s="12" t="inlineStr"/>
      <c r="F5979" s="12" t="inlineStr">
        <is>
          <t>LNG 17: LNG e-house (13.8 kV / 480 V)</t>
        </is>
      </c>
      <c r="G5979" s="12" t="inlineStr"/>
      <c r="H5979" s="12" t="inlineStr">
        <is>
          <t>M&amp;R 4: line heater 1 (water bath)</t>
        </is>
      </c>
      <c r="I5979" s="12" t="inlineStr">
        <is>
          <t>LV 600 V</t>
        </is>
      </c>
      <c r="J5979" s="12" t="inlineStr">
        <is>
          <t>ARMOR-X MC-HL 600 V 3/C Cu XHHW-2 + ground, CWA, black PVC (Class I Div 2)</t>
        </is>
      </c>
      <c r="K5979" s="12" t="inlineStr">
        <is>
          <t>LVAX|3/C+G|6</t>
        </is>
      </c>
      <c r="L5979" s="12" t="inlineStr">
        <is>
          <t>3/C+G</t>
        </is>
      </c>
      <c r="M5979" s="12" t="inlineStr">
        <is>
          <t>6</t>
        </is>
      </c>
      <c r="N5979" s="12" t="n">
        <v>1</v>
      </c>
      <c r="O5979" s="12" t="n">
        <v>1</v>
      </c>
      <c r="P5979" s="12" t="n">
        <v>480</v>
      </c>
      <c r="Q5979" s="12" t="n">
        <v>15</v>
      </c>
      <c r="R5979" s="12" t="n">
        <v>21.2</v>
      </c>
      <c r="S5979" s="12" t="inlineStr">
        <is>
          <t>Duct bank</t>
        </is>
      </c>
      <c r="T5979" s="16" t="n">
        <v>593</v>
      </c>
      <c r="U5979" s="16" t="n">
        <v>32</v>
      </c>
      <c r="V5979" s="16">
        <f>ROUNDUP((T5979+U5979+2*'Read Me'!$B$13)*(1+'Read Me'!$B$12),-1)</f>
        <v/>
      </c>
      <c r="W5979" s="16">
        <f>V5979*N5979*O5979</f>
        <v/>
      </c>
      <c r="X5979" s="12">
        <f>IF(LEFT(I5979,2)="MV",2*N5979*IF(L5979="1/C",O5979,1),0)</f>
        <v/>
      </c>
      <c r="Y5979" s="12">
        <f>IF(OR(LEFT(K5979,4)="LVAX",LEFT(K5979,6)="MV15AX",LEFT(K5979,4)="CTAX",LEFT(K5979,2)="W|"),2*N5979*O5979,0)</f>
        <v/>
      </c>
      <c r="Z5979" s="12" t="inlineStr">
        <is>
          <t>VD 2.6 %</t>
        </is>
      </c>
      <c r="AA5979" s="12">
        <f>N5979*O5979</f>
        <v/>
      </c>
    </row>
    <row r="5980">
      <c r="A5980" s="12" t="inlineStr">
        <is>
          <t>K-P-0047</t>
        </is>
      </c>
      <c r="B5980" s="12" t="inlineStr">
        <is>
          <t>K</t>
        </is>
      </c>
      <c r="C5980" s="12" t="inlineStr">
        <is>
          <t>Fuel supply (adjacent market)</t>
        </is>
      </c>
      <c r="D5980" s="12" t="inlineStr">
        <is>
          <t>LV power feeder</t>
        </is>
      </c>
      <c r="E5980" s="12" t="inlineStr"/>
      <c r="F5980" s="12" t="inlineStr">
        <is>
          <t>LNG 17: LNG e-house (13.8 kV / 480 V)</t>
        </is>
      </c>
      <c r="G5980" s="12" t="inlineStr"/>
      <c r="H5980" s="12" t="inlineStr">
        <is>
          <t>M&amp;R 4: line heater 2 (water bath)</t>
        </is>
      </c>
      <c r="I5980" s="12" t="inlineStr">
        <is>
          <t>LV 600 V</t>
        </is>
      </c>
      <c r="J5980" s="12" t="inlineStr">
        <is>
          <t>ARMOR-X MC-HL 600 V 3/C Cu XHHW-2 + ground, CWA, black PVC (Class I Div 2)</t>
        </is>
      </c>
      <c r="K5980" s="12" t="inlineStr">
        <is>
          <t>LVAX|3/C+G|6</t>
        </is>
      </c>
      <c r="L5980" s="12" t="inlineStr">
        <is>
          <t>3/C+G</t>
        </is>
      </c>
      <c r="M5980" s="12" t="inlineStr">
        <is>
          <t>6</t>
        </is>
      </c>
      <c r="N5980" s="12" t="n">
        <v>1</v>
      </c>
      <c r="O5980" s="12" t="n">
        <v>1</v>
      </c>
      <c r="P5980" s="12" t="n">
        <v>480</v>
      </c>
      <c r="Q5980" s="12" t="n">
        <v>15</v>
      </c>
      <c r="R5980" s="12" t="n">
        <v>21.2</v>
      </c>
      <c r="S5980" s="12" t="inlineStr">
        <is>
          <t>Duct bank</t>
        </is>
      </c>
      <c r="T5980" s="16" t="n">
        <v>593</v>
      </c>
      <c r="U5980" s="16" t="n">
        <v>50</v>
      </c>
      <c r="V5980" s="16">
        <f>ROUNDUP((T5980+U5980+2*'Read Me'!$B$13)*(1+'Read Me'!$B$12),-1)</f>
        <v/>
      </c>
      <c r="W5980" s="16">
        <f>V5980*N5980*O5980</f>
        <v/>
      </c>
      <c r="X5980" s="12">
        <f>IF(LEFT(I5980,2)="MV",2*N5980*IF(L5980="1/C",O5980,1),0)</f>
        <v/>
      </c>
      <c r="Y5980" s="12">
        <f>IF(OR(LEFT(K5980,4)="LVAX",LEFT(K5980,6)="MV15AX",LEFT(K5980,4)="CTAX",LEFT(K5980,2)="W|"),2*N5980*O5980,0)</f>
        <v/>
      </c>
      <c r="Z5980" s="12" t="inlineStr">
        <is>
          <t>VD 2.7 %</t>
        </is>
      </c>
      <c r="AA5980" s="12">
        <f>N5980*O5980</f>
        <v/>
      </c>
    </row>
    <row r="5981">
      <c r="A5981" s="12" t="inlineStr">
        <is>
          <t>K-P-0048</t>
        </is>
      </c>
      <c r="B5981" s="12" t="inlineStr">
        <is>
          <t>K</t>
        </is>
      </c>
      <c r="C5981" s="12" t="inlineStr">
        <is>
          <t>Fuel supply (adjacent market)</t>
        </is>
      </c>
      <c r="D5981" s="12" t="inlineStr">
        <is>
          <t>LV power feeder</t>
        </is>
      </c>
      <c r="E5981" s="12" t="inlineStr"/>
      <c r="F5981" s="12" t="inlineStr">
        <is>
          <t>LNG 17: LNG e-house (13.8 kV / 480 V)</t>
        </is>
      </c>
      <c r="G5981" s="12" t="inlineStr"/>
      <c r="H5981" s="12" t="inlineStr">
        <is>
          <t>M&amp;R 4: line heater 3 (water bath)</t>
        </is>
      </c>
      <c r="I5981" s="12" t="inlineStr">
        <is>
          <t>LV 600 V</t>
        </is>
      </c>
      <c r="J5981" s="12" t="inlineStr">
        <is>
          <t>ARMOR-X MC-HL 600 V 3/C Cu XHHW-2 + ground, CWA, black PVC (Class I Div 2)</t>
        </is>
      </c>
      <c r="K5981" s="12" t="inlineStr">
        <is>
          <t>LVAX|3/C+G|6</t>
        </is>
      </c>
      <c r="L5981" s="12" t="inlineStr">
        <is>
          <t>3/C+G</t>
        </is>
      </c>
      <c r="M5981" s="12" t="inlineStr">
        <is>
          <t>6</t>
        </is>
      </c>
      <c r="N5981" s="12" t="n">
        <v>1</v>
      </c>
      <c r="O5981" s="12" t="n">
        <v>1</v>
      </c>
      <c r="P5981" s="12" t="n">
        <v>480</v>
      </c>
      <c r="Q5981" s="12" t="n">
        <v>15</v>
      </c>
      <c r="R5981" s="12" t="n">
        <v>21.2</v>
      </c>
      <c r="S5981" s="12" t="inlineStr">
        <is>
          <t>Duct bank</t>
        </is>
      </c>
      <c r="T5981" s="16" t="n">
        <v>593</v>
      </c>
      <c r="U5981" s="16" t="n">
        <v>68</v>
      </c>
      <c r="V5981" s="16">
        <f>ROUNDUP((T5981+U5981+2*'Read Me'!$B$13)*(1+'Read Me'!$B$12),-1)</f>
        <v/>
      </c>
      <c r="W5981" s="16">
        <f>V5981*N5981*O5981</f>
        <v/>
      </c>
      <c r="X5981" s="12">
        <f>IF(LEFT(I5981,2)="MV",2*N5981*IF(L5981="1/C",O5981,1),0)</f>
        <v/>
      </c>
      <c r="Y5981" s="12">
        <f>IF(OR(LEFT(K5981,4)="LVAX",LEFT(K5981,6)="MV15AX",LEFT(K5981,4)="CTAX",LEFT(K5981,2)="W|"),2*N5981*O5981,0)</f>
        <v/>
      </c>
      <c r="Z5981" s="12" t="inlineStr">
        <is>
          <t>VD 2.7 %</t>
        </is>
      </c>
      <c r="AA5981" s="12">
        <f>N5981*O5981</f>
        <v/>
      </c>
    </row>
    <row r="5982">
      <c r="A5982" s="12" t="inlineStr">
        <is>
          <t>K-P-0049</t>
        </is>
      </c>
      <c r="B5982" s="12" t="inlineStr">
        <is>
          <t>K</t>
        </is>
      </c>
      <c r="C5982" s="12" t="inlineStr">
        <is>
          <t>Fuel supply (adjacent market)</t>
        </is>
      </c>
      <c r="D5982" s="12" t="inlineStr">
        <is>
          <t>LV panel / distribution feeder</t>
        </is>
      </c>
      <c r="E5982" s="12" t="inlineStr"/>
      <c r="F5982" s="12" t="inlineStr">
        <is>
          <t>LNG 17: LNG e-house (13.8 kV / 480 V)</t>
        </is>
      </c>
      <c r="G5982" s="12" t="inlineStr"/>
      <c r="H5982" s="12" t="inlineStr">
        <is>
          <t>M&amp;R 6: regulation / flow control building</t>
        </is>
      </c>
      <c r="I5982" s="12" t="inlineStr">
        <is>
          <t>LV 600 V</t>
        </is>
      </c>
      <c r="J5982" s="12" t="inlineStr">
        <is>
          <t>ARMOR-X MC-HL 600 V 3/C Cu XHHW-2 + ground, CWA, black PVC (Class I Div 2)</t>
        </is>
      </c>
      <c r="K5982" s="12" t="inlineStr">
        <is>
          <t>LVAX|3/C+G|8</t>
        </is>
      </c>
      <c r="L5982" s="12" t="inlineStr">
        <is>
          <t>3/C+G</t>
        </is>
      </c>
      <c r="M5982" s="12" t="inlineStr">
        <is>
          <t>8</t>
        </is>
      </c>
      <c r="N5982" s="12" t="n">
        <v>1</v>
      </c>
      <c r="O5982" s="12" t="n">
        <v>1</v>
      </c>
      <c r="P5982" s="12" t="n">
        <v>480</v>
      </c>
      <c r="Q5982" s="12" t="n">
        <v>10</v>
      </c>
      <c r="R5982" s="12" t="n">
        <v>14.2</v>
      </c>
      <c r="S5982" s="12" t="inlineStr">
        <is>
          <t>Duct bank</t>
        </is>
      </c>
      <c r="T5982" s="16" t="n">
        <v>470</v>
      </c>
      <c r="U5982" s="16" t="n">
        <v>70</v>
      </c>
      <c r="V5982" s="16">
        <f>ROUNDUP((T5982+U5982+2*'Read Me'!$B$13)*(1+'Read Me'!$B$12),-1)</f>
        <v/>
      </c>
      <c r="W5982" s="16">
        <f>V5982*N5982*O5982</f>
        <v/>
      </c>
      <c r="X5982" s="12">
        <f>IF(LEFT(I5982,2)="MV",2*N5982*IF(L5982="1/C",O5982,1),0)</f>
        <v/>
      </c>
      <c r="Y5982" s="12">
        <f>IF(OR(LEFT(K5982,4)="LVAX",LEFT(K5982,6)="MV15AX",LEFT(K5982,4)="CTAX",LEFT(K5982,2)="W|"),2*N5982*O5982,0)</f>
        <v/>
      </c>
      <c r="Z5982" s="12" t="inlineStr">
        <is>
          <t>VD 2.3 %</t>
        </is>
      </c>
      <c r="AA5982" s="12">
        <f>N5982*O5982</f>
        <v/>
      </c>
    </row>
    <row r="5983">
      <c r="A5983" s="12" t="inlineStr">
        <is>
          <t>K-P-0050</t>
        </is>
      </c>
      <c r="B5983" s="12" t="inlineStr">
        <is>
          <t>K</t>
        </is>
      </c>
      <c r="C5983" s="12" t="inlineStr">
        <is>
          <t>Fuel supply (adjacent market)</t>
        </is>
      </c>
      <c r="D5983" s="12" t="inlineStr">
        <is>
          <t>LV panel / distribution feeder</t>
        </is>
      </c>
      <c r="E5983" s="12" t="inlineStr"/>
      <c r="F5983" s="12" t="inlineStr">
        <is>
          <t>LNG 17: LNG e-house (13.8 kV / 480 V)</t>
        </is>
      </c>
      <c r="G5983" s="12" t="inlineStr"/>
      <c r="H5983" s="12" t="inlineStr">
        <is>
          <t>M&amp;R 7: gas quality + measurement building</t>
        </is>
      </c>
      <c r="I5983" s="12" t="inlineStr">
        <is>
          <t>LV 600 V</t>
        </is>
      </c>
      <c r="J5983" s="12" t="inlineStr">
        <is>
          <t>ARMOR-X MC-HL 600 V 3/C Cu XHHW-2 + ground, CWA, black PVC (Class I Div 2)</t>
        </is>
      </c>
      <c r="K5983" s="12" t="inlineStr">
        <is>
          <t>LVAX|3/C+G|2</t>
        </is>
      </c>
      <c r="L5983" s="12" t="inlineStr">
        <is>
          <t>3/C+G</t>
        </is>
      </c>
      <c r="M5983" s="12" t="inlineStr">
        <is>
          <t>2</t>
        </is>
      </c>
      <c r="N5983" s="12" t="n">
        <v>1</v>
      </c>
      <c r="O5983" s="12" t="n">
        <v>1</v>
      </c>
      <c r="P5983" s="12" t="n">
        <v>480</v>
      </c>
      <c r="Q5983" s="12" t="n">
        <v>30</v>
      </c>
      <c r="R5983" s="12" t="n">
        <v>42.5</v>
      </c>
      <c r="S5983" s="12" t="inlineStr">
        <is>
          <t>Duct bank</t>
        </is>
      </c>
      <c r="T5983" s="16" t="n">
        <v>616</v>
      </c>
      <c r="U5983" s="16" t="n">
        <v>52</v>
      </c>
      <c r="V5983" s="16">
        <f>ROUNDUP((T5983+U5983+2*'Read Me'!$B$13)*(1+'Read Me'!$B$12),-1)</f>
        <v/>
      </c>
      <c r="W5983" s="16">
        <f>V5983*N5983*O5983</f>
        <v/>
      </c>
      <c r="X5983" s="12">
        <f>IF(LEFT(I5983,2)="MV",2*N5983*IF(L5983="1/C",O5983,1),0)</f>
        <v/>
      </c>
      <c r="Y5983" s="12">
        <f>IF(OR(LEFT(K5983,4)="LVAX",LEFT(K5983,6)="MV15AX",LEFT(K5983,4)="CTAX",LEFT(K5983,2)="W|"),2*N5983*O5983,0)</f>
        <v/>
      </c>
      <c r="Z5983" s="12" t="inlineStr">
        <is>
          <t>VD 2.2 %</t>
        </is>
      </c>
      <c r="AA5983" s="12">
        <f>N5983*O5983</f>
        <v/>
      </c>
    </row>
    <row r="5984">
      <c r="A5984" s="12" t="inlineStr">
        <is>
          <t>K-P-0051</t>
        </is>
      </c>
      <c r="B5984" s="12" t="inlineStr">
        <is>
          <t>K</t>
        </is>
      </c>
      <c r="C5984" s="12" t="inlineStr">
        <is>
          <t>Fuel supply (adjacent market)</t>
        </is>
      </c>
      <c r="D5984" s="12" t="inlineStr">
        <is>
          <t>LV power feeder</t>
        </is>
      </c>
      <c r="E5984" s="12" t="inlineStr"/>
      <c r="F5984" s="12" t="inlineStr">
        <is>
          <t>LNG 17: LNG e-house (13.8 kV / 480 V)</t>
        </is>
      </c>
      <c r="G5984" s="12" t="inlineStr"/>
      <c r="H5984" s="12" t="inlineStr">
        <is>
          <t>M&amp;R 8: condensate tank</t>
        </is>
      </c>
      <c r="I5984" s="12" t="inlineStr">
        <is>
          <t>LV 600 V</t>
        </is>
      </c>
      <c r="J5984" s="12" t="inlineStr">
        <is>
          <t>ARMOR-X MC-HL 600 V 3/C Cu XHHW-2 + ground, CWA, black PVC (Class I Div 2)</t>
        </is>
      </c>
      <c r="K5984" s="12" t="inlineStr">
        <is>
          <t>LVAX|3/C+G|8</t>
        </is>
      </c>
      <c r="L5984" s="12" t="inlineStr">
        <is>
          <t>3/C+G</t>
        </is>
      </c>
      <c r="M5984" s="12" t="inlineStr">
        <is>
          <t>8</t>
        </is>
      </c>
      <c r="N5984" s="12" t="n">
        <v>1</v>
      </c>
      <c r="O5984" s="12" t="n">
        <v>1</v>
      </c>
      <c r="P5984" s="12" t="n">
        <v>480</v>
      </c>
      <c r="Q5984" s="12" t="n">
        <v>10</v>
      </c>
      <c r="R5984" s="12" t="n">
        <v>14.2</v>
      </c>
      <c r="S5984" s="12" t="inlineStr">
        <is>
          <t>Duct bank</t>
        </is>
      </c>
      <c r="T5984" s="16" t="n">
        <v>530</v>
      </c>
      <c r="U5984" s="16" t="n">
        <v>87</v>
      </c>
      <c r="V5984" s="16">
        <f>ROUNDUP((T5984+U5984+2*'Read Me'!$B$13)*(1+'Read Me'!$B$12),-1)</f>
        <v/>
      </c>
      <c r="W5984" s="16">
        <f>V5984*N5984*O5984</f>
        <v/>
      </c>
      <c r="X5984" s="12">
        <f>IF(LEFT(I5984,2)="MV",2*N5984*IF(L5984="1/C",O5984,1),0)</f>
        <v/>
      </c>
      <c r="Y5984" s="12">
        <f>IF(OR(LEFT(K5984,4)="LVAX",LEFT(K5984,6)="MV15AX",LEFT(K5984,4)="CTAX",LEFT(K5984,2)="W|"),2*N5984*O5984,0)</f>
        <v/>
      </c>
      <c r="Z5984" s="12" t="inlineStr">
        <is>
          <t>VD 2.6 %</t>
        </is>
      </c>
      <c r="AA5984" s="12">
        <f>N5984*O5984</f>
        <v/>
      </c>
    </row>
    <row r="5985">
      <c r="A5985" s="12" t="inlineStr">
        <is>
          <t>K-P-0052</t>
        </is>
      </c>
      <c r="B5985" s="12" t="inlineStr">
        <is>
          <t>K</t>
        </is>
      </c>
      <c r="C5985" s="12" t="inlineStr">
        <is>
          <t>Fuel supply (adjacent market)</t>
        </is>
      </c>
      <c r="D5985" s="12" t="inlineStr">
        <is>
          <t>LV power feeder</t>
        </is>
      </c>
      <c r="E5985" s="12" t="inlineStr"/>
      <c r="F5985" s="12" t="inlineStr">
        <is>
          <t>LNG 17: LNG e-house (13.8 kV / 480 V)</t>
        </is>
      </c>
      <c r="G5985" s="12" t="inlineStr"/>
      <c r="H5985" s="12" t="inlineStr">
        <is>
          <t>M&amp;R 9: service panel + UPS, SCADA RTU, CP</t>
        </is>
      </c>
      <c r="I5985" s="12" t="inlineStr">
        <is>
          <t>LV 600 V</t>
        </is>
      </c>
      <c r="J5985" s="12" t="inlineStr">
        <is>
          <t>ARMOR-X MC-HL 600 V 3/C Cu XHHW-2 + ground, CWA, black PVC (Class I Div 2)</t>
        </is>
      </c>
      <c r="K5985" s="12" t="inlineStr">
        <is>
          <t>LVAX|3/C+G|6</t>
        </is>
      </c>
      <c r="L5985" s="12" t="inlineStr">
        <is>
          <t>3/C+G</t>
        </is>
      </c>
      <c r="M5985" s="12" t="inlineStr">
        <is>
          <t>6</t>
        </is>
      </c>
      <c r="N5985" s="12" t="n">
        <v>1</v>
      </c>
      <c r="O5985" s="12" t="n">
        <v>1</v>
      </c>
      <c r="P5985" s="12" t="n">
        <v>480</v>
      </c>
      <c r="Q5985" s="12" t="n">
        <v>15</v>
      </c>
      <c r="R5985" s="12" t="n">
        <v>21.2</v>
      </c>
      <c r="S5985" s="12" t="inlineStr">
        <is>
          <t>Duct bank</t>
        </is>
      </c>
      <c r="T5985" s="16" t="n">
        <v>466</v>
      </c>
      <c r="U5985" s="16" t="n">
        <v>32</v>
      </c>
      <c r="V5985" s="16">
        <f>ROUNDUP((T5985+U5985+2*'Read Me'!$B$13)*(1+'Read Me'!$B$12),-1)</f>
        <v/>
      </c>
      <c r="W5985" s="16">
        <f>V5985*N5985*O5985</f>
        <v/>
      </c>
      <c r="X5985" s="12">
        <f>IF(LEFT(I5985,2)="MV",2*N5985*IF(L5985="1/C",O5985,1),0)</f>
        <v/>
      </c>
      <c r="Y5985" s="12">
        <f>IF(OR(LEFT(K5985,4)="LVAX",LEFT(K5985,6)="MV15AX",LEFT(K5985,4)="CTAX",LEFT(K5985,2)="W|"),2*N5985*O5985,0)</f>
        <v/>
      </c>
      <c r="Z5985" s="12" t="inlineStr">
        <is>
          <t>VD 2.1 %</t>
        </is>
      </c>
      <c r="AA5985" s="12">
        <f>N5985*O5985</f>
        <v/>
      </c>
    </row>
    <row r="5986">
      <c r="A5986" s="12" t="inlineStr">
        <is>
          <t>K-P-0053</t>
        </is>
      </c>
      <c r="B5986" s="12" t="inlineStr">
        <is>
          <t>K</t>
        </is>
      </c>
      <c r="C5986" s="12" t="inlineStr">
        <is>
          <t>Fuel supply (adjacent market)</t>
        </is>
      </c>
      <c r="D5986" s="12" t="inlineStr">
        <is>
          <t>LV power feeder</t>
        </is>
      </c>
      <c r="E5986" s="12" t="inlineStr"/>
      <c r="F5986" s="12" t="inlineStr">
        <is>
          <t>LNG 17: LNG e-house (13.8 kV / 480 V)</t>
        </is>
      </c>
      <c r="G5986" s="12" t="inlineStr"/>
      <c r="H5986" s="12" t="inlineStr">
        <is>
          <t>M&amp;R CP test station (as drawn)</t>
        </is>
      </c>
      <c r="I5986" s="12" t="inlineStr">
        <is>
          <t>LV 600 V</t>
        </is>
      </c>
      <c r="J5986" s="12" t="inlineStr">
        <is>
          <t>ARMOR-X MC-HL 600 V 3/C Cu XHHW-2 + ground, CWA, black PVC (Class I Div 2)</t>
        </is>
      </c>
      <c r="K5986" s="12" t="inlineStr">
        <is>
          <t>LVAX|3/C+G|6</t>
        </is>
      </c>
      <c r="L5986" s="12" t="inlineStr">
        <is>
          <t>3/C+G</t>
        </is>
      </c>
      <c r="M5986" s="12" t="inlineStr">
        <is>
          <t>6</t>
        </is>
      </c>
      <c r="N5986" s="12" t="n">
        <v>1</v>
      </c>
      <c r="O5986" s="12" t="n">
        <v>1</v>
      </c>
      <c r="P5986" s="12" t="n">
        <v>480</v>
      </c>
      <c r="Q5986" s="12" t="n">
        <v>15</v>
      </c>
      <c r="R5986" s="12" t="n">
        <v>21.2</v>
      </c>
      <c r="S5986" s="12" t="inlineStr">
        <is>
          <t>Duct bank</t>
        </is>
      </c>
      <c r="T5986" s="16" t="n">
        <v>441</v>
      </c>
      <c r="U5986" s="16" t="n">
        <v>42</v>
      </c>
      <c r="V5986" s="16">
        <f>ROUNDUP((T5986+U5986+2*'Read Me'!$B$13)*(1+'Read Me'!$B$12),-1)</f>
        <v/>
      </c>
      <c r="W5986" s="16">
        <f>V5986*N5986*O5986</f>
        <v/>
      </c>
      <c r="X5986" s="12">
        <f>IF(LEFT(I5986,2)="MV",2*N5986*IF(L5986="1/C",O5986,1),0)</f>
        <v/>
      </c>
      <c r="Y5986" s="12">
        <f>IF(OR(LEFT(K5986,4)="LVAX",LEFT(K5986,6)="MV15AX",LEFT(K5986,4)="CTAX",LEFT(K5986,2)="W|"),2*N5986*O5986,0)</f>
        <v/>
      </c>
      <c r="Z5986" s="12" t="inlineStr">
        <is>
          <t>VD 2.0 %</t>
        </is>
      </c>
      <c r="AA5986" s="12">
        <f>N5986*O5986</f>
        <v/>
      </c>
    </row>
    <row r="5987">
      <c r="A5987" s="12" t="inlineStr">
        <is>
          <t>K-P-0054</t>
        </is>
      </c>
      <c r="B5987" s="12" t="inlineStr">
        <is>
          <t>K</t>
        </is>
      </c>
      <c r="C5987" s="12" t="inlineStr">
        <is>
          <t>Fuel supply (adjacent market)</t>
        </is>
      </c>
      <c r="D5987" s="12" t="inlineStr">
        <is>
          <t>LV power feeder</t>
        </is>
      </c>
      <c r="E5987" s="12" t="inlineStr"/>
      <c r="F5987" s="12" t="inlineStr">
        <is>
          <t>LNG 17: LNG e-house (13.8 kV / 480 V)</t>
        </is>
      </c>
      <c r="G5987" s="12" t="inlineStr"/>
      <c r="H5987" s="12" t="inlineStr">
        <is>
          <t>M&amp;R SCADA antenna mast base (as drawn)</t>
        </is>
      </c>
      <c r="I5987" s="12" t="inlineStr">
        <is>
          <t>LV 600 V</t>
        </is>
      </c>
      <c r="J5987" s="12" t="inlineStr">
        <is>
          <t>ARMOR-X MC-HL 600 V 3/C Cu XHHW-2 + ground, CWA, black PVC (Class I Div 2)</t>
        </is>
      </c>
      <c r="K5987" s="12" t="inlineStr">
        <is>
          <t>LVAX|3/C+G|8</t>
        </is>
      </c>
      <c r="L5987" s="12" t="inlineStr">
        <is>
          <t>3/C+G</t>
        </is>
      </c>
      <c r="M5987" s="12" t="inlineStr">
        <is>
          <t>8</t>
        </is>
      </c>
      <c r="N5987" s="12" t="n">
        <v>1</v>
      </c>
      <c r="O5987" s="12" t="n">
        <v>1</v>
      </c>
      <c r="P5987" s="12" t="n">
        <v>480</v>
      </c>
      <c r="Q5987" s="12" t="n">
        <v>15</v>
      </c>
      <c r="R5987" s="12" t="n">
        <v>21.2</v>
      </c>
      <c r="S5987" s="12" t="inlineStr">
        <is>
          <t>Duct bank</t>
        </is>
      </c>
      <c r="T5987" s="16" t="n">
        <v>433</v>
      </c>
      <c r="U5987" s="16" t="n">
        <v>32</v>
      </c>
      <c r="V5987" s="16">
        <f>ROUNDUP((T5987+U5987+2*'Read Me'!$B$13)*(1+'Read Me'!$B$12),-1)</f>
        <v/>
      </c>
      <c r="W5987" s="16">
        <f>V5987*N5987*O5987</f>
        <v/>
      </c>
      <c r="X5987" s="12">
        <f>IF(LEFT(I5987,2)="MV",2*N5987*IF(L5987="1/C",O5987,1),0)</f>
        <v/>
      </c>
      <c r="Y5987" s="12">
        <f>IF(OR(LEFT(K5987,4)="LVAX",LEFT(K5987,6)="MV15AX",LEFT(K5987,4)="CTAX",LEFT(K5987,2)="W|"),2*N5987*O5987,0)</f>
        <v/>
      </c>
      <c r="Z5987" s="12" t="inlineStr">
        <is>
          <t>VD 3.0 %</t>
        </is>
      </c>
      <c r="AA5987" s="12">
        <f>N5987*O5987</f>
        <v/>
      </c>
    </row>
    <row r="5988">
      <c r="A5988" s="12" t="inlineStr">
        <is>
          <t>K-MV-0001</t>
        </is>
      </c>
      <c r="B5988" s="12" t="inlineStr">
        <is>
          <t>K</t>
        </is>
      </c>
      <c r="C5988" s="12" t="inlineStr">
        <is>
          <t>Fuel supply (adjacent market)</t>
        </is>
      </c>
      <c r="D5988" s="12" t="inlineStr">
        <is>
          <t>H2 13.8 kV e-house (electrolyzers)</t>
        </is>
      </c>
      <c r="E5988" s="12" t="inlineStr">
        <is>
          <t>SWGR-13.8-3</t>
        </is>
      </c>
      <c r="F5988" s="12" t="inlineStr">
        <is>
          <t>R1 SWGR-13.8-3 (11 x 36 in cubicles, 15 kV metal-clad)</t>
        </is>
      </c>
      <c r="G5988" s="12" t="inlineStr"/>
      <c r="H5988" s="12" t="inlineStr">
        <is>
          <t>H2 20: 13.8 kV e-house</t>
        </is>
      </c>
      <c r="I5988" s="12" t="inlineStr">
        <is>
          <t>MV 15 kV</t>
        </is>
      </c>
      <c r="J5988" s="12" t="inlineStr">
        <is>
          <t>MV-105 15 kV 1/C Cu, EPR 133%, Cu tape shield, PVC jacket (triplexed)</t>
        </is>
      </c>
      <c r="K5988" s="12" t="inlineStr">
        <is>
          <t>MV15|1/C|750</t>
        </is>
      </c>
      <c r="L5988" s="12" t="inlineStr">
        <is>
          <t>1/C</t>
        </is>
      </c>
      <c r="M5988" s="12" t="inlineStr">
        <is>
          <t>750 kcmil</t>
        </is>
      </c>
      <c r="N5988" s="12" t="n">
        <v>2</v>
      </c>
      <c r="O5988" s="12" t="n">
        <v>3</v>
      </c>
      <c r="P5988" s="12" t="n">
        <v>13800</v>
      </c>
      <c r="Q5988" s="12" t="n">
        <v>20000</v>
      </c>
      <c r="R5988" s="12" t="n">
        <v>837</v>
      </c>
      <c r="S5988" s="12" t="inlineStr">
        <is>
          <t>HV duct bank</t>
        </is>
      </c>
      <c r="T5988" s="16" t="n">
        <v>4013</v>
      </c>
      <c r="U5988" s="16" t="n">
        <v>128</v>
      </c>
      <c r="V5988" s="16">
        <f>ROUNDUP((T5988+U5988+2*'Read Me'!$B$13)*(1+'Read Me'!$B$12),-1)</f>
        <v/>
      </c>
      <c r="W5988" s="16">
        <f>V5988*N5988*O5988</f>
        <v/>
      </c>
      <c r="X5988" s="12">
        <f>IF(LEFT(I5988,2)="MV",2*N5988*IF(L5988="1/C",O5988,1),0)</f>
        <v/>
      </c>
      <c r="Y5988" s="12">
        <f>IF(OR(LEFT(K5988,4)="LVAX",LEFT(K5988,6)="MV15AX",LEFT(K5988,4)="CTAX",LEFT(K5988,2)="W|"),2*N5988*O5988,0)</f>
        <v/>
      </c>
      <c r="Z5988" s="12" t="inlineStr"/>
      <c r="AA5988" s="12">
        <f>N5988*O5988</f>
        <v/>
      </c>
    </row>
    <row r="5989">
      <c r="A5989" s="12" t="inlineStr">
        <is>
          <t>K-MV-0002</t>
        </is>
      </c>
      <c r="B5989" s="12" t="inlineStr">
        <is>
          <t>K</t>
        </is>
      </c>
      <c r="C5989" s="12" t="inlineStr">
        <is>
          <t>Fuel supply (adjacent market)</t>
        </is>
      </c>
      <c r="D5989" s="12" t="inlineStr">
        <is>
          <t>LNG e-house</t>
        </is>
      </c>
      <c r="E5989" s="12" t="inlineStr">
        <is>
          <t>SWGR-13.8-3</t>
        </is>
      </c>
      <c r="F5989" s="12" t="inlineStr">
        <is>
          <t>R1 SWGR-13.8-3 (11 x 36 in cubicles, 15 kV metal-clad)</t>
        </is>
      </c>
      <c r="G5989" s="12" t="inlineStr"/>
      <c r="H5989" s="12" t="inlineStr">
        <is>
          <t>LNG 17: LNG e-house (13.8 kV / 480 V)</t>
        </is>
      </c>
      <c r="I5989" s="12" t="inlineStr">
        <is>
          <t>MV 15 kV</t>
        </is>
      </c>
      <c r="J5989" s="12" t="inlineStr">
        <is>
          <t>MV-105 15 kV 1/C Cu, EPR 133%, Cu tape shield, PVC jacket (triplexed)</t>
        </is>
      </c>
      <c r="K5989" s="12" t="inlineStr">
        <is>
          <t>MV15|1/C|4/0</t>
        </is>
      </c>
      <c r="L5989" s="12" t="inlineStr">
        <is>
          <t>1/C</t>
        </is>
      </c>
      <c r="M5989" s="12" t="inlineStr">
        <is>
          <t>4/0</t>
        </is>
      </c>
      <c r="N5989" s="12" t="n">
        <v>1</v>
      </c>
      <c r="O5989" s="12" t="n">
        <v>3</v>
      </c>
      <c r="P5989" s="12" t="n">
        <v>13800</v>
      </c>
      <c r="Q5989" s="12" t="n">
        <v>5000</v>
      </c>
      <c r="R5989" s="12" t="n">
        <v>209</v>
      </c>
      <c r="S5989" s="12" t="inlineStr">
        <is>
          <t>Duct bank</t>
        </is>
      </c>
      <c r="T5989" s="16" t="n">
        <v>2649</v>
      </c>
      <c r="U5989" s="16" t="n">
        <v>219</v>
      </c>
      <c r="V5989" s="16">
        <f>ROUNDUP((T5989+U5989+2*'Read Me'!$B$13)*(1+'Read Me'!$B$12),-1)</f>
        <v/>
      </c>
      <c r="W5989" s="16">
        <f>V5989*N5989*O5989</f>
        <v/>
      </c>
      <c r="X5989" s="12">
        <f>IF(LEFT(I5989,2)="MV",2*N5989*IF(L5989="1/C",O5989,1),0)</f>
        <v/>
      </c>
      <c r="Y5989" s="12">
        <f>IF(OR(LEFT(K5989,4)="LVAX",LEFT(K5989,6)="MV15AX",LEFT(K5989,4)="CTAX",LEFT(K5989,2)="W|"),2*N5989*O5989,0)</f>
        <v/>
      </c>
      <c r="Z5989" s="12" t="inlineStr"/>
      <c r="AA5989" s="12">
        <f>N5989*O5989</f>
        <v/>
      </c>
    </row>
    <row r="5990">
      <c r="A5990" s="12" t="inlineStr">
        <is>
          <t>C-C-0128</t>
        </is>
      </c>
      <c r="B5990" s="12" t="inlineStr">
        <is>
          <t>C</t>
        </is>
      </c>
      <c r="C5990" s="12" t="inlineStr">
        <is>
          <t>Grid interface</t>
        </is>
      </c>
      <c r="D5990" s="12" t="inlineStr">
        <is>
          <t>Motor 1 of 10: control / local station</t>
        </is>
      </c>
      <c r="E5990" s="12" t="inlineStr">
        <is>
          <t>MCC-C1</t>
        </is>
      </c>
      <c r="F5990" s="12" t="inlineStr">
        <is>
          <t>R1 MCC-C1</t>
        </is>
      </c>
      <c r="G5990" s="12" t="inlineStr"/>
      <c r="H5990" s="12" t="inlineStr">
        <is>
          <t xml:space="preserve">CO2 compression 3 x ~19 MW + dehydration: rooftop HVAC, exhaust fans, </t>
        </is>
      </c>
      <c r="I5990" s="12" t="inlineStr">
        <is>
          <t>Control</t>
        </is>
      </c>
      <c r="J5990" s="12" t="inlineStr">
        <is>
          <t>Control cable 600 V Type TC-ER, Cu #14 AWG, PVC jacket</t>
        </is>
      </c>
      <c r="K5990" s="12" t="inlineStr">
        <is>
          <t>CT|7/C|14</t>
        </is>
      </c>
      <c r="L5990" s="12" t="inlineStr">
        <is>
          <t>7/C</t>
        </is>
      </c>
      <c r="M5990" s="12" t="inlineStr">
        <is>
          <t>14</t>
        </is>
      </c>
      <c r="N5990" s="12" t="n">
        <v>1</v>
      </c>
      <c r="O5990" s="12" t="n">
        <v>1</v>
      </c>
      <c r="P5990" s="12" t="n"/>
      <c r="Q5990" s="12" t="n"/>
      <c r="R5990" s="12" t="n"/>
      <c r="S5990" s="12" t="inlineStr">
        <is>
          <t>Tray</t>
        </is>
      </c>
      <c r="T5990" s="16" t="n">
        <v>1744</v>
      </c>
      <c r="U5990" s="16" t="n">
        <v>161</v>
      </c>
      <c r="V5990" s="16">
        <f>ROUNDUP((T5990+U5990+2*'Read Me'!$B$13)*(1+'Read Me'!$B$12),-1)</f>
        <v/>
      </c>
      <c r="W5990" s="16">
        <f>V5990*N5990*O5990</f>
        <v/>
      </c>
      <c r="X5990" s="12">
        <f>IF(LEFT(I5990,2)="MV",2*N5990*IF(L5990="1/C",O5990,1),0)</f>
        <v/>
      </c>
      <c r="Y5990" s="12">
        <f>IF(OR(LEFT(K5990,4)="LVAX",LEFT(K5990,6)="MV15AX",LEFT(K5990,4)="CTAX",LEFT(K5990,2)="W|"),2*N5990*O5990,0)</f>
        <v/>
      </c>
      <c r="Z5990" s="12" t="inlineStr"/>
      <c r="AA5990" s="12">
        <f>N5990*O5990</f>
        <v/>
      </c>
    </row>
    <row r="5991">
      <c r="A5991" s="12" t="inlineStr">
        <is>
          <t>C-C-0129</t>
        </is>
      </c>
      <c r="B5991" s="12" t="inlineStr">
        <is>
          <t>C</t>
        </is>
      </c>
      <c r="C5991" s="12" t="inlineStr">
        <is>
          <t>Grid interface</t>
        </is>
      </c>
      <c r="D5991" s="12" t="inlineStr">
        <is>
          <t>Motor 2 of 10: control / local station</t>
        </is>
      </c>
      <c r="E5991" s="12" t="inlineStr">
        <is>
          <t>MCC-C1</t>
        </is>
      </c>
      <c r="F5991" s="12" t="inlineStr">
        <is>
          <t>R1 MCC-C1</t>
        </is>
      </c>
      <c r="G5991" s="12" t="inlineStr"/>
      <c r="H5991" s="12" t="inlineStr">
        <is>
          <t xml:space="preserve">CO2 compression 3 x ~19 MW + dehydration: rooftop HVAC, exhaust fans, </t>
        </is>
      </c>
      <c r="I5991" s="12" t="inlineStr">
        <is>
          <t>Control</t>
        </is>
      </c>
      <c r="J5991" s="12" t="inlineStr">
        <is>
          <t>Control cable 600 V Type TC-ER, Cu #14 AWG, PVC jacket</t>
        </is>
      </c>
      <c r="K5991" s="12" t="inlineStr">
        <is>
          <t>CT|7/C|14</t>
        </is>
      </c>
      <c r="L5991" s="12" t="inlineStr">
        <is>
          <t>7/C</t>
        </is>
      </c>
      <c r="M5991" s="12" t="inlineStr">
        <is>
          <t>14</t>
        </is>
      </c>
      <c r="N5991" s="12" t="n">
        <v>1</v>
      </c>
      <c r="O5991" s="12" t="n">
        <v>1</v>
      </c>
      <c r="P5991" s="12" t="n"/>
      <c r="Q5991" s="12" t="n"/>
      <c r="R5991" s="12" t="n"/>
      <c r="S5991" s="12" t="inlineStr">
        <is>
          <t>Tray</t>
        </is>
      </c>
      <c r="T5991" s="16" t="n">
        <v>1744</v>
      </c>
      <c r="U5991" s="16" t="n">
        <v>161</v>
      </c>
      <c r="V5991" s="16">
        <f>ROUNDUP((T5991+U5991+2*'Read Me'!$B$13)*(1+'Read Me'!$B$12),-1)</f>
        <v/>
      </c>
      <c r="W5991" s="16">
        <f>V5991*N5991*O5991</f>
        <v/>
      </c>
      <c r="X5991" s="12">
        <f>IF(LEFT(I5991,2)="MV",2*N5991*IF(L5991="1/C",O5991,1),0)</f>
        <v/>
      </c>
      <c r="Y5991" s="12">
        <f>IF(OR(LEFT(K5991,4)="LVAX",LEFT(K5991,6)="MV15AX",LEFT(K5991,4)="CTAX",LEFT(K5991,2)="W|"),2*N5991*O5991,0)</f>
        <v/>
      </c>
      <c r="Z5991" s="12" t="inlineStr"/>
      <c r="AA5991" s="12">
        <f>N5991*O5991</f>
        <v/>
      </c>
    </row>
    <row r="5992">
      <c r="A5992" s="12" t="inlineStr">
        <is>
          <t>C-C-0130</t>
        </is>
      </c>
      <c r="B5992" s="12" t="inlineStr">
        <is>
          <t>C</t>
        </is>
      </c>
      <c r="C5992" s="12" t="inlineStr">
        <is>
          <t>Grid interface</t>
        </is>
      </c>
      <c r="D5992" s="12" t="inlineStr">
        <is>
          <t>Motor 3 of 10: control / local station</t>
        </is>
      </c>
      <c r="E5992" s="12" t="inlineStr">
        <is>
          <t>MCC-C1</t>
        </is>
      </c>
      <c r="F5992" s="12" t="inlineStr">
        <is>
          <t>R1 MCC-C1</t>
        </is>
      </c>
      <c r="G5992" s="12" t="inlineStr"/>
      <c r="H5992" s="12" t="inlineStr">
        <is>
          <t xml:space="preserve">CO2 compression 3 x ~19 MW + dehydration: rooftop HVAC, exhaust fans, </t>
        </is>
      </c>
      <c r="I5992" s="12" t="inlineStr">
        <is>
          <t>Control</t>
        </is>
      </c>
      <c r="J5992" s="12" t="inlineStr">
        <is>
          <t>Control cable 600 V Type TC-ER, Cu #14 AWG, PVC jacket</t>
        </is>
      </c>
      <c r="K5992" s="12" t="inlineStr">
        <is>
          <t>CT|7/C|14</t>
        </is>
      </c>
      <c r="L5992" s="12" t="inlineStr">
        <is>
          <t>7/C</t>
        </is>
      </c>
      <c r="M5992" s="12" t="inlineStr">
        <is>
          <t>14</t>
        </is>
      </c>
      <c r="N5992" s="12" t="n">
        <v>1</v>
      </c>
      <c r="O5992" s="12" t="n">
        <v>1</v>
      </c>
      <c r="P5992" s="12" t="n"/>
      <c r="Q5992" s="12" t="n"/>
      <c r="R5992" s="12" t="n"/>
      <c r="S5992" s="12" t="inlineStr">
        <is>
          <t>Tray</t>
        </is>
      </c>
      <c r="T5992" s="16" t="n">
        <v>1744</v>
      </c>
      <c r="U5992" s="16" t="n">
        <v>161</v>
      </c>
      <c r="V5992" s="16">
        <f>ROUNDUP((T5992+U5992+2*'Read Me'!$B$13)*(1+'Read Me'!$B$12),-1)</f>
        <v/>
      </c>
      <c r="W5992" s="16">
        <f>V5992*N5992*O5992</f>
        <v/>
      </c>
      <c r="X5992" s="12">
        <f>IF(LEFT(I5992,2)="MV",2*N5992*IF(L5992="1/C",O5992,1),0)</f>
        <v/>
      </c>
      <c r="Y5992" s="12">
        <f>IF(OR(LEFT(K5992,4)="LVAX",LEFT(K5992,6)="MV15AX",LEFT(K5992,4)="CTAX",LEFT(K5992,2)="W|"),2*N5992*O5992,0)</f>
        <v/>
      </c>
      <c r="Z5992" s="12" t="inlineStr"/>
      <c r="AA5992" s="12">
        <f>N5992*O5992</f>
        <v/>
      </c>
    </row>
    <row r="5993">
      <c r="A5993" s="12" t="inlineStr">
        <is>
          <t>C-C-0131</t>
        </is>
      </c>
      <c r="B5993" s="12" t="inlineStr">
        <is>
          <t>C</t>
        </is>
      </c>
      <c r="C5993" s="12" t="inlineStr">
        <is>
          <t>Grid interface</t>
        </is>
      </c>
      <c r="D5993" s="12" t="inlineStr">
        <is>
          <t>Motor 4 of 10: control / local station</t>
        </is>
      </c>
      <c r="E5993" s="12" t="inlineStr">
        <is>
          <t>MCC-C1</t>
        </is>
      </c>
      <c r="F5993" s="12" t="inlineStr">
        <is>
          <t>R1 MCC-C1</t>
        </is>
      </c>
      <c r="G5993" s="12" t="inlineStr"/>
      <c r="H5993" s="12" t="inlineStr">
        <is>
          <t xml:space="preserve">CO2 compression 3 x ~19 MW + dehydration: rooftop HVAC, exhaust fans, </t>
        </is>
      </c>
      <c r="I5993" s="12" t="inlineStr">
        <is>
          <t>Control</t>
        </is>
      </c>
      <c r="J5993" s="12" t="inlineStr">
        <is>
          <t>Control cable 600 V Type TC-ER, Cu #14 AWG, PVC jacket</t>
        </is>
      </c>
      <c r="K5993" s="12" t="inlineStr">
        <is>
          <t>CT|7/C|14</t>
        </is>
      </c>
      <c r="L5993" s="12" t="inlineStr">
        <is>
          <t>7/C</t>
        </is>
      </c>
      <c r="M5993" s="12" t="inlineStr">
        <is>
          <t>14</t>
        </is>
      </c>
      <c r="N5993" s="12" t="n">
        <v>1</v>
      </c>
      <c r="O5993" s="12" t="n">
        <v>1</v>
      </c>
      <c r="P5993" s="12" t="n"/>
      <c r="Q5993" s="12" t="n"/>
      <c r="R5993" s="12" t="n"/>
      <c r="S5993" s="12" t="inlineStr">
        <is>
          <t>Tray</t>
        </is>
      </c>
      <c r="T5993" s="16" t="n">
        <v>1744</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c r="AA5993" s="12">
        <f>N5993*O5993</f>
        <v/>
      </c>
    </row>
    <row r="5994">
      <c r="A5994" s="12" t="inlineStr">
        <is>
          <t>C-C-0132</t>
        </is>
      </c>
      <c r="B5994" s="12" t="inlineStr">
        <is>
          <t>C</t>
        </is>
      </c>
      <c r="C5994" s="12" t="inlineStr">
        <is>
          <t>Grid interface</t>
        </is>
      </c>
      <c r="D5994" s="12" t="inlineStr">
        <is>
          <t>Motor 5 of 10: control / local station</t>
        </is>
      </c>
      <c r="E5994" s="12" t="inlineStr">
        <is>
          <t>MCC-C1</t>
        </is>
      </c>
      <c r="F5994" s="12" t="inlineStr">
        <is>
          <t>R1 MCC-C1</t>
        </is>
      </c>
      <c r="G5994" s="12" t="inlineStr"/>
      <c r="H5994" s="12" t="inlineStr">
        <is>
          <t xml:space="preserve">CO2 compression 3 x ~19 MW + dehydration: rooftop HVAC, exhaust fans, </t>
        </is>
      </c>
      <c r="I5994" s="12" t="inlineStr">
        <is>
          <t>Control</t>
        </is>
      </c>
      <c r="J5994" s="12" t="inlineStr">
        <is>
          <t>Control cable 600 V Type TC-ER, Cu #14 AWG, PVC jacket</t>
        </is>
      </c>
      <c r="K5994" s="12" t="inlineStr">
        <is>
          <t>CT|7/C|14</t>
        </is>
      </c>
      <c r="L5994" s="12" t="inlineStr">
        <is>
          <t>7/C</t>
        </is>
      </c>
      <c r="M5994" s="12" t="inlineStr">
        <is>
          <t>14</t>
        </is>
      </c>
      <c r="N5994" s="12" t="n">
        <v>1</v>
      </c>
      <c r="O5994" s="12" t="n">
        <v>1</v>
      </c>
      <c r="P5994" s="12" t="n"/>
      <c r="Q5994" s="12" t="n"/>
      <c r="R5994" s="12" t="n"/>
      <c r="S5994" s="12" t="inlineStr">
        <is>
          <t>Tray</t>
        </is>
      </c>
      <c r="T5994" s="16" t="n">
        <v>1744</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c r="AA5994" s="12">
        <f>N5994*O5994</f>
        <v/>
      </c>
    </row>
    <row r="5995">
      <c r="A5995" s="12" t="inlineStr">
        <is>
          <t>C-C-0133</t>
        </is>
      </c>
      <c r="B5995" s="12" t="inlineStr">
        <is>
          <t>C</t>
        </is>
      </c>
      <c r="C5995" s="12" t="inlineStr">
        <is>
          <t>Grid interface</t>
        </is>
      </c>
      <c r="D5995" s="12" t="inlineStr">
        <is>
          <t>Motor 6 of 10: control / local station</t>
        </is>
      </c>
      <c r="E5995" s="12" t="inlineStr">
        <is>
          <t>MCC-C1</t>
        </is>
      </c>
      <c r="F5995" s="12" t="inlineStr">
        <is>
          <t>R1 MCC-C1</t>
        </is>
      </c>
      <c r="G5995" s="12" t="inlineStr"/>
      <c r="H5995" s="12" t="inlineStr">
        <is>
          <t xml:space="preserve">CO2 compression 3 x ~19 MW + dehydration: rooftop HVAC, exhaust fans, </t>
        </is>
      </c>
      <c r="I5995" s="12" t="inlineStr">
        <is>
          <t>Control</t>
        </is>
      </c>
      <c r="J5995" s="12" t="inlineStr">
        <is>
          <t>Control cable 600 V Type TC-ER, Cu #14 AWG, PVC jacket</t>
        </is>
      </c>
      <c r="K5995" s="12" t="inlineStr">
        <is>
          <t>CT|7/C|14</t>
        </is>
      </c>
      <c r="L5995" s="12" t="inlineStr">
        <is>
          <t>7/C</t>
        </is>
      </c>
      <c r="M5995" s="12" t="inlineStr">
        <is>
          <t>14</t>
        </is>
      </c>
      <c r="N5995" s="12" t="n">
        <v>1</v>
      </c>
      <c r="O5995" s="12" t="n">
        <v>1</v>
      </c>
      <c r="P5995" s="12" t="n"/>
      <c r="Q5995" s="12" t="n"/>
      <c r="R5995" s="12" t="n"/>
      <c r="S5995" s="12" t="inlineStr">
        <is>
          <t>Tray</t>
        </is>
      </c>
      <c r="T5995" s="16" t="n">
        <v>1744</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c r="AA5995" s="12">
        <f>N5995*O5995</f>
        <v/>
      </c>
    </row>
    <row r="5996">
      <c r="A5996" s="12" t="inlineStr">
        <is>
          <t>C-C-0134</t>
        </is>
      </c>
      <c r="B5996" s="12" t="inlineStr">
        <is>
          <t>C</t>
        </is>
      </c>
      <c r="C5996" s="12" t="inlineStr">
        <is>
          <t>Grid interface</t>
        </is>
      </c>
      <c r="D5996" s="12" t="inlineStr">
        <is>
          <t>Motor 7 of 10: control / local station</t>
        </is>
      </c>
      <c r="E5996" s="12" t="inlineStr">
        <is>
          <t>MCC-C1</t>
        </is>
      </c>
      <c r="F5996" s="12" t="inlineStr">
        <is>
          <t>R1 MCC-C1</t>
        </is>
      </c>
      <c r="G5996" s="12" t="inlineStr"/>
      <c r="H5996" s="12" t="inlineStr">
        <is>
          <t xml:space="preserve">CO2 compression 3 x ~19 MW + dehydration: rooftop HVAC, exhaust fans, </t>
        </is>
      </c>
      <c r="I5996" s="12" t="inlineStr">
        <is>
          <t>Control</t>
        </is>
      </c>
      <c r="J5996" s="12" t="inlineStr">
        <is>
          <t>Control cable 600 V Type TC-ER, Cu #14 AWG, PVC jacket</t>
        </is>
      </c>
      <c r="K5996" s="12" t="inlineStr">
        <is>
          <t>CT|7/C|14</t>
        </is>
      </c>
      <c r="L5996" s="12" t="inlineStr">
        <is>
          <t>7/C</t>
        </is>
      </c>
      <c r="M5996" s="12" t="inlineStr">
        <is>
          <t>14</t>
        </is>
      </c>
      <c r="N5996" s="12" t="n">
        <v>1</v>
      </c>
      <c r="O5996" s="12" t="n">
        <v>1</v>
      </c>
      <c r="P5996" s="12" t="n"/>
      <c r="Q5996" s="12" t="n"/>
      <c r="R5996" s="12" t="n"/>
      <c r="S5996" s="12" t="inlineStr">
        <is>
          <t>Tray</t>
        </is>
      </c>
      <c r="T5996" s="16" t="n">
        <v>1744</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c r="AA5996" s="12">
        <f>N5996*O5996</f>
        <v/>
      </c>
    </row>
    <row r="5997">
      <c r="A5997" s="12" t="inlineStr">
        <is>
          <t>C-C-0135</t>
        </is>
      </c>
      <c r="B5997" s="12" t="inlineStr">
        <is>
          <t>C</t>
        </is>
      </c>
      <c r="C5997" s="12" t="inlineStr">
        <is>
          <t>Grid interface</t>
        </is>
      </c>
      <c r="D5997" s="12" t="inlineStr">
        <is>
          <t>Motor 8 of 10: control / local station</t>
        </is>
      </c>
      <c r="E5997" s="12" t="inlineStr">
        <is>
          <t>MCC-C1</t>
        </is>
      </c>
      <c r="F5997" s="12" t="inlineStr">
        <is>
          <t>R1 MCC-C1</t>
        </is>
      </c>
      <c r="G5997" s="12" t="inlineStr"/>
      <c r="H5997" s="12" t="inlineStr">
        <is>
          <t xml:space="preserve">CO2 compression 3 x ~19 MW + dehydration: rooftop HVAC, exhaust fans, </t>
        </is>
      </c>
      <c r="I5997" s="12" t="inlineStr">
        <is>
          <t>Control</t>
        </is>
      </c>
      <c r="J5997" s="12" t="inlineStr">
        <is>
          <t>Control cable 600 V Type TC-ER, Cu #14 AWG, PVC jacket</t>
        </is>
      </c>
      <c r="K5997" s="12" t="inlineStr">
        <is>
          <t>CT|7/C|14</t>
        </is>
      </c>
      <c r="L5997" s="12" t="inlineStr">
        <is>
          <t>7/C</t>
        </is>
      </c>
      <c r="M5997" s="12" t="inlineStr">
        <is>
          <t>14</t>
        </is>
      </c>
      <c r="N5997" s="12" t="n">
        <v>1</v>
      </c>
      <c r="O5997" s="12" t="n">
        <v>1</v>
      </c>
      <c r="P5997" s="12" t="n"/>
      <c r="Q5997" s="12" t="n"/>
      <c r="R5997" s="12" t="n"/>
      <c r="S5997" s="12" t="inlineStr">
        <is>
          <t>Tray</t>
        </is>
      </c>
      <c r="T5997" s="16" t="n">
        <v>1744</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c r="AA5997" s="12">
        <f>N5997*O5997</f>
        <v/>
      </c>
    </row>
    <row r="5998">
      <c r="A5998" s="12" t="inlineStr">
        <is>
          <t>C-C-0136</t>
        </is>
      </c>
      <c r="B5998" s="12" t="inlineStr">
        <is>
          <t>C</t>
        </is>
      </c>
      <c r="C5998" s="12" t="inlineStr">
        <is>
          <t>Grid interface</t>
        </is>
      </c>
      <c r="D5998" s="12" t="inlineStr">
        <is>
          <t>Motor 9 of 10: control / local station</t>
        </is>
      </c>
      <c r="E5998" s="12" t="inlineStr">
        <is>
          <t>MCC-C1</t>
        </is>
      </c>
      <c r="F5998" s="12" t="inlineStr">
        <is>
          <t>R1 MCC-C1</t>
        </is>
      </c>
      <c r="G5998" s="12" t="inlineStr"/>
      <c r="H5998" s="12" t="inlineStr">
        <is>
          <t xml:space="preserve">CO2 compression 3 x ~19 MW + dehydration: rooftop HVAC, exhaust fans, </t>
        </is>
      </c>
      <c r="I5998" s="12" t="inlineStr">
        <is>
          <t>Control</t>
        </is>
      </c>
      <c r="J5998" s="12" t="inlineStr">
        <is>
          <t>Control cable 600 V Type TC-ER, Cu #14 AWG, PVC jacket</t>
        </is>
      </c>
      <c r="K5998" s="12" t="inlineStr">
        <is>
          <t>CT|7/C|14</t>
        </is>
      </c>
      <c r="L5998" s="12" t="inlineStr">
        <is>
          <t>7/C</t>
        </is>
      </c>
      <c r="M5998" s="12" t="inlineStr">
        <is>
          <t>14</t>
        </is>
      </c>
      <c r="N5998" s="12" t="n">
        <v>1</v>
      </c>
      <c r="O5998" s="12" t="n">
        <v>1</v>
      </c>
      <c r="P5998" s="12" t="n"/>
      <c r="Q5998" s="12" t="n"/>
      <c r="R5998" s="12" t="n"/>
      <c r="S5998" s="12" t="inlineStr">
        <is>
          <t>Tray</t>
        </is>
      </c>
      <c r="T5998" s="16" t="n">
        <v>1744</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c r="AA5998" s="12">
        <f>N5998*O5998</f>
        <v/>
      </c>
    </row>
    <row r="5999">
      <c r="A5999" s="12" t="inlineStr">
        <is>
          <t>C-C-0137</t>
        </is>
      </c>
      <c r="B5999" s="12" t="inlineStr">
        <is>
          <t>C</t>
        </is>
      </c>
      <c r="C5999" s="12" t="inlineStr">
        <is>
          <t>Grid interface</t>
        </is>
      </c>
      <c r="D5999" s="12" t="inlineStr">
        <is>
          <t>Motor 10 of 10: control / local station</t>
        </is>
      </c>
      <c r="E5999" s="12" t="inlineStr">
        <is>
          <t>MCC-C1</t>
        </is>
      </c>
      <c r="F5999" s="12" t="inlineStr">
        <is>
          <t>R1 MCC-C1</t>
        </is>
      </c>
      <c r="G5999" s="12" t="inlineStr"/>
      <c r="H5999" s="12" t="inlineStr">
        <is>
          <t xml:space="preserve">CO2 compression 3 x ~19 MW + dehydration: rooftop HVAC, exhaust fans, </t>
        </is>
      </c>
      <c r="I5999" s="12" t="inlineStr">
        <is>
          <t>Control</t>
        </is>
      </c>
      <c r="J5999" s="12" t="inlineStr">
        <is>
          <t>Control cable 600 V Type TC-ER, Cu #14 AWG, PVC jacket</t>
        </is>
      </c>
      <c r="K5999" s="12" t="inlineStr">
        <is>
          <t>CT|7/C|14</t>
        </is>
      </c>
      <c r="L5999" s="12" t="inlineStr">
        <is>
          <t>7/C</t>
        </is>
      </c>
      <c r="M5999" s="12" t="inlineStr">
        <is>
          <t>14</t>
        </is>
      </c>
      <c r="N5999" s="12" t="n">
        <v>1</v>
      </c>
      <c r="O5999" s="12" t="n">
        <v>1</v>
      </c>
      <c r="P5999" s="12" t="n"/>
      <c r="Q5999" s="12" t="n"/>
      <c r="R5999" s="12" t="n"/>
      <c r="S5999" s="12" t="inlineStr">
        <is>
          <t>Tray</t>
        </is>
      </c>
      <c r="T5999" s="16" t="n">
        <v>1744</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c r="AA5999" s="12">
        <f>N5999*O5999</f>
        <v/>
      </c>
    </row>
    <row r="6000">
      <c r="A6000" s="12" t="inlineStr">
        <is>
          <t>C-C-0138</t>
        </is>
      </c>
      <c r="B6000" s="12" t="inlineStr">
        <is>
          <t>C</t>
        </is>
      </c>
      <c r="C6000" s="12" t="inlineStr">
        <is>
          <t>Grid interface</t>
        </is>
      </c>
      <c r="D6000" s="12" t="inlineStr">
        <is>
          <t>Motor 1 of 2: control / local station</t>
        </is>
      </c>
      <c r="E6000" s="12" t="inlineStr">
        <is>
          <t>MCC-C1</t>
        </is>
      </c>
      <c r="F6000" s="12" t="inlineStr">
        <is>
          <t>R1 MCC-C1</t>
        </is>
      </c>
      <c r="G6000" s="12" t="inlineStr"/>
      <c r="H6000" s="12" t="inlineStr">
        <is>
          <t>Small-bore piping: instrument air, service water, nitrogen, HRSG drain</t>
        </is>
      </c>
      <c r="I6000" s="12" t="inlineStr">
        <is>
          <t>Control</t>
        </is>
      </c>
      <c r="J6000" s="12" t="inlineStr">
        <is>
          <t>Control cable 600 V Type TC-ER, Cu #14 AWG, PVC jacket</t>
        </is>
      </c>
      <c r="K6000" s="12" t="inlineStr">
        <is>
          <t>CT|7/C|14</t>
        </is>
      </c>
      <c r="L6000" s="12" t="inlineStr">
        <is>
          <t>7/C</t>
        </is>
      </c>
      <c r="M6000" s="12" t="inlineStr">
        <is>
          <t>14</t>
        </is>
      </c>
      <c r="N6000" s="12" t="n">
        <v>1</v>
      </c>
      <c r="O6000" s="12" t="n">
        <v>1</v>
      </c>
      <c r="P6000" s="12" t="n"/>
      <c r="Q6000" s="12" t="n"/>
      <c r="R6000" s="12" t="n"/>
      <c r="S6000" s="12" t="inlineStr">
        <is>
          <t>Tray</t>
        </is>
      </c>
      <c r="T6000" s="16" t="n">
        <v>614</v>
      </c>
      <c r="U6000" s="16" t="n">
        <v>145</v>
      </c>
      <c r="V6000" s="16">
        <f>ROUNDUP((T6000+U6000+2*'Read Me'!$B$13)*(1+'Read Me'!$B$12),-1)</f>
        <v/>
      </c>
      <c r="W6000" s="16">
        <f>V6000*N6000*O6000</f>
        <v/>
      </c>
      <c r="X6000" s="12">
        <f>IF(LEFT(I6000,2)="MV",2*N6000*IF(L6000="1/C",O6000,1),0)</f>
        <v/>
      </c>
      <c r="Y6000" s="12">
        <f>IF(OR(LEFT(K6000,4)="LVAX",LEFT(K6000,6)="MV15AX",LEFT(K6000,4)="CTAX",LEFT(K6000,2)="W|"),2*N6000*O6000,0)</f>
        <v/>
      </c>
      <c r="Z6000" s="12" t="inlineStr"/>
      <c r="AA6000" s="12">
        <f>N6000*O6000</f>
        <v/>
      </c>
    </row>
    <row r="6001">
      <c r="A6001" s="12" t="inlineStr">
        <is>
          <t>C-C-0139</t>
        </is>
      </c>
      <c r="B6001" s="12" t="inlineStr">
        <is>
          <t>C</t>
        </is>
      </c>
      <c r="C6001" s="12" t="inlineStr">
        <is>
          <t>Grid interface</t>
        </is>
      </c>
      <c r="D6001" s="12" t="inlineStr">
        <is>
          <t>Motor 2 of 2: control / local station</t>
        </is>
      </c>
      <c r="E6001" s="12" t="inlineStr">
        <is>
          <t>MCC-C1</t>
        </is>
      </c>
      <c r="F6001" s="12" t="inlineStr">
        <is>
          <t>R1 MCC-C1</t>
        </is>
      </c>
      <c r="G6001" s="12" t="inlineStr"/>
      <c r="H6001" s="12" t="inlineStr">
        <is>
          <t>Small-bore piping: instrument air, service water, nitrogen, HRSG drain</t>
        </is>
      </c>
      <c r="I6001" s="12" t="inlineStr">
        <is>
          <t>Control</t>
        </is>
      </c>
      <c r="J6001" s="12" t="inlineStr">
        <is>
          <t>Control cable 600 V Type TC-ER, Cu #14 AWG, PVC jacket</t>
        </is>
      </c>
      <c r="K6001" s="12" t="inlineStr">
        <is>
          <t>CT|7/C|14</t>
        </is>
      </c>
      <c r="L6001" s="12" t="inlineStr">
        <is>
          <t>7/C</t>
        </is>
      </c>
      <c r="M6001" s="12" t="inlineStr">
        <is>
          <t>14</t>
        </is>
      </c>
      <c r="N6001" s="12" t="n">
        <v>1</v>
      </c>
      <c r="O6001" s="12" t="n">
        <v>1</v>
      </c>
      <c r="P6001" s="12" t="n"/>
      <c r="Q6001" s="12" t="n"/>
      <c r="R6001" s="12" t="n"/>
      <c r="S6001" s="12" t="inlineStr">
        <is>
          <t>Tray</t>
        </is>
      </c>
      <c r="T6001" s="16" t="n">
        <v>614</v>
      </c>
      <c r="U6001" s="16" t="n">
        <v>145</v>
      </c>
      <c r="V6001" s="16">
        <f>ROUNDUP((T6001+U6001+2*'Read Me'!$B$13)*(1+'Read Me'!$B$12),-1)</f>
        <v/>
      </c>
      <c r="W6001" s="16">
        <f>V6001*N6001*O6001</f>
        <v/>
      </c>
      <c r="X6001" s="12">
        <f>IF(LEFT(I6001,2)="MV",2*N6001*IF(L6001="1/C",O6001,1),0)</f>
        <v/>
      </c>
      <c r="Y6001" s="12">
        <f>IF(OR(LEFT(K6001,4)="LVAX",LEFT(K6001,6)="MV15AX",LEFT(K6001,4)="CTAX",LEFT(K6001,2)="W|"),2*N6001*O6001,0)</f>
        <v/>
      </c>
      <c r="Z6001" s="12" t="inlineStr"/>
      <c r="AA6001" s="12">
        <f>N6001*O6001</f>
        <v/>
      </c>
    </row>
    <row r="6002">
      <c r="A6002" s="12" t="inlineStr">
        <is>
          <t>C-C-0140</t>
        </is>
      </c>
      <c r="B6002" s="12" t="inlineStr">
        <is>
          <t>C</t>
        </is>
      </c>
      <c r="C6002" s="12" t="inlineStr">
        <is>
          <t>Grid interface</t>
        </is>
      </c>
      <c r="D6002" s="12" t="inlineStr">
        <is>
          <t>Motor 1 of 8: control / local station</t>
        </is>
      </c>
      <c r="E6002" s="12" t="inlineStr">
        <is>
          <t>MCC-C1</t>
        </is>
      </c>
      <c r="F6002" s="12" t="inlineStr">
        <is>
          <t>R1 MCC-C1</t>
        </is>
      </c>
      <c r="G6002" s="12" t="inlineStr"/>
      <c r="H6002" s="12" t="inlineStr">
        <is>
          <t>Wastewater treatment: rooftop HVAC, exhaust fans, vents</t>
        </is>
      </c>
      <c r="I6002" s="12" t="inlineStr">
        <is>
          <t>Control</t>
        </is>
      </c>
      <c r="J6002" s="12" t="inlineStr">
        <is>
          <t>Control cable 600 V Type TC-ER, Cu #14 AWG, PVC jacket</t>
        </is>
      </c>
      <c r="K6002" s="12" t="inlineStr">
        <is>
          <t>CT|7/C|14</t>
        </is>
      </c>
      <c r="L6002" s="12" t="inlineStr">
        <is>
          <t>7/C</t>
        </is>
      </c>
      <c r="M6002" s="12" t="inlineStr">
        <is>
          <t>14</t>
        </is>
      </c>
      <c r="N6002" s="12" t="n">
        <v>1</v>
      </c>
      <c r="O6002" s="12" t="n">
        <v>1</v>
      </c>
      <c r="P6002" s="12" t="n"/>
      <c r="Q6002" s="12" t="n"/>
      <c r="R6002" s="12" t="n"/>
      <c r="S6002" s="12" t="inlineStr">
        <is>
          <t>Duct bank</t>
        </is>
      </c>
      <c r="T6002" s="16" t="n">
        <v>1859</v>
      </c>
      <c r="U6002" s="16" t="n">
        <v>228</v>
      </c>
      <c r="V6002" s="16">
        <f>ROUNDUP((T6002+U6002+2*'Read Me'!$B$13)*(1+'Read Me'!$B$12),-1)</f>
        <v/>
      </c>
      <c r="W6002" s="16">
        <f>V6002*N6002*O6002</f>
        <v/>
      </c>
      <c r="X6002" s="12">
        <f>IF(LEFT(I6002,2)="MV",2*N6002*IF(L6002="1/C",O6002,1),0)</f>
        <v/>
      </c>
      <c r="Y6002" s="12">
        <f>IF(OR(LEFT(K6002,4)="LVAX",LEFT(K6002,6)="MV15AX",LEFT(K6002,4)="CTAX",LEFT(K6002,2)="W|"),2*N6002*O6002,0)</f>
        <v/>
      </c>
      <c r="Z6002" s="12" t="inlineStr"/>
      <c r="AA6002" s="12">
        <f>N6002*O6002</f>
        <v/>
      </c>
    </row>
    <row r="6003">
      <c r="A6003" s="12" t="inlineStr">
        <is>
          <t>C-C-0141</t>
        </is>
      </c>
      <c r="B6003" s="12" t="inlineStr">
        <is>
          <t>C</t>
        </is>
      </c>
      <c r="C6003" s="12" t="inlineStr">
        <is>
          <t>Grid interface</t>
        </is>
      </c>
      <c r="D6003" s="12" t="inlineStr">
        <is>
          <t>Motor 2 of 8: control / local station</t>
        </is>
      </c>
      <c r="E6003" s="12" t="inlineStr">
        <is>
          <t>MCC-C1</t>
        </is>
      </c>
      <c r="F6003" s="12" t="inlineStr">
        <is>
          <t>R1 MCC-C1</t>
        </is>
      </c>
      <c r="G6003" s="12" t="inlineStr"/>
      <c r="H6003" s="12" t="inlineStr">
        <is>
          <t>Wastewater treatment: rooftop HVAC, exhaust fans, vents</t>
        </is>
      </c>
      <c r="I6003" s="12" t="inlineStr">
        <is>
          <t>Control</t>
        </is>
      </c>
      <c r="J6003" s="12" t="inlineStr">
        <is>
          <t>Control cable 600 V Type TC-ER, Cu #14 AWG, PVC jacket</t>
        </is>
      </c>
      <c r="K6003" s="12" t="inlineStr">
        <is>
          <t>CT|7/C|14</t>
        </is>
      </c>
      <c r="L6003" s="12" t="inlineStr">
        <is>
          <t>7/C</t>
        </is>
      </c>
      <c r="M6003" s="12" t="inlineStr">
        <is>
          <t>14</t>
        </is>
      </c>
      <c r="N6003" s="12" t="n">
        <v>1</v>
      </c>
      <c r="O6003" s="12" t="n">
        <v>1</v>
      </c>
      <c r="P6003" s="12" t="n"/>
      <c r="Q6003" s="12" t="n"/>
      <c r="R6003" s="12" t="n"/>
      <c r="S6003" s="12" t="inlineStr">
        <is>
          <t>Duct bank</t>
        </is>
      </c>
      <c r="T6003" s="16" t="n">
        <v>1859</v>
      </c>
      <c r="U6003" s="16" t="n">
        <v>228</v>
      </c>
      <c r="V6003" s="16">
        <f>ROUNDUP((T6003+U6003+2*'Read Me'!$B$13)*(1+'Read Me'!$B$12),-1)</f>
        <v/>
      </c>
      <c r="W6003" s="16">
        <f>V6003*N6003*O6003</f>
        <v/>
      </c>
      <c r="X6003" s="12">
        <f>IF(LEFT(I6003,2)="MV",2*N6003*IF(L6003="1/C",O6003,1),0)</f>
        <v/>
      </c>
      <c r="Y6003" s="12">
        <f>IF(OR(LEFT(K6003,4)="LVAX",LEFT(K6003,6)="MV15AX",LEFT(K6003,4)="CTAX",LEFT(K6003,2)="W|"),2*N6003*O6003,0)</f>
        <v/>
      </c>
      <c r="Z6003" s="12" t="inlineStr"/>
      <c r="AA6003" s="12">
        <f>N6003*O6003</f>
        <v/>
      </c>
    </row>
    <row r="6004">
      <c r="A6004" s="12" t="inlineStr">
        <is>
          <t>C-C-0142</t>
        </is>
      </c>
      <c r="B6004" s="12" t="inlineStr">
        <is>
          <t>C</t>
        </is>
      </c>
      <c r="C6004" s="12" t="inlineStr">
        <is>
          <t>Grid interface</t>
        </is>
      </c>
      <c r="D6004" s="12" t="inlineStr">
        <is>
          <t>Motor 3 of 8: control / local station</t>
        </is>
      </c>
      <c r="E6004" s="12" t="inlineStr">
        <is>
          <t>MCC-C1</t>
        </is>
      </c>
      <c r="F6004" s="12" t="inlineStr">
        <is>
          <t>R1 MCC-C1</t>
        </is>
      </c>
      <c r="G6004" s="12" t="inlineStr"/>
      <c r="H6004" s="12" t="inlineStr">
        <is>
          <t>Wastewater treatment: rooftop HVAC, exhaust fans, vents</t>
        </is>
      </c>
      <c r="I6004" s="12" t="inlineStr">
        <is>
          <t>Control</t>
        </is>
      </c>
      <c r="J6004" s="12" t="inlineStr">
        <is>
          <t>Control cable 600 V Type TC-ER, Cu #14 AWG, PVC jacket</t>
        </is>
      </c>
      <c r="K6004" s="12" t="inlineStr">
        <is>
          <t>CT|7/C|14</t>
        </is>
      </c>
      <c r="L6004" s="12" t="inlineStr">
        <is>
          <t>7/C</t>
        </is>
      </c>
      <c r="M6004" s="12" t="inlineStr">
        <is>
          <t>14</t>
        </is>
      </c>
      <c r="N6004" s="12" t="n">
        <v>1</v>
      </c>
      <c r="O6004" s="12" t="n">
        <v>1</v>
      </c>
      <c r="P6004" s="12" t="n"/>
      <c r="Q6004" s="12" t="n"/>
      <c r="R6004" s="12" t="n"/>
      <c r="S6004" s="12" t="inlineStr">
        <is>
          <t>Duct bank</t>
        </is>
      </c>
      <c r="T6004" s="16" t="n">
        <v>1859</v>
      </c>
      <c r="U6004" s="16" t="n">
        <v>228</v>
      </c>
      <c r="V6004" s="16">
        <f>ROUNDUP((T6004+U6004+2*'Read Me'!$B$13)*(1+'Read Me'!$B$12),-1)</f>
        <v/>
      </c>
      <c r="W6004" s="16">
        <f>V6004*N6004*O6004</f>
        <v/>
      </c>
      <c r="X6004" s="12">
        <f>IF(LEFT(I6004,2)="MV",2*N6004*IF(L6004="1/C",O6004,1),0)</f>
        <v/>
      </c>
      <c r="Y6004" s="12">
        <f>IF(OR(LEFT(K6004,4)="LVAX",LEFT(K6004,6)="MV15AX",LEFT(K6004,4)="CTAX",LEFT(K6004,2)="W|"),2*N6004*O6004,0)</f>
        <v/>
      </c>
      <c r="Z6004" s="12" t="inlineStr"/>
      <c r="AA6004" s="12">
        <f>N6004*O6004</f>
        <v/>
      </c>
    </row>
    <row r="6005">
      <c r="A6005" s="12" t="inlineStr">
        <is>
          <t>C-C-0143</t>
        </is>
      </c>
      <c r="B6005" s="12" t="inlineStr">
        <is>
          <t>C</t>
        </is>
      </c>
      <c r="C6005" s="12" t="inlineStr">
        <is>
          <t>Grid interface</t>
        </is>
      </c>
      <c r="D6005" s="12" t="inlineStr">
        <is>
          <t>Motor 4 of 8: control / local station</t>
        </is>
      </c>
      <c r="E6005" s="12" t="inlineStr">
        <is>
          <t>MCC-C1</t>
        </is>
      </c>
      <c r="F6005" s="12" t="inlineStr">
        <is>
          <t>R1 MCC-C1</t>
        </is>
      </c>
      <c r="G6005" s="12" t="inlineStr"/>
      <c r="H6005" s="12" t="inlineStr">
        <is>
          <t>Wastewater treatment: rooftop HVAC, exhaust fans, vents</t>
        </is>
      </c>
      <c r="I6005" s="12" t="inlineStr">
        <is>
          <t>Control</t>
        </is>
      </c>
      <c r="J6005" s="12" t="inlineStr">
        <is>
          <t>Control cable 600 V Type TC-ER, Cu #14 AWG, PVC jacket</t>
        </is>
      </c>
      <c r="K6005" s="12" t="inlineStr">
        <is>
          <t>CT|7/C|14</t>
        </is>
      </c>
      <c r="L6005" s="12" t="inlineStr">
        <is>
          <t>7/C</t>
        </is>
      </c>
      <c r="M6005" s="12" t="inlineStr">
        <is>
          <t>14</t>
        </is>
      </c>
      <c r="N6005" s="12" t="n">
        <v>1</v>
      </c>
      <c r="O6005" s="12" t="n">
        <v>1</v>
      </c>
      <c r="P6005" s="12" t="n"/>
      <c r="Q6005" s="12" t="n"/>
      <c r="R6005" s="12" t="n"/>
      <c r="S6005" s="12" t="inlineStr">
        <is>
          <t>Duct bank</t>
        </is>
      </c>
      <c r="T6005" s="16" t="n">
        <v>1859</v>
      </c>
      <c r="U6005" s="16" t="n">
        <v>228</v>
      </c>
      <c r="V6005" s="16">
        <f>ROUNDUP((T6005+U6005+2*'Read Me'!$B$13)*(1+'Read Me'!$B$12),-1)</f>
        <v/>
      </c>
      <c r="W6005" s="16">
        <f>V6005*N6005*O6005</f>
        <v/>
      </c>
      <c r="X6005" s="12">
        <f>IF(LEFT(I6005,2)="MV",2*N6005*IF(L6005="1/C",O6005,1),0)</f>
        <v/>
      </c>
      <c r="Y6005" s="12">
        <f>IF(OR(LEFT(K6005,4)="LVAX",LEFT(K6005,6)="MV15AX",LEFT(K6005,4)="CTAX",LEFT(K6005,2)="W|"),2*N6005*O6005,0)</f>
        <v/>
      </c>
      <c r="Z6005" s="12" t="inlineStr"/>
      <c r="AA6005" s="12">
        <f>N6005*O6005</f>
        <v/>
      </c>
    </row>
    <row r="6006">
      <c r="A6006" s="12" t="inlineStr">
        <is>
          <t>C-C-0144</t>
        </is>
      </c>
      <c r="B6006" s="12" t="inlineStr">
        <is>
          <t>C</t>
        </is>
      </c>
      <c r="C6006" s="12" t="inlineStr">
        <is>
          <t>Grid interface</t>
        </is>
      </c>
      <c r="D6006" s="12" t="inlineStr">
        <is>
          <t>Motor 5 of 8: control / local station</t>
        </is>
      </c>
      <c r="E6006" s="12" t="inlineStr">
        <is>
          <t>MCC-C1</t>
        </is>
      </c>
      <c r="F6006" s="12" t="inlineStr">
        <is>
          <t>R1 MCC-C1</t>
        </is>
      </c>
      <c r="G6006" s="12" t="inlineStr"/>
      <c r="H6006" s="12" t="inlineStr">
        <is>
          <t>Wastewater treatment: rooftop HVAC, exhaust fans, vents</t>
        </is>
      </c>
      <c r="I6006" s="12" t="inlineStr">
        <is>
          <t>Control</t>
        </is>
      </c>
      <c r="J6006" s="12" t="inlineStr">
        <is>
          <t>Control cable 600 V Type TC-ER, Cu #14 AWG, PVC jacket</t>
        </is>
      </c>
      <c r="K6006" s="12" t="inlineStr">
        <is>
          <t>CT|7/C|14</t>
        </is>
      </c>
      <c r="L6006" s="12" t="inlineStr">
        <is>
          <t>7/C</t>
        </is>
      </c>
      <c r="M6006" s="12" t="inlineStr">
        <is>
          <t>14</t>
        </is>
      </c>
      <c r="N6006" s="12" t="n">
        <v>1</v>
      </c>
      <c r="O6006" s="12" t="n">
        <v>1</v>
      </c>
      <c r="P6006" s="12" t="n"/>
      <c r="Q6006" s="12" t="n"/>
      <c r="R6006" s="12" t="n"/>
      <c r="S6006" s="12" t="inlineStr">
        <is>
          <t>Duct bank</t>
        </is>
      </c>
      <c r="T6006" s="16" t="n">
        <v>1859</v>
      </c>
      <c r="U6006" s="16" t="n">
        <v>228</v>
      </c>
      <c r="V6006" s="16">
        <f>ROUNDUP((T6006+U6006+2*'Read Me'!$B$13)*(1+'Read Me'!$B$12),-1)</f>
        <v/>
      </c>
      <c r="W6006" s="16">
        <f>V6006*N6006*O6006</f>
        <v/>
      </c>
      <c r="X6006" s="12">
        <f>IF(LEFT(I6006,2)="MV",2*N6006*IF(L6006="1/C",O6006,1),0)</f>
        <v/>
      </c>
      <c r="Y6006" s="12">
        <f>IF(OR(LEFT(K6006,4)="LVAX",LEFT(K6006,6)="MV15AX",LEFT(K6006,4)="CTAX",LEFT(K6006,2)="W|"),2*N6006*O6006,0)</f>
        <v/>
      </c>
      <c r="Z6006" s="12" t="inlineStr"/>
      <c r="AA6006" s="12">
        <f>N6006*O6006</f>
        <v/>
      </c>
    </row>
    <row r="6007">
      <c r="A6007" s="12" t="inlineStr">
        <is>
          <t>C-C-0145</t>
        </is>
      </c>
      <c r="B6007" s="12" t="inlineStr">
        <is>
          <t>C</t>
        </is>
      </c>
      <c r="C6007" s="12" t="inlineStr">
        <is>
          <t>Grid interface</t>
        </is>
      </c>
      <c r="D6007" s="12" t="inlineStr">
        <is>
          <t>Motor 6 of 8: control / local station</t>
        </is>
      </c>
      <c r="E6007" s="12" t="inlineStr">
        <is>
          <t>MCC-C1</t>
        </is>
      </c>
      <c r="F6007" s="12" t="inlineStr">
        <is>
          <t>R1 MCC-C1</t>
        </is>
      </c>
      <c r="G6007" s="12" t="inlineStr"/>
      <c r="H6007" s="12" t="inlineStr">
        <is>
          <t>Wastewater treatment: rooftop HVAC, exhaust fans, vents</t>
        </is>
      </c>
      <c r="I6007" s="12" t="inlineStr">
        <is>
          <t>Control</t>
        </is>
      </c>
      <c r="J6007" s="12" t="inlineStr">
        <is>
          <t>Control cable 600 V Type TC-ER, Cu #14 AWG, PVC jacket</t>
        </is>
      </c>
      <c r="K6007" s="12" t="inlineStr">
        <is>
          <t>CT|7/C|14</t>
        </is>
      </c>
      <c r="L6007" s="12" t="inlineStr">
        <is>
          <t>7/C</t>
        </is>
      </c>
      <c r="M6007" s="12" t="inlineStr">
        <is>
          <t>14</t>
        </is>
      </c>
      <c r="N6007" s="12" t="n">
        <v>1</v>
      </c>
      <c r="O6007" s="12" t="n">
        <v>1</v>
      </c>
      <c r="P6007" s="12" t="n"/>
      <c r="Q6007" s="12" t="n"/>
      <c r="R6007" s="12" t="n"/>
      <c r="S6007" s="12" t="inlineStr">
        <is>
          <t>Duct bank</t>
        </is>
      </c>
      <c r="T6007" s="16" t="n">
        <v>1859</v>
      </c>
      <c r="U6007" s="16" t="n">
        <v>228</v>
      </c>
      <c r="V6007" s="16">
        <f>ROUNDUP((T6007+U6007+2*'Read Me'!$B$13)*(1+'Read Me'!$B$12),-1)</f>
        <v/>
      </c>
      <c r="W6007" s="16">
        <f>V6007*N6007*O6007</f>
        <v/>
      </c>
      <c r="X6007" s="12">
        <f>IF(LEFT(I6007,2)="MV",2*N6007*IF(L6007="1/C",O6007,1),0)</f>
        <v/>
      </c>
      <c r="Y6007" s="12">
        <f>IF(OR(LEFT(K6007,4)="LVAX",LEFT(K6007,6)="MV15AX",LEFT(K6007,4)="CTAX",LEFT(K6007,2)="W|"),2*N6007*O6007,0)</f>
        <v/>
      </c>
      <c r="Z6007" s="12" t="inlineStr"/>
      <c r="AA6007" s="12">
        <f>N6007*O6007</f>
        <v/>
      </c>
    </row>
    <row r="6008">
      <c r="A6008" s="12" t="inlineStr">
        <is>
          <t>C-C-0146</t>
        </is>
      </c>
      <c r="B6008" s="12" t="inlineStr">
        <is>
          <t>C</t>
        </is>
      </c>
      <c r="C6008" s="12" t="inlineStr">
        <is>
          <t>Grid interface</t>
        </is>
      </c>
      <c r="D6008" s="12" t="inlineStr">
        <is>
          <t>Motor 7 of 8: control / local station</t>
        </is>
      </c>
      <c r="E6008" s="12" t="inlineStr">
        <is>
          <t>MCC-C1</t>
        </is>
      </c>
      <c r="F6008" s="12" t="inlineStr">
        <is>
          <t>R1 MCC-C1</t>
        </is>
      </c>
      <c r="G6008" s="12" t="inlineStr"/>
      <c r="H6008" s="12" t="inlineStr">
        <is>
          <t>Wastewater treatment: rooftop HVAC, exhaust fans, vents</t>
        </is>
      </c>
      <c r="I6008" s="12" t="inlineStr">
        <is>
          <t>Control</t>
        </is>
      </c>
      <c r="J6008" s="12" t="inlineStr">
        <is>
          <t>Control cable 600 V Type TC-ER, Cu #14 AWG, PVC jacket</t>
        </is>
      </c>
      <c r="K6008" s="12" t="inlineStr">
        <is>
          <t>CT|7/C|14</t>
        </is>
      </c>
      <c r="L6008" s="12" t="inlineStr">
        <is>
          <t>7/C</t>
        </is>
      </c>
      <c r="M6008" s="12" t="inlineStr">
        <is>
          <t>14</t>
        </is>
      </c>
      <c r="N6008" s="12" t="n">
        <v>1</v>
      </c>
      <c r="O6008" s="12" t="n">
        <v>1</v>
      </c>
      <c r="P6008" s="12" t="n"/>
      <c r="Q6008" s="12" t="n"/>
      <c r="R6008" s="12" t="n"/>
      <c r="S6008" s="12" t="inlineStr">
        <is>
          <t>Duct bank</t>
        </is>
      </c>
      <c r="T6008" s="16" t="n">
        <v>1859</v>
      </c>
      <c r="U6008" s="16" t="n">
        <v>228</v>
      </c>
      <c r="V6008" s="16">
        <f>ROUNDUP((T6008+U6008+2*'Read Me'!$B$13)*(1+'Read Me'!$B$12),-1)</f>
        <v/>
      </c>
      <c r="W6008" s="16">
        <f>V6008*N6008*O6008</f>
        <v/>
      </c>
      <c r="X6008" s="12">
        <f>IF(LEFT(I6008,2)="MV",2*N6008*IF(L6008="1/C",O6008,1),0)</f>
        <v/>
      </c>
      <c r="Y6008" s="12">
        <f>IF(OR(LEFT(K6008,4)="LVAX",LEFT(K6008,6)="MV15AX",LEFT(K6008,4)="CTAX",LEFT(K6008,2)="W|"),2*N6008*O6008,0)</f>
        <v/>
      </c>
      <c r="Z6008" s="12" t="inlineStr"/>
      <c r="AA6008" s="12">
        <f>N6008*O6008</f>
        <v/>
      </c>
    </row>
    <row r="6009">
      <c r="A6009" s="12" t="inlineStr">
        <is>
          <t>C-C-0147</t>
        </is>
      </c>
      <c r="B6009" s="12" t="inlineStr">
        <is>
          <t>C</t>
        </is>
      </c>
      <c r="C6009" s="12" t="inlineStr">
        <is>
          <t>Grid interface</t>
        </is>
      </c>
      <c r="D6009" s="12" t="inlineStr">
        <is>
          <t>Motor 8 of 8: control / local station</t>
        </is>
      </c>
      <c r="E6009" s="12" t="inlineStr">
        <is>
          <t>MCC-C1</t>
        </is>
      </c>
      <c r="F6009" s="12" t="inlineStr">
        <is>
          <t>R1 MCC-C1</t>
        </is>
      </c>
      <c r="G6009" s="12" t="inlineStr"/>
      <c r="H6009" s="12" t="inlineStr">
        <is>
          <t>Wastewater treatment: rooftop HVAC, exhaust fans, vents</t>
        </is>
      </c>
      <c r="I6009" s="12" t="inlineStr">
        <is>
          <t>Control</t>
        </is>
      </c>
      <c r="J6009" s="12" t="inlineStr">
        <is>
          <t>Control cable 600 V Type TC-ER, Cu #14 AWG, PVC jacket</t>
        </is>
      </c>
      <c r="K6009" s="12" t="inlineStr">
        <is>
          <t>CT|7/C|14</t>
        </is>
      </c>
      <c r="L6009" s="12" t="inlineStr">
        <is>
          <t>7/C</t>
        </is>
      </c>
      <c r="M6009" s="12" t="inlineStr">
        <is>
          <t>14</t>
        </is>
      </c>
      <c r="N6009" s="12" t="n">
        <v>1</v>
      </c>
      <c r="O6009" s="12" t="n">
        <v>1</v>
      </c>
      <c r="P6009" s="12" t="n"/>
      <c r="Q6009" s="12" t="n"/>
      <c r="R6009" s="12" t="n"/>
      <c r="S6009" s="12" t="inlineStr">
        <is>
          <t>Duct bank</t>
        </is>
      </c>
      <c r="T6009" s="16" t="n">
        <v>1859</v>
      </c>
      <c r="U6009" s="16" t="n">
        <v>228</v>
      </c>
      <c r="V6009" s="16">
        <f>ROUNDUP((T6009+U6009+2*'Read Me'!$B$13)*(1+'Read Me'!$B$12),-1)</f>
        <v/>
      </c>
      <c r="W6009" s="16">
        <f>V6009*N6009*O6009</f>
        <v/>
      </c>
      <c r="X6009" s="12">
        <f>IF(LEFT(I6009,2)="MV",2*N6009*IF(L6009="1/C",O6009,1),0)</f>
        <v/>
      </c>
      <c r="Y6009" s="12">
        <f>IF(OR(LEFT(K6009,4)="LVAX",LEFT(K6009,6)="MV15AX",LEFT(K6009,4)="CTAX",LEFT(K6009,2)="W|"),2*N6009*O6009,0)</f>
        <v/>
      </c>
      <c r="Z6009" s="12" t="inlineStr"/>
      <c r="AA6009" s="12">
        <f>N6009*O6009</f>
        <v/>
      </c>
    </row>
    <row r="6010">
      <c r="A6010" s="12" t="inlineStr">
        <is>
          <t>C-C-0148</t>
        </is>
      </c>
      <c r="B6010" s="12" t="inlineStr">
        <is>
          <t>C</t>
        </is>
      </c>
      <c r="C6010" s="12" t="inlineStr">
        <is>
          <t>Grid interface</t>
        </is>
      </c>
      <c r="D6010" s="12" t="inlineStr">
        <is>
          <t>Motor 1 of 20: control / local station</t>
        </is>
      </c>
      <c r="E6010" s="12" t="inlineStr">
        <is>
          <t>MCC-C1</t>
        </is>
      </c>
      <c r="F6010" s="12" t="inlineStr">
        <is>
          <t>R1 MCC-C1</t>
        </is>
      </c>
      <c r="G6010" s="12" t="inlineStr"/>
      <c r="H6010" s="12" t="inlineStr">
        <is>
          <t>Water treatment building: rooftop HVAC, exhaust fans, vents</t>
        </is>
      </c>
      <c r="I6010" s="12" t="inlineStr">
        <is>
          <t>Control</t>
        </is>
      </c>
      <c r="J6010" s="12" t="inlineStr">
        <is>
          <t>Control cable 600 V Type TC-ER, Cu #14 AWG, PVC jacket</t>
        </is>
      </c>
      <c r="K6010" s="12" t="inlineStr">
        <is>
          <t>CT|7/C|14</t>
        </is>
      </c>
      <c r="L6010" s="12" t="inlineStr">
        <is>
          <t>7/C</t>
        </is>
      </c>
      <c r="M6010" s="12" t="inlineStr">
        <is>
          <t>14</t>
        </is>
      </c>
      <c r="N6010" s="12" t="n">
        <v>1</v>
      </c>
      <c r="O6010" s="12" t="n">
        <v>1</v>
      </c>
      <c r="P6010" s="12" t="n"/>
      <c r="Q6010" s="12" t="n"/>
      <c r="R6010" s="12" t="n"/>
      <c r="S6010" s="12" t="inlineStr">
        <is>
          <t>Duct bank</t>
        </is>
      </c>
      <c r="T6010" s="16" t="n">
        <v>1629</v>
      </c>
      <c r="U6010" s="16" t="n">
        <v>161</v>
      </c>
      <c r="V6010" s="16">
        <f>ROUNDUP((T6010+U6010+2*'Read Me'!$B$13)*(1+'Read Me'!$B$12),-1)</f>
        <v/>
      </c>
      <c r="W6010" s="16">
        <f>V6010*N6010*O6010</f>
        <v/>
      </c>
      <c r="X6010" s="12">
        <f>IF(LEFT(I6010,2)="MV",2*N6010*IF(L6010="1/C",O6010,1),0)</f>
        <v/>
      </c>
      <c r="Y6010" s="12">
        <f>IF(OR(LEFT(K6010,4)="LVAX",LEFT(K6010,6)="MV15AX",LEFT(K6010,4)="CTAX",LEFT(K6010,2)="W|"),2*N6010*O6010,0)</f>
        <v/>
      </c>
      <c r="Z6010" s="12" t="inlineStr"/>
      <c r="AA6010" s="12">
        <f>N6010*O6010</f>
        <v/>
      </c>
    </row>
    <row r="6011">
      <c r="A6011" s="12" t="inlineStr">
        <is>
          <t>C-C-0149</t>
        </is>
      </c>
      <c r="B6011" s="12" t="inlineStr">
        <is>
          <t>C</t>
        </is>
      </c>
      <c r="C6011" s="12" t="inlineStr">
        <is>
          <t>Grid interface</t>
        </is>
      </c>
      <c r="D6011" s="12" t="inlineStr">
        <is>
          <t>Motor 2 of 20: control / local station</t>
        </is>
      </c>
      <c r="E6011" s="12" t="inlineStr">
        <is>
          <t>MCC-C1</t>
        </is>
      </c>
      <c r="F6011" s="12" t="inlineStr">
        <is>
          <t>R1 MCC-C1</t>
        </is>
      </c>
      <c r="G6011" s="12" t="inlineStr"/>
      <c r="H6011" s="12" t="inlineStr">
        <is>
          <t>Water treatment building: rooftop HVAC, exhaust fans, vents</t>
        </is>
      </c>
      <c r="I6011" s="12" t="inlineStr">
        <is>
          <t>Control</t>
        </is>
      </c>
      <c r="J6011" s="12" t="inlineStr">
        <is>
          <t>Control cable 600 V Type TC-ER, Cu #14 AWG, PVC jacket</t>
        </is>
      </c>
      <c r="K6011" s="12" t="inlineStr">
        <is>
          <t>CT|7/C|14</t>
        </is>
      </c>
      <c r="L6011" s="12" t="inlineStr">
        <is>
          <t>7/C</t>
        </is>
      </c>
      <c r="M6011" s="12" t="inlineStr">
        <is>
          <t>14</t>
        </is>
      </c>
      <c r="N6011" s="12" t="n">
        <v>1</v>
      </c>
      <c r="O6011" s="12" t="n">
        <v>1</v>
      </c>
      <c r="P6011" s="12" t="n"/>
      <c r="Q6011" s="12" t="n"/>
      <c r="R6011" s="12" t="n"/>
      <c r="S6011" s="12" t="inlineStr">
        <is>
          <t>Duct bank</t>
        </is>
      </c>
      <c r="T6011" s="16" t="n">
        <v>1629</v>
      </c>
      <c r="U6011" s="16" t="n">
        <v>161</v>
      </c>
      <c r="V6011" s="16">
        <f>ROUNDUP((T6011+U6011+2*'Read Me'!$B$13)*(1+'Read Me'!$B$12),-1)</f>
        <v/>
      </c>
      <c r="W6011" s="16">
        <f>V6011*N6011*O6011</f>
        <v/>
      </c>
      <c r="X6011" s="12">
        <f>IF(LEFT(I6011,2)="MV",2*N6011*IF(L6011="1/C",O6011,1),0)</f>
        <v/>
      </c>
      <c r="Y6011" s="12">
        <f>IF(OR(LEFT(K6011,4)="LVAX",LEFT(K6011,6)="MV15AX",LEFT(K6011,4)="CTAX",LEFT(K6011,2)="W|"),2*N6011*O6011,0)</f>
        <v/>
      </c>
      <c r="Z6011" s="12" t="inlineStr"/>
      <c r="AA6011" s="12">
        <f>N6011*O6011</f>
        <v/>
      </c>
    </row>
    <row r="6012">
      <c r="A6012" s="12" t="inlineStr">
        <is>
          <t>C-C-0150</t>
        </is>
      </c>
      <c r="B6012" s="12" t="inlineStr">
        <is>
          <t>C</t>
        </is>
      </c>
      <c r="C6012" s="12" t="inlineStr">
        <is>
          <t>Grid interface</t>
        </is>
      </c>
      <c r="D6012" s="12" t="inlineStr">
        <is>
          <t>Motor 3 of 20: control / local station</t>
        </is>
      </c>
      <c r="E6012" s="12" t="inlineStr">
        <is>
          <t>MCC-C1</t>
        </is>
      </c>
      <c r="F6012" s="12" t="inlineStr">
        <is>
          <t>R1 MCC-C1</t>
        </is>
      </c>
      <c r="G6012" s="12" t="inlineStr"/>
      <c r="H6012" s="12" t="inlineStr">
        <is>
          <t>Water treatment building: rooftop HVAC, exhaust fans, vents</t>
        </is>
      </c>
      <c r="I6012" s="12" t="inlineStr">
        <is>
          <t>Control</t>
        </is>
      </c>
      <c r="J6012" s="12" t="inlineStr">
        <is>
          <t>Control cable 600 V Type TC-ER, Cu #14 AWG, PVC jacket</t>
        </is>
      </c>
      <c r="K6012" s="12" t="inlineStr">
        <is>
          <t>CT|7/C|14</t>
        </is>
      </c>
      <c r="L6012" s="12" t="inlineStr">
        <is>
          <t>7/C</t>
        </is>
      </c>
      <c r="M6012" s="12" t="inlineStr">
        <is>
          <t>14</t>
        </is>
      </c>
      <c r="N6012" s="12" t="n">
        <v>1</v>
      </c>
      <c r="O6012" s="12" t="n">
        <v>1</v>
      </c>
      <c r="P6012" s="12" t="n"/>
      <c r="Q6012" s="12" t="n"/>
      <c r="R6012" s="12" t="n"/>
      <c r="S6012" s="12" t="inlineStr">
        <is>
          <t>Duct bank</t>
        </is>
      </c>
      <c r="T6012" s="16" t="n">
        <v>1629</v>
      </c>
      <c r="U6012" s="16" t="n">
        <v>161</v>
      </c>
      <c r="V6012" s="16">
        <f>ROUNDUP((T6012+U6012+2*'Read Me'!$B$13)*(1+'Read Me'!$B$12),-1)</f>
        <v/>
      </c>
      <c r="W6012" s="16">
        <f>V6012*N6012*O6012</f>
        <v/>
      </c>
      <c r="X6012" s="12">
        <f>IF(LEFT(I6012,2)="MV",2*N6012*IF(L6012="1/C",O6012,1),0)</f>
        <v/>
      </c>
      <c r="Y6012" s="12">
        <f>IF(OR(LEFT(K6012,4)="LVAX",LEFT(K6012,6)="MV15AX",LEFT(K6012,4)="CTAX",LEFT(K6012,2)="W|"),2*N6012*O6012,0)</f>
        <v/>
      </c>
      <c r="Z6012" s="12" t="inlineStr"/>
      <c r="AA6012" s="12">
        <f>N6012*O6012</f>
        <v/>
      </c>
    </row>
    <row r="6013">
      <c r="A6013" s="12" t="inlineStr">
        <is>
          <t>C-C-0151</t>
        </is>
      </c>
      <c r="B6013" s="12" t="inlineStr">
        <is>
          <t>C</t>
        </is>
      </c>
      <c r="C6013" s="12" t="inlineStr">
        <is>
          <t>Grid interface</t>
        </is>
      </c>
      <c r="D6013" s="12" t="inlineStr">
        <is>
          <t>Motor 4 of 20: control / local station</t>
        </is>
      </c>
      <c r="E6013" s="12" t="inlineStr">
        <is>
          <t>MCC-C1</t>
        </is>
      </c>
      <c r="F6013" s="12" t="inlineStr">
        <is>
          <t>R1 MCC-C1</t>
        </is>
      </c>
      <c r="G6013" s="12" t="inlineStr"/>
      <c r="H6013" s="12" t="inlineStr">
        <is>
          <t>Water treatment building: rooftop HVAC, exhaust fans, vents</t>
        </is>
      </c>
      <c r="I6013" s="12" t="inlineStr">
        <is>
          <t>Control</t>
        </is>
      </c>
      <c r="J6013" s="12" t="inlineStr">
        <is>
          <t>Control cable 600 V Type TC-ER, Cu #14 AWG, PVC jacket</t>
        </is>
      </c>
      <c r="K6013" s="12" t="inlineStr">
        <is>
          <t>CT|7/C|14</t>
        </is>
      </c>
      <c r="L6013" s="12" t="inlineStr">
        <is>
          <t>7/C</t>
        </is>
      </c>
      <c r="M6013" s="12" t="inlineStr">
        <is>
          <t>14</t>
        </is>
      </c>
      <c r="N6013" s="12" t="n">
        <v>1</v>
      </c>
      <c r="O6013" s="12" t="n">
        <v>1</v>
      </c>
      <c r="P6013" s="12" t="n"/>
      <c r="Q6013" s="12" t="n"/>
      <c r="R6013" s="12" t="n"/>
      <c r="S6013" s="12" t="inlineStr">
        <is>
          <t>Duct bank</t>
        </is>
      </c>
      <c r="T6013" s="16" t="n">
        <v>1629</v>
      </c>
      <c r="U6013" s="16" t="n">
        <v>161</v>
      </c>
      <c r="V6013" s="16">
        <f>ROUNDUP((T6013+U6013+2*'Read Me'!$B$13)*(1+'Read Me'!$B$12),-1)</f>
        <v/>
      </c>
      <c r="W6013" s="16">
        <f>V6013*N6013*O6013</f>
        <v/>
      </c>
      <c r="X6013" s="12">
        <f>IF(LEFT(I6013,2)="MV",2*N6013*IF(L6013="1/C",O6013,1),0)</f>
        <v/>
      </c>
      <c r="Y6013" s="12">
        <f>IF(OR(LEFT(K6013,4)="LVAX",LEFT(K6013,6)="MV15AX",LEFT(K6013,4)="CTAX",LEFT(K6013,2)="W|"),2*N6013*O6013,0)</f>
        <v/>
      </c>
      <c r="Z6013" s="12" t="inlineStr"/>
      <c r="AA6013" s="12">
        <f>N6013*O6013</f>
        <v/>
      </c>
    </row>
    <row r="6014">
      <c r="A6014" s="12" t="inlineStr">
        <is>
          <t>C-C-0152</t>
        </is>
      </c>
      <c r="B6014" s="12" t="inlineStr">
        <is>
          <t>C</t>
        </is>
      </c>
      <c r="C6014" s="12" t="inlineStr">
        <is>
          <t>Grid interface</t>
        </is>
      </c>
      <c r="D6014" s="12" t="inlineStr">
        <is>
          <t>Motor 5 of 20: control / local station</t>
        </is>
      </c>
      <c r="E6014" s="12" t="inlineStr">
        <is>
          <t>MCC-C1</t>
        </is>
      </c>
      <c r="F6014" s="12" t="inlineStr">
        <is>
          <t>R1 MCC-C1</t>
        </is>
      </c>
      <c r="G6014" s="12" t="inlineStr"/>
      <c r="H6014" s="12" t="inlineStr">
        <is>
          <t>Water treatment building: rooftop HVAC, exhaust fans, vents</t>
        </is>
      </c>
      <c r="I6014" s="12" t="inlineStr">
        <is>
          <t>Control</t>
        </is>
      </c>
      <c r="J6014" s="12" t="inlineStr">
        <is>
          <t>Control cable 600 V Type TC-ER, Cu #14 AWG, PVC jacket</t>
        </is>
      </c>
      <c r="K6014" s="12" t="inlineStr">
        <is>
          <t>CT|7/C|14</t>
        </is>
      </c>
      <c r="L6014" s="12" t="inlineStr">
        <is>
          <t>7/C</t>
        </is>
      </c>
      <c r="M6014" s="12" t="inlineStr">
        <is>
          <t>14</t>
        </is>
      </c>
      <c r="N6014" s="12" t="n">
        <v>1</v>
      </c>
      <c r="O6014" s="12" t="n">
        <v>1</v>
      </c>
      <c r="P6014" s="12" t="n"/>
      <c r="Q6014" s="12" t="n"/>
      <c r="R6014" s="12" t="n"/>
      <c r="S6014" s="12" t="inlineStr">
        <is>
          <t>Duct bank</t>
        </is>
      </c>
      <c r="T6014" s="16" t="n">
        <v>1629</v>
      </c>
      <c r="U6014" s="16" t="n">
        <v>161</v>
      </c>
      <c r="V6014" s="16">
        <f>ROUNDUP((T6014+U6014+2*'Read Me'!$B$13)*(1+'Read Me'!$B$12),-1)</f>
        <v/>
      </c>
      <c r="W6014" s="16">
        <f>V6014*N6014*O6014</f>
        <v/>
      </c>
      <c r="X6014" s="12">
        <f>IF(LEFT(I6014,2)="MV",2*N6014*IF(L6014="1/C",O6014,1),0)</f>
        <v/>
      </c>
      <c r="Y6014" s="12">
        <f>IF(OR(LEFT(K6014,4)="LVAX",LEFT(K6014,6)="MV15AX",LEFT(K6014,4)="CTAX",LEFT(K6014,2)="W|"),2*N6014*O6014,0)</f>
        <v/>
      </c>
      <c r="Z6014" s="12" t="inlineStr"/>
      <c r="AA6014" s="12">
        <f>N6014*O6014</f>
        <v/>
      </c>
    </row>
    <row r="6015">
      <c r="A6015" s="12" t="inlineStr">
        <is>
          <t>C-C-0153</t>
        </is>
      </c>
      <c r="B6015" s="12" t="inlineStr">
        <is>
          <t>C</t>
        </is>
      </c>
      <c r="C6015" s="12" t="inlineStr">
        <is>
          <t>Grid interface</t>
        </is>
      </c>
      <c r="D6015" s="12" t="inlineStr">
        <is>
          <t>Motor 6 of 20: control / local station</t>
        </is>
      </c>
      <c r="E6015" s="12" t="inlineStr">
        <is>
          <t>MCC-C1</t>
        </is>
      </c>
      <c r="F6015" s="12" t="inlineStr">
        <is>
          <t>R1 MCC-C1</t>
        </is>
      </c>
      <c r="G6015" s="12" t="inlineStr"/>
      <c r="H6015" s="12" t="inlineStr">
        <is>
          <t>Water treatment building: rooftop HVAC, exhaust fans, vents</t>
        </is>
      </c>
      <c r="I6015" s="12" t="inlineStr">
        <is>
          <t>Control</t>
        </is>
      </c>
      <c r="J6015" s="12" t="inlineStr">
        <is>
          <t>Control cable 600 V Type TC-ER, Cu #14 AWG, PVC jacket</t>
        </is>
      </c>
      <c r="K6015" s="12" t="inlineStr">
        <is>
          <t>CT|7/C|14</t>
        </is>
      </c>
      <c r="L6015" s="12" t="inlineStr">
        <is>
          <t>7/C</t>
        </is>
      </c>
      <c r="M6015" s="12" t="inlineStr">
        <is>
          <t>14</t>
        </is>
      </c>
      <c r="N6015" s="12" t="n">
        <v>1</v>
      </c>
      <c r="O6015" s="12" t="n">
        <v>1</v>
      </c>
      <c r="P6015" s="12" t="n"/>
      <c r="Q6015" s="12" t="n"/>
      <c r="R6015" s="12" t="n"/>
      <c r="S6015" s="12" t="inlineStr">
        <is>
          <t>Duct bank</t>
        </is>
      </c>
      <c r="T6015" s="16" t="n">
        <v>1629</v>
      </c>
      <c r="U6015" s="16" t="n">
        <v>161</v>
      </c>
      <c r="V6015" s="16">
        <f>ROUNDUP((T6015+U6015+2*'Read Me'!$B$13)*(1+'Read Me'!$B$12),-1)</f>
        <v/>
      </c>
      <c r="W6015" s="16">
        <f>V6015*N6015*O6015</f>
        <v/>
      </c>
      <c r="X6015" s="12">
        <f>IF(LEFT(I6015,2)="MV",2*N6015*IF(L6015="1/C",O6015,1),0)</f>
        <v/>
      </c>
      <c r="Y6015" s="12">
        <f>IF(OR(LEFT(K6015,4)="LVAX",LEFT(K6015,6)="MV15AX",LEFT(K6015,4)="CTAX",LEFT(K6015,2)="W|"),2*N6015*O6015,0)</f>
        <v/>
      </c>
      <c r="Z6015" s="12" t="inlineStr"/>
      <c r="AA6015" s="12">
        <f>N6015*O6015</f>
        <v/>
      </c>
    </row>
    <row r="6016">
      <c r="A6016" s="12" t="inlineStr">
        <is>
          <t>C-C-0154</t>
        </is>
      </c>
      <c r="B6016" s="12" t="inlineStr">
        <is>
          <t>C</t>
        </is>
      </c>
      <c r="C6016" s="12" t="inlineStr">
        <is>
          <t>Grid interface</t>
        </is>
      </c>
      <c r="D6016" s="12" t="inlineStr">
        <is>
          <t>Motor 7 of 20: control / local station</t>
        </is>
      </c>
      <c r="E6016" s="12" t="inlineStr">
        <is>
          <t>MCC-C1</t>
        </is>
      </c>
      <c r="F6016" s="12" t="inlineStr">
        <is>
          <t>R1 MCC-C1</t>
        </is>
      </c>
      <c r="G6016" s="12" t="inlineStr"/>
      <c r="H6016" s="12" t="inlineStr">
        <is>
          <t>Water treatment building: rooftop HVAC, exhaust fans, vents</t>
        </is>
      </c>
      <c r="I6016" s="12" t="inlineStr">
        <is>
          <t>Control</t>
        </is>
      </c>
      <c r="J6016" s="12" t="inlineStr">
        <is>
          <t>Control cable 600 V Type TC-ER, Cu #14 AWG, PVC jacket</t>
        </is>
      </c>
      <c r="K6016" s="12" t="inlineStr">
        <is>
          <t>CT|7/C|14</t>
        </is>
      </c>
      <c r="L6016" s="12" t="inlineStr">
        <is>
          <t>7/C</t>
        </is>
      </c>
      <c r="M6016" s="12" t="inlineStr">
        <is>
          <t>14</t>
        </is>
      </c>
      <c r="N6016" s="12" t="n">
        <v>1</v>
      </c>
      <c r="O6016" s="12" t="n">
        <v>1</v>
      </c>
      <c r="P6016" s="12" t="n"/>
      <c r="Q6016" s="12" t="n"/>
      <c r="R6016" s="12" t="n"/>
      <c r="S6016" s="12" t="inlineStr">
        <is>
          <t>Duct bank</t>
        </is>
      </c>
      <c r="T6016" s="16" t="n">
        <v>1629</v>
      </c>
      <c r="U6016" s="16" t="n">
        <v>161</v>
      </c>
      <c r="V6016" s="16">
        <f>ROUNDUP((T6016+U6016+2*'Read Me'!$B$13)*(1+'Read Me'!$B$12),-1)</f>
        <v/>
      </c>
      <c r="W6016" s="16">
        <f>V6016*N6016*O6016</f>
        <v/>
      </c>
      <c r="X6016" s="12">
        <f>IF(LEFT(I6016,2)="MV",2*N6016*IF(L6016="1/C",O6016,1),0)</f>
        <v/>
      </c>
      <c r="Y6016" s="12">
        <f>IF(OR(LEFT(K6016,4)="LVAX",LEFT(K6016,6)="MV15AX",LEFT(K6016,4)="CTAX",LEFT(K6016,2)="W|"),2*N6016*O6016,0)</f>
        <v/>
      </c>
      <c r="Z6016" s="12" t="inlineStr"/>
      <c r="AA6016" s="12">
        <f>N6016*O6016</f>
        <v/>
      </c>
    </row>
    <row r="6017">
      <c r="A6017" s="12" t="inlineStr">
        <is>
          <t>C-C-0155</t>
        </is>
      </c>
      <c r="B6017" s="12" t="inlineStr">
        <is>
          <t>C</t>
        </is>
      </c>
      <c r="C6017" s="12" t="inlineStr">
        <is>
          <t>Grid interface</t>
        </is>
      </c>
      <c r="D6017" s="12" t="inlineStr">
        <is>
          <t>Motor 8 of 20: control / local station</t>
        </is>
      </c>
      <c r="E6017" s="12" t="inlineStr">
        <is>
          <t>MCC-C1</t>
        </is>
      </c>
      <c r="F6017" s="12" t="inlineStr">
        <is>
          <t>R1 MCC-C1</t>
        </is>
      </c>
      <c r="G6017" s="12" t="inlineStr"/>
      <c r="H6017" s="12" t="inlineStr">
        <is>
          <t>Water treatment building: rooftop HVAC, exhaust fans, vents</t>
        </is>
      </c>
      <c r="I6017" s="12" t="inlineStr">
        <is>
          <t>Control</t>
        </is>
      </c>
      <c r="J6017" s="12" t="inlineStr">
        <is>
          <t>Control cable 600 V Type TC-ER, Cu #14 AWG, PVC jacket</t>
        </is>
      </c>
      <c r="K6017" s="12" t="inlineStr">
        <is>
          <t>CT|7/C|14</t>
        </is>
      </c>
      <c r="L6017" s="12" t="inlineStr">
        <is>
          <t>7/C</t>
        </is>
      </c>
      <c r="M6017" s="12" t="inlineStr">
        <is>
          <t>14</t>
        </is>
      </c>
      <c r="N6017" s="12" t="n">
        <v>1</v>
      </c>
      <c r="O6017" s="12" t="n">
        <v>1</v>
      </c>
      <c r="P6017" s="12" t="n"/>
      <c r="Q6017" s="12" t="n"/>
      <c r="R6017" s="12" t="n"/>
      <c r="S6017" s="12" t="inlineStr">
        <is>
          <t>Duct bank</t>
        </is>
      </c>
      <c r="T6017" s="16" t="n">
        <v>1629</v>
      </c>
      <c r="U6017" s="16" t="n">
        <v>161</v>
      </c>
      <c r="V6017" s="16">
        <f>ROUNDUP((T6017+U6017+2*'Read Me'!$B$13)*(1+'Read Me'!$B$12),-1)</f>
        <v/>
      </c>
      <c r="W6017" s="16">
        <f>V6017*N6017*O6017</f>
        <v/>
      </c>
      <c r="X6017" s="12">
        <f>IF(LEFT(I6017,2)="MV",2*N6017*IF(L6017="1/C",O6017,1),0)</f>
        <v/>
      </c>
      <c r="Y6017" s="12">
        <f>IF(OR(LEFT(K6017,4)="LVAX",LEFT(K6017,6)="MV15AX",LEFT(K6017,4)="CTAX",LEFT(K6017,2)="W|"),2*N6017*O6017,0)</f>
        <v/>
      </c>
      <c r="Z6017" s="12" t="inlineStr"/>
      <c r="AA6017" s="12">
        <f>N6017*O6017</f>
        <v/>
      </c>
    </row>
    <row r="6018">
      <c r="A6018" s="12" t="inlineStr">
        <is>
          <t>C-C-0156</t>
        </is>
      </c>
      <c r="B6018" s="12" t="inlineStr">
        <is>
          <t>C</t>
        </is>
      </c>
      <c r="C6018" s="12" t="inlineStr">
        <is>
          <t>Grid interface</t>
        </is>
      </c>
      <c r="D6018" s="12" t="inlineStr">
        <is>
          <t>Motor 9 of 20: control / local station</t>
        </is>
      </c>
      <c r="E6018" s="12" t="inlineStr">
        <is>
          <t>MCC-C1</t>
        </is>
      </c>
      <c r="F6018" s="12" t="inlineStr">
        <is>
          <t>R1 MCC-C1</t>
        </is>
      </c>
      <c r="G6018" s="12" t="inlineStr"/>
      <c r="H6018" s="12" t="inlineStr">
        <is>
          <t>Water treatment building: rooftop HVAC, exhaust fans, vents</t>
        </is>
      </c>
      <c r="I6018" s="12" t="inlineStr">
        <is>
          <t>Control</t>
        </is>
      </c>
      <c r="J6018" s="12" t="inlineStr">
        <is>
          <t>Control cable 600 V Type TC-ER, Cu #14 AWG, PVC jacket</t>
        </is>
      </c>
      <c r="K6018" s="12" t="inlineStr">
        <is>
          <t>CT|7/C|14</t>
        </is>
      </c>
      <c r="L6018" s="12" t="inlineStr">
        <is>
          <t>7/C</t>
        </is>
      </c>
      <c r="M6018" s="12" t="inlineStr">
        <is>
          <t>14</t>
        </is>
      </c>
      <c r="N6018" s="12" t="n">
        <v>1</v>
      </c>
      <c r="O6018" s="12" t="n">
        <v>1</v>
      </c>
      <c r="P6018" s="12" t="n"/>
      <c r="Q6018" s="12" t="n"/>
      <c r="R6018" s="12" t="n"/>
      <c r="S6018" s="12" t="inlineStr">
        <is>
          <t>Duct bank</t>
        </is>
      </c>
      <c r="T6018" s="16" t="n">
        <v>1629</v>
      </c>
      <c r="U6018" s="16" t="n">
        <v>161</v>
      </c>
      <c r="V6018" s="16">
        <f>ROUNDUP((T6018+U6018+2*'Read Me'!$B$13)*(1+'Read Me'!$B$12),-1)</f>
        <v/>
      </c>
      <c r="W6018" s="16">
        <f>V6018*N6018*O6018</f>
        <v/>
      </c>
      <c r="X6018" s="12">
        <f>IF(LEFT(I6018,2)="MV",2*N6018*IF(L6018="1/C",O6018,1),0)</f>
        <v/>
      </c>
      <c r="Y6018" s="12">
        <f>IF(OR(LEFT(K6018,4)="LVAX",LEFT(K6018,6)="MV15AX",LEFT(K6018,4)="CTAX",LEFT(K6018,2)="W|"),2*N6018*O6018,0)</f>
        <v/>
      </c>
      <c r="Z6018" s="12" t="inlineStr"/>
      <c r="AA6018" s="12">
        <f>N6018*O6018</f>
        <v/>
      </c>
    </row>
    <row r="6019">
      <c r="A6019" s="12" t="inlineStr">
        <is>
          <t>C-C-0157</t>
        </is>
      </c>
      <c r="B6019" s="12" t="inlineStr">
        <is>
          <t>C</t>
        </is>
      </c>
      <c r="C6019" s="12" t="inlineStr">
        <is>
          <t>Grid interface</t>
        </is>
      </c>
      <c r="D6019" s="12" t="inlineStr">
        <is>
          <t>Motor 10 of 20: control / local station</t>
        </is>
      </c>
      <c r="E6019" s="12" t="inlineStr">
        <is>
          <t>MCC-C1</t>
        </is>
      </c>
      <c r="F6019" s="12" t="inlineStr">
        <is>
          <t>R1 MCC-C1</t>
        </is>
      </c>
      <c r="G6019" s="12" t="inlineStr"/>
      <c r="H6019" s="12" t="inlineStr">
        <is>
          <t>Water treatment building: rooftop HVAC, exhaust fans, vents</t>
        </is>
      </c>
      <c r="I6019" s="12" t="inlineStr">
        <is>
          <t>Control</t>
        </is>
      </c>
      <c r="J6019" s="12" t="inlineStr">
        <is>
          <t>Control cable 600 V Type TC-ER, Cu #14 AWG, PVC jacket</t>
        </is>
      </c>
      <c r="K6019" s="12" t="inlineStr">
        <is>
          <t>CT|7/C|14</t>
        </is>
      </c>
      <c r="L6019" s="12" t="inlineStr">
        <is>
          <t>7/C</t>
        </is>
      </c>
      <c r="M6019" s="12" t="inlineStr">
        <is>
          <t>14</t>
        </is>
      </c>
      <c r="N6019" s="12" t="n">
        <v>1</v>
      </c>
      <c r="O6019" s="12" t="n">
        <v>1</v>
      </c>
      <c r="P6019" s="12" t="n"/>
      <c r="Q6019" s="12" t="n"/>
      <c r="R6019" s="12" t="n"/>
      <c r="S6019" s="12" t="inlineStr">
        <is>
          <t>Duct bank</t>
        </is>
      </c>
      <c r="T6019" s="16" t="n">
        <v>1629</v>
      </c>
      <c r="U6019" s="16" t="n">
        <v>161</v>
      </c>
      <c r="V6019" s="16">
        <f>ROUNDUP((T6019+U6019+2*'Read Me'!$B$13)*(1+'Read Me'!$B$12),-1)</f>
        <v/>
      </c>
      <c r="W6019" s="16">
        <f>V6019*N6019*O6019</f>
        <v/>
      </c>
      <c r="X6019" s="12">
        <f>IF(LEFT(I6019,2)="MV",2*N6019*IF(L6019="1/C",O6019,1),0)</f>
        <v/>
      </c>
      <c r="Y6019" s="12">
        <f>IF(OR(LEFT(K6019,4)="LVAX",LEFT(K6019,6)="MV15AX",LEFT(K6019,4)="CTAX",LEFT(K6019,2)="W|"),2*N6019*O6019,0)</f>
        <v/>
      </c>
      <c r="Z6019" s="12" t="inlineStr"/>
      <c r="AA6019" s="12">
        <f>N6019*O6019</f>
        <v/>
      </c>
    </row>
    <row r="6020">
      <c r="A6020" s="12" t="inlineStr">
        <is>
          <t>C-C-0158</t>
        </is>
      </c>
      <c r="B6020" s="12" t="inlineStr">
        <is>
          <t>C</t>
        </is>
      </c>
      <c r="C6020" s="12" t="inlineStr">
        <is>
          <t>Grid interface</t>
        </is>
      </c>
      <c r="D6020" s="12" t="inlineStr">
        <is>
          <t>Motor 11 of 20: control / local station</t>
        </is>
      </c>
      <c r="E6020" s="12" t="inlineStr">
        <is>
          <t>MCC-C1</t>
        </is>
      </c>
      <c r="F6020" s="12" t="inlineStr">
        <is>
          <t>R1 MCC-C1</t>
        </is>
      </c>
      <c r="G6020" s="12" t="inlineStr"/>
      <c r="H6020" s="12" t="inlineStr">
        <is>
          <t>Water treatment building: rooftop HVAC, exhaust fans, vents</t>
        </is>
      </c>
      <c r="I6020" s="12" t="inlineStr">
        <is>
          <t>Control</t>
        </is>
      </c>
      <c r="J6020" s="12" t="inlineStr">
        <is>
          <t>Control cable 600 V Type TC-ER, Cu #14 AWG, PVC jacket</t>
        </is>
      </c>
      <c r="K6020" s="12" t="inlineStr">
        <is>
          <t>CT|7/C|14</t>
        </is>
      </c>
      <c r="L6020" s="12" t="inlineStr">
        <is>
          <t>7/C</t>
        </is>
      </c>
      <c r="M6020" s="12" t="inlineStr">
        <is>
          <t>14</t>
        </is>
      </c>
      <c r="N6020" s="12" t="n">
        <v>1</v>
      </c>
      <c r="O6020" s="12" t="n">
        <v>1</v>
      </c>
      <c r="P6020" s="12" t="n"/>
      <c r="Q6020" s="12" t="n"/>
      <c r="R6020" s="12" t="n"/>
      <c r="S6020" s="12" t="inlineStr">
        <is>
          <t>Duct bank</t>
        </is>
      </c>
      <c r="T6020" s="16" t="n">
        <v>1629</v>
      </c>
      <c r="U6020" s="16" t="n">
        <v>161</v>
      </c>
      <c r="V6020" s="16">
        <f>ROUNDUP((T6020+U6020+2*'Read Me'!$B$13)*(1+'Read Me'!$B$12),-1)</f>
        <v/>
      </c>
      <c r="W6020" s="16">
        <f>V6020*N6020*O6020</f>
        <v/>
      </c>
      <c r="X6020" s="12">
        <f>IF(LEFT(I6020,2)="MV",2*N6020*IF(L6020="1/C",O6020,1),0)</f>
        <v/>
      </c>
      <c r="Y6020" s="12">
        <f>IF(OR(LEFT(K6020,4)="LVAX",LEFT(K6020,6)="MV15AX",LEFT(K6020,4)="CTAX",LEFT(K6020,2)="W|"),2*N6020*O6020,0)</f>
        <v/>
      </c>
      <c r="Z6020" s="12" t="inlineStr"/>
      <c r="AA6020" s="12">
        <f>N6020*O6020</f>
        <v/>
      </c>
    </row>
    <row r="6021">
      <c r="A6021" s="12" t="inlineStr">
        <is>
          <t>C-C-0159</t>
        </is>
      </c>
      <c r="B6021" s="12" t="inlineStr">
        <is>
          <t>C</t>
        </is>
      </c>
      <c r="C6021" s="12" t="inlineStr">
        <is>
          <t>Grid interface</t>
        </is>
      </c>
      <c r="D6021" s="12" t="inlineStr">
        <is>
          <t>Motor 12 of 20: control / local station</t>
        </is>
      </c>
      <c r="E6021" s="12" t="inlineStr">
        <is>
          <t>MCC-C1</t>
        </is>
      </c>
      <c r="F6021" s="12" t="inlineStr">
        <is>
          <t>R1 MCC-C1</t>
        </is>
      </c>
      <c r="G6021" s="12" t="inlineStr"/>
      <c r="H6021" s="12" t="inlineStr">
        <is>
          <t>Water treatment building: rooftop HVAC, exhaust fans, vents</t>
        </is>
      </c>
      <c r="I6021" s="12" t="inlineStr">
        <is>
          <t>Control</t>
        </is>
      </c>
      <c r="J6021" s="12" t="inlineStr">
        <is>
          <t>Control cable 600 V Type TC-ER, Cu #14 AWG, PVC jacket</t>
        </is>
      </c>
      <c r="K6021" s="12" t="inlineStr">
        <is>
          <t>CT|7/C|14</t>
        </is>
      </c>
      <c r="L6021" s="12" t="inlineStr">
        <is>
          <t>7/C</t>
        </is>
      </c>
      <c r="M6021" s="12" t="inlineStr">
        <is>
          <t>14</t>
        </is>
      </c>
      <c r="N6021" s="12" t="n">
        <v>1</v>
      </c>
      <c r="O6021" s="12" t="n">
        <v>1</v>
      </c>
      <c r="P6021" s="12" t="n"/>
      <c r="Q6021" s="12" t="n"/>
      <c r="R6021" s="12" t="n"/>
      <c r="S6021" s="12" t="inlineStr">
        <is>
          <t>Duct bank</t>
        </is>
      </c>
      <c r="T6021" s="16" t="n">
        <v>1629</v>
      </c>
      <c r="U6021" s="16" t="n">
        <v>161</v>
      </c>
      <c r="V6021" s="16">
        <f>ROUNDUP((T6021+U6021+2*'Read Me'!$B$13)*(1+'Read Me'!$B$12),-1)</f>
        <v/>
      </c>
      <c r="W6021" s="16">
        <f>V6021*N6021*O6021</f>
        <v/>
      </c>
      <c r="X6021" s="12">
        <f>IF(LEFT(I6021,2)="MV",2*N6021*IF(L6021="1/C",O6021,1),0)</f>
        <v/>
      </c>
      <c r="Y6021" s="12">
        <f>IF(OR(LEFT(K6021,4)="LVAX",LEFT(K6021,6)="MV15AX",LEFT(K6021,4)="CTAX",LEFT(K6021,2)="W|"),2*N6021*O6021,0)</f>
        <v/>
      </c>
      <c r="Z6021" s="12" t="inlineStr"/>
      <c r="AA6021" s="12">
        <f>N6021*O6021</f>
        <v/>
      </c>
    </row>
    <row r="6022">
      <c r="A6022" s="12" t="inlineStr">
        <is>
          <t>C-C-0160</t>
        </is>
      </c>
      <c r="B6022" s="12" t="inlineStr">
        <is>
          <t>C</t>
        </is>
      </c>
      <c r="C6022" s="12" t="inlineStr">
        <is>
          <t>Grid interface</t>
        </is>
      </c>
      <c r="D6022" s="12" t="inlineStr">
        <is>
          <t>Motor 13 of 20: control / local station</t>
        </is>
      </c>
      <c r="E6022" s="12" t="inlineStr">
        <is>
          <t>MCC-C1</t>
        </is>
      </c>
      <c r="F6022" s="12" t="inlineStr">
        <is>
          <t>R1 MCC-C1</t>
        </is>
      </c>
      <c r="G6022" s="12" t="inlineStr"/>
      <c r="H6022" s="12" t="inlineStr">
        <is>
          <t>Water treatment building: rooftop HVAC, exhaust fans, vents</t>
        </is>
      </c>
      <c r="I6022" s="12" t="inlineStr">
        <is>
          <t>Control</t>
        </is>
      </c>
      <c r="J6022" s="12" t="inlineStr">
        <is>
          <t>Control cable 600 V Type TC-ER, Cu #14 AWG, PVC jacket</t>
        </is>
      </c>
      <c r="K6022" s="12" t="inlineStr">
        <is>
          <t>CT|7/C|14</t>
        </is>
      </c>
      <c r="L6022" s="12" t="inlineStr">
        <is>
          <t>7/C</t>
        </is>
      </c>
      <c r="M6022" s="12" t="inlineStr">
        <is>
          <t>14</t>
        </is>
      </c>
      <c r="N6022" s="12" t="n">
        <v>1</v>
      </c>
      <c r="O6022" s="12" t="n">
        <v>1</v>
      </c>
      <c r="P6022" s="12" t="n"/>
      <c r="Q6022" s="12" t="n"/>
      <c r="R6022" s="12" t="n"/>
      <c r="S6022" s="12" t="inlineStr">
        <is>
          <t>Duct bank</t>
        </is>
      </c>
      <c r="T6022" s="16" t="n">
        <v>1629</v>
      </c>
      <c r="U6022" s="16" t="n">
        <v>161</v>
      </c>
      <c r="V6022" s="16">
        <f>ROUNDUP((T6022+U6022+2*'Read Me'!$B$13)*(1+'Read Me'!$B$12),-1)</f>
        <v/>
      </c>
      <c r="W6022" s="16">
        <f>V6022*N6022*O6022</f>
        <v/>
      </c>
      <c r="X6022" s="12">
        <f>IF(LEFT(I6022,2)="MV",2*N6022*IF(L6022="1/C",O6022,1),0)</f>
        <v/>
      </c>
      <c r="Y6022" s="12">
        <f>IF(OR(LEFT(K6022,4)="LVAX",LEFT(K6022,6)="MV15AX",LEFT(K6022,4)="CTAX",LEFT(K6022,2)="W|"),2*N6022*O6022,0)</f>
        <v/>
      </c>
      <c r="Z6022" s="12" t="inlineStr"/>
      <c r="AA6022" s="12">
        <f>N6022*O6022</f>
        <v/>
      </c>
    </row>
    <row r="6023">
      <c r="A6023" s="12" t="inlineStr">
        <is>
          <t>C-C-0161</t>
        </is>
      </c>
      <c r="B6023" s="12" t="inlineStr">
        <is>
          <t>C</t>
        </is>
      </c>
      <c r="C6023" s="12" t="inlineStr">
        <is>
          <t>Grid interface</t>
        </is>
      </c>
      <c r="D6023" s="12" t="inlineStr">
        <is>
          <t>Motor 14 of 20: control / local station</t>
        </is>
      </c>
      <c r="E6023" s="12" t="inlineStr">
        <is>
          <t>MCC-C1</t>
        </is>
      </c>
      <c r="F6023" s="12" t="inlineStr">
        <is>
          <t>R1 MCC-C1</t>
        </is>
      </c>
      <c r="G6023" s="12" t="inlineStr"/>
      <c r="H6023" s="12" t="inlineStr">
        <is>
          <t>Water treatment building: rooftop HVAC, exhaust fans, vents</t>
        </is>
      </c>
      <c r="I6023" s="12" t="inlineStr">
        <is>
          <t>Control</t>
        </is>
      </c>
      <c r="J6023" s="12" t="inlineStr">
        <is>
          <t>Control cable 600 V Type TC-ER, Cu #14 AWG, PVC jacket</t>
        </is>
      </c>
      <c r="K6023" s="12" t="inlineStr">
        <is>
          <t>CT|7/C|14</t>
        </is>
      </c>
      <c r="L6023" s="12" t="inlineStr">
        <is>
          <t>7/C</t>
        </is>
      </c>
      <c r="M6023" s="12" t="inlineStr">
        <is>
          <t>14</t>
        </is>
      </c>
      <c r="N6023" s="12" t="n">
        <v>1</v>
      </c>
      <c r="O6023" s="12" t="n">
        <v>1</v>
      </c>
      <c r="P6023" s="12" t="n"/>
      <c r="Q6023" s="12" t="n"/>
      <c r="R6023" s="12" t="n"/>
      <c r="S6023" s="12" t="inlineStr">
        <is>
          <t>Duct bank</t>
        </is>
      </c>
      <c r="T6023" s="16" t="n">
        <v>1629</v>
      </c>
      <c r="U6023" s="16" t="n">
        <v>161</v>
      </c>
      <c r="V6023" s="16">
        <f>ROUNDUP((T6023+U6023+2*'Read Me'!$B$13)*(1+'Read Me'!$B$12),-1)</f>
        <v/>
      </c>
      <c r="W6023" s="16">
        <f>V6023*N6023*O6023</f>
        <v/>
      </c>
      <c r="X6023" s="12">
        <f>IF(LEFT(I6023,2)="MV",2*N6023*IF(L6023="1/C",O6023,1),0)</f>
        <v/>
      </c>
      <c r="Y6023" s="12">
        <f>IF(OR(LEFT(K6023,4)="LVAX",LEFT(K6023,6)="MV15AX",LEFT(K6023,4)="CTAX",LEFT(K6023,2)="W|"),2*N6023*O6023,0)</f>
        <v/>
      </c>
      <c r="Z6023" s="12" t="inlineStr"/>
      <c r="AA6023" s="12">
        <f>N6023*O6023</f>
        <v/>
      </c>
    </row>
    <row r="6024">
      <c r="A6024" s="12" t="inlineStr">
        <is>
          <t>C-C-0162</t>
        </is>
      </c>
      <c r="B6024" s="12" t="inlineStr">
        <is>
          <t>C</t>
        </is>
      </c>
      <c r="C6024" s="12" t="inlineStr">
        <is>
          <t>Grid interface</t>
        </is>
      </c>
      <c r="D6024" s="12" t="inlineStr">
        <is>
          <t>Motor 15 of 20: control / local station</t>
        </is>
      </c>
      <c r="E6024" s="12" t="inlineStr">
        <is>
          <t>MCC-C1</t>
        </is>
      </c>
      <c r="F6024" s="12" t="inlineStr">
        <is>
          <t>R1 MCC-C1</t>
        </is>
      </c>
      <c r="G6024" s="12" t="inlineStr"/>
      <c r="H6024" s="12" t="inlineStr">
        <is>
          <t>Water treatment building: rooftop HVAC, exhaust fans, vents</t>
        </is>
      </c>
      <c r="I6024" s="12" t="inlineStr">
        <is>
          <t>Control</t>
        </is>
      </c>
      <c r="J6024" s="12" t="inlineStr">
        <is>
          <t>Control cable 600 V Type TC-ER, Cu #14 AWG, PVC jacket</t>
        </is>
      </c>
      <c r="K6024" s="12" t="inlineStr">
        <is>
          <t>CT|7/C|14</t>
        </is>
      </c>
      <c r="L6024" s="12" t="inlineStr">
        <is>
          <t>7/C</t>
        </is>
      </c>
      <c r="M6024" s="12" t="inlineStr">
        <is>
          <t>14</t>
        </is>
      </c>
      <c r="N6024" s="12" t="n">
        <v>1</v>
      </c>
      <c r="O6024" s="12" t="n">
        <v>1</v>
      </c>
      <c r="P6024" s="12" t="n"/>
      <c r="Q6024" s="12" t="n"/>
      <c r="R6024" s="12" t="n"/>
      <c r="S6024" s="12" t="inlineStr">
        <is>
          <t>Duct bank</t>
        </is>
      </c>
      <c r="T6024" s="16" t="n">
        <v>1629</v>
      </c>
      <c r="U6024" s="16" t="n">
        <v>161</v>
      </c>
      <c r="V6024" s="16">
        <f>ROUNDUP((T6024+U6024+2*'Read Me'!$B$13)*(1+'Read Me'!$B$12),-1)</f>
        <v/>
      </c>
      <c r="W6024" s="16">
        <f>V6024*N6024*O6024</f>
        <v/>
      </c>
      <c r="X6024" s="12">
        <f>IF(LEFT(I6024,2)="MV",2*N6024*IF(L6024="1/C",O6024,1),0)</f>
        <v/>
      </c>
      <c r="Y6024" s="12">
        <f>IF(OR(LEFT(K6024,4)="LVAX",LEFT(K6024,6)="MV15AX",LEFT(K6024,4)="CTAX",LEFT(K6024,2)="W|"),2*N6024*O6024,0)</f>
        <v/>
      </c>
      <c r="Z6024" s="12" t="inlineStr"/>
      <c r="AA6024" s="12">
        <f>N6024*O6024</f>
        <v/>
      </c>
    </row>
    <row r="6025">
      <c r="A6025" s="12" t="inlineStr">
        <is>
          <t>C-C-0163</t>
        </is>
      </c>
      <c r="B6025" s="12" t="inlineStr">
        <is>
          <t>C</t>
        </is>
      </c>
      <c r="C6025" s="12" t="inlineStr">
        <is>
          <t>Grid interface</t>
        </is>
      </c>
      <c r="D6025" s="12" t="inlineStr">
        <is>
          <t>Motor 16 of 20: control / local station</t>
        </is>
      </c>
      <c r="E6025" s="12" t="inlineStr">
        <is>
          <t>MCC-C1</t>
        </is>
      </c>
      <c r="F6025" s="12" t="inlineStr">
        <is>
          <t>R1 MCC-C1</t>
        </is>
      </c>
      <c r="G6025" s="12" t="inlineStr"/>
      <c r="H6025" s="12" t="inlineStr">
        <is>
          <t>Water treatment building: rooftop HVAC, exhaust fans, vents</t>
        </is>
      </c>
      <c r="I6025" s="12" t="inlineStr">
        <is>
          <t>Control</t>
        </is>
      </c>
      <c r="J6025" s="12" t="inlineStr">
        <is>
          <t>Control cable 600 V Type TC-ER, Cu #14 AWG, PVC jacket</t>
        </is>
      </c>
      <c r="K6025" s="12" t="inlineStr">
        <is>
          <t>CT|7/C|14</t>
        </is>
      </c>
      <c r="L6025" s="12" t="inlineStr">
        <is>
          <t>7/C</t>
        </is>
      </c>
      <c r="M6025" s="12" t="inlineStr">
        <is>
          <t>14</t>
        </is>
      </c>
      <c r="N6025" s="12" t="n">
        <v>1</v>
      </c>
      <c r="O6025" s="12" t="n">
        <v>1</v>
      </c>
      <c r="P6025" s="12" t="n"/>
      <c r="Q6025" s="12" t="n"/>
      <c r="R6025" s="12" t="n"/>
      <c r="S6025" s="12" t="inlineStr">
        <is>
          <t>Duct bank</t>
        </is>
      </c>
      <c r="T6025" s="16" t="n">
        <v>1629</v>
      </c>
      <c r="U6025" s="16" t="n">
        <v>161</v>
      </c>
      <c r="V6025" s="16">
        <f>ROUNDUP((T6025+U6025+2*'Read Me'!$B$13)*(1+'Read Me'!$B$12),-1)</f>
        <v/>
      </c>
      <c r="W6025" s="16">
        <f>V6025*N6025*O6025</f>
        <v/>
      </c>
      <c r="X6025" s="12">
        <f>IF(LEFT(I6025,2)="MV",2*N6025*IF(L6025="1/C",O6025,1),0)</f>
        <v/>
      </c>
      <c r="Y6025" s="12">
        <f>IF(OR(LEFT(K6025,4)="LVAX",LEFT(K6025,6)="MV15AX",LEFT(K6025,4)="CTAX",LEFT(K6025,2)="W|"),2*N6025*O6025,0)</f>
        <v/>
      </c>
      <c r="Z6025" s="12" t="inlineStr"/>
      <c r="AA6025" s="12">
        <f>N6025*O6025</f>
        <v/>
      </c>
    </row>
    <row r="6026">
      <c r="A6026" s="12" t="inlineStr">
        <is>
          <t>C-C-0164</t>
        </is>
      </c>
      <c r="B6026" s="12" t="inlineStr">
        <is>
          <t>C</t>
        </is>
      </c>
      <c r="C6026" s="12" t="inlineStr">
        <is>
          <t>Grid interface</t>
        </is>
      </c>
      <c r="D6026" s="12" t="inlineStr">
        <is>
          <t>Motor 17 of 20: control / local station</t>
        </is>
      </c>
      <c r="E6026" s="12" t="inlineStr">
        <is>
          <t>MCC-C1</t>
        </is>
      </c>
      <c r="F6026" s="12" t="inlineStr">
        <is>
          <t>R1 MCC-C1</t>
        </is>
      </c>
      <c r="G6026" s="12" t="inlineStr"/>
      <c r="H6026" s="12" t="inlineStr">
        <is>
          <t>Water treatment building: rooftop HVAC, exhaust fans, vents</t>
        </is>
      </c>
      <c r="I6026" s="12" t="inlineStr">
        <is>
          <t>Control</t>
        </is>
      </c>
      <c r="J6026" s="12" t="inlineStr">
        <is>
          <t>Control cable 600 V Type TC-ER, Cu #14 AWG, PVC jacket</t>
        </is>
      </c>
      <c r="K6026" s="12" t="inlineStr">
        <is>
          <t>CT|7/C|14</t>
        </is>
      </c>
      <c r="L6026" s="12" t="inlineStr">
        <is>
          <t>7/C</t>
        </is>
      </c>
      <c r="M6026" s="12" t="inlineStr">
        <is>
          <t>14</t>
        </is>
      </c>
      <c r="N6026" s="12" t="n">
        <v>1</v>
      </c>
      <c r="O6026" s="12" t="n">
        <v>1</v>
      </c>
      <c r="P6026" s="12" t="n"/>
      <c r="Q6026" s="12" t="n"/>
      <c r="R6026" s="12" t="n"/>
      <c r="S6026" s="12" t="inlineStr">
        <is>
          <t>Duct bank</t>
        </is>
      </c>
      <c r="T6026" s="16" t="n">
        <v>1629</v>
      </c>
      <c r="U6026" s="16" t="n">
        <v>161</v>
      </c>
      <c r="V6026" s="16">
        <f>ROUNDUP((T6026+U6026+2*'Read Me'!$B$13)*(1+'Read Me'!$B$12),-1)</f>
        <v/>
      </c>
      <c r="W6026" s="16">
        <f>V6026*N6026*O6026</f>
        <v/>
      </c>
      <c r="X6026" s="12">
        <f>IF(LEFT(I6026,2)="MV",2*N6026*IF(L6026="1/C",O6026,1),0)</f>
        <v/>
      </c>
      <c r="Y6026" s="12">
        <f>IF(OR(LEFT(K6026,4)="LVAX",LEFT(K6026,6)="MV15AX",LEFT(K6026,4)="CTAX",LEFT(K6026,2)="W|"),2*N6026*O6026,0)</f>
        <v/>
      </c>
      <c r="Z6026" s="12" t="inlineStr"/>
      <c r="AA6026" s="12">
        <f>N6026*O6026</f>
        <v/>
      </c>
    </row>
    <row r="6027">
      <c r="A6027" s="12" t="inlineStr">
        <is>
          <t>C-C-0165</t>
        </is>
      </c>
      <c r="B6027" s="12" t="inlineStr">
        <is>
          <t>C</t>
        </is>
      </c>
      <c r="C6027" s="12" t="inlineStr">
        <is>
          <t>Grid interface</t>
        </is>
      </c>
      <c r="D6027" s="12" t="inlineStr">
        <is>
          <t>Motor 18 of 20: control / local station</t>
        </is>
      </c>
      <c r="E6027" s="12" t="inlineStr">
        <is>
          <t>MCC-C1</t>
        </is>
      </c>
      <c r="F6027" s="12" t="inlineStr">
        <is>
          <t>R1 MCC-C1</t>
        </is>
      </c>
      <c r="G6027" s="12" t="inlineStr"/>
      <c r="H6027" s="12" t="inlineStr">
        <is>
          <t>Water treatment building: rooftop HVAC, exhaust fans, vents</t>
        </is>
      </c>
      <c r="I6027" s="12" t="inlineStr">
        <is>
          <t>Control</t>
        </is>
      </c>
      <c r="J6027" s="12" t="inlineStr">
        <is>
          <t>Control cable 600 V Type TC-ER, Cu #14 AWG, PVC jacket</t>
        </is>
      </c>
      <c r="K6027" s="12" t="inlineStr">
        <is>
          <t>CT|7/C|14</t>
        </is>
      </c>
      <c r="L6027" s="12" t="inlineStr">
        <is>
          <t>7/C</t>
        </is>
      </c>
      <c r="M6027" s="12" t="inlineStr">
        <is>
          <t>14</t>
        </is>
      </c>
      <c r="N6027" s="12" t="n">
        <v>1</v>
      </c>
      <c r="O6027" s="12" t="n">
        <v>1</v>
      </c>
      <c r="P6027" s="12" t="n"/>
      <c r="Q6027" s="12" t="n"/>
      <c r="R6027" s="12" t="n"/>
      <c r="S6027" s="12" t="inlineStr">
        <is>
          <t>Duct bank</t>
        </is>
      </c>
      <c r="T6027" s="16" t="n">
        <v>1629</v>
      </c>
      <c r="U6027" s="16" t="n">
        <v>161</v>
      </c>
      <c r="V6027" s="16">
        <f>ROUNDUP((T6027+U6027+2*'Read Me'!$B$13)*(1+'Read Me'!$B$12),-1)</f>
        <v/>
      </c>
      <c r="W6027" s="16">
        <f>V6027*N6027*O6027</f>
        <v/>
      </c>
      <c r="X6027" s="12">
        <f>IF(LEFT(I6027,2)="MV",2*N6027*IF(L6027="1/C",O6027,1),0)</f>
        <v/>
      </c>
      <c r="Y6027" s="12">
        <f>IF(OR(LEFT(K6027,4)="LVAX",LEFT(K6027,6)="MV15AX",LEFT(K6027,4)="CTAX",LEFT(K6027,2)="W|"),2*N6027*O6027,0)</f>
        <v/>
      </c>
      <c r="Z6027" s="12" t="inlineStr"/>
      <c r="AA6027" s="12">
        <f>N6027*O6027</f>
        <v/>
      </c>
    </row>
    <row r="6028">
      <c r="A6028" s="12" t="inlineStr">
        <is>
          <t>C-C-0166</t>
        </is>
      </c>
      <c r="B6028" s="12" t="inlineStr">
        <is>
          <t>C</t>
        </is>
      </c>
      <c r="C6028" s="12" t="inlineStr">
        <is>
          <t>Grid interface</t>
        </is>
      </c>
      <c r="D6028" s="12" t="inlineStr">
        <is>
          <t>Motor 19 of 20: control / local station</t>
        </is>
      </c>
      <c r="E6028" s="12" t="inlineStr">
        <is>
          <t>MCC-C1</t>
        </is>
      </c>
      <c r="F6028" s="12" t="inlineStr">
        <is>
          <t>R1 MCC-C1</t>
        </is>
      </c>
      <c r="G6028" s="12" t="inlineStr"/>
      <c r="H6028" s="12" t="inlineStr">
        <is>
          <t>Water treatment building: rooftop HVAC, exhaust fans, vents</t>
        </is>
      </c>
      <c r="I6028" s="12" t="inlineStr">
        <is>
          <t>Control</t>
        </is>
      </c>
      <c r="J6028" s="12" t="inlineStr">
        <is>
          <t>Control cable 600 V Type TC-ER, Cu #14 AWG, PVC jacket</t>
        </is>
      </c>
      <c r="K6028" s="12" t="inlineStr">
        <is>
          <t>CT|7/C|14</t>
        </is>
      </c>
      <c r="L6028" s="12" t="inlineStr">
        <is>
          <t>7/C</t>
        </is>
      </c>
      <c r="M6028" s="12" t="inlineStr">
        <is>
          <t>14</t>
        </is>
      </c>
      <c r="N6028" s="12" t="n">
        <v>1</v>
      </c>
      <c r="O6028" s="12" t="n">
        <v>1</v>
      </c>
      <c r="P6028" s="12" t="n"/>
      <c r="Q6028" s="12" t="n"/>
      <c r="R6028" s="12" t="n"/>
      <c r="S6028" s="12" t="inlineStr">
        <is>
          <t>Duct bank</t>
        </is>
      </c>
      <c r="T6028" s="16" t="n">
        <v>1629</v>
      </c>
      <c r="U6028" s="16" t="n">
        <v>161</v>
      </c>
      <c r="V6028" s="16">
        <f>ROUNDUP((T6028+U6028+2*'Read Me'!$B$13)*(1+'Read Me'!$B$12),-1)</f>
        <v/>
      </c>
      <c r="W6028" s="16">
        <f>V6028*N6028*O6028</f>
        <v/>
      </c>
      <c r="X6028" s="12">
        <f>IF(LEFT(I6028,2)="MV",2*N6028*IF(L6028="1/C",O6028,1),0)</f>
        <v/>
      </c>
      <c r="Y6028" s="12">
        <f>IF(OR(LEFT(K6028,4)="LVAX",LEFT(K6028,6)="MV15AX",LEFT(K6028,4)="CTAX",LEFT(K6028,2)="W|"),2*N6028*O6028,0)</f>
        <v/>
      </c>
      <c r="Z6028" s="12" t="inlineStr"/>
      <c r="AA6028" s="12">
        <f>N6028*O6028</f>
        <v/>
      </c>
    </row>
    <row r="6029">
      <c r="A6029" s="12" t="inlineStr">
        <is>
          <t>C-C-0167</t>
        </is>
      </c>
      <c r="B6029" s="12" t="inlineStr">
        <is>
          <t>C</t>
        </is>
      </c>
      <c r="C6029" s="12" t="inlineStr">
        <is>
          <t>Grid interface</t>
        </is>
      </c>
      <c r="D6029" s="12" t="inlineStr">
        <is>
          <t>Motor 20 of 20: control / local station</t>
        </is>
      </c>
      <c r="E6029" s="12" t="inlineStr">
        <is>
          <t>MCC-C1</t>
        </is>
      </c>
      <c r="F6029" s="12" t="inlineStr">
        <is>
          <t>R1 MCC-C1</t>
        </is>
      </c>
      <c r="G6029" s="12" t="inlineStr"/>
      <c r="H6029" s="12" t="inlineStr">
        <is>
          <t>Water treatment building: rooftop HVAC, exhaust fans, vents</t>
        </is>
      </c>
      <c r="I6029" s="12" t="inlineStr">
        <is>
          <t>Control</t>
        </is>
      </c>
      <c r="J6029" s="12" t="inlineStr">
        <is>
          <t>Control cable 600 V Type TC-ER, Cu #14 AWG, PVC jacket</t>
        </is>
      </c>
      <c r="K6029" s="12" t="inlineStr">
        <is>
          <t>CT|7/C|14</t>
        </is>
      </c>
      <c r="L6029" s="12" t="inlineStr">
        <is>
          <t>7/C</t>
        </is>
      </c>
      <c r="M6029" s="12" t="inlineStr">
        <is>
          <t>14</t>
        </is>
      </c>
      <c r="N6029" s="12" t="n">
        <v>1</v>
      </c>
      <c r="O6029" s="12" t="n">
        <v>1</v>
      </c>
      <c r="P6029" s="12" t="n"/>
      <c r="Q6029" s="12" t="n"/>
      <c r="R6029" s="12" t="n"/>
      <c r="S6029" s="12" t="inlineStr">
        <is>
          <t>Duct bank</t>
        </is>
      </c>
      <c r="T6029" s="16" t="n">
        <v>1629</v>
      </c>
      <c r="U6029" s="16" t="n">
        <v>161</v>
      </c>
      <c r="V6029" s="16">
        <f>ROUNDUP((T6029+U6029+2*'Read Me'!$B$13)*(1+'Read Me'!$B$12),-1)</f>
        <v/>
      </c>
      <c r="W6029" s="16">
        <f>V6029*N6029*O6029</f>
        <v/>
      </c>
      <c r="X6029" s="12">
        <f>IF(LEFT(I6029,2)="MV",2*N6029*IF(L6029="1/C",O6029,1),0)</f>
        <v/>
      </c>
      <c r="Y6029" s="12">
        <f>IF(OR(LEFT(K6029,4)="LVAX",LEFT(K6029,6)="MV15AX",LEFT(K6029,4)="CTAX",LEFT(K6029,2)="W|"),2*N6029*O6029,0)</f>
        <v/>
      </c>
      <c r="Z6029" s="12" t="inlineStr"/>
      <c r="AA6029" s="12">
        <f>N6029*O6029</f>
        <v/>
      </c>
    </row>
    <row r="6030">
      <c r="A6030" s="12" t="inlineStr">
        <is>
          <t>C-I-0081</t>
        </is>
      </c>
      <c r="B6030" s="12" t="inlineStr">
        <is>
          <t>C</t>
        </is>
      </c>
      <c r="C6030" s="12" t="inlineStr">
        <is>
          <t>Grid interface</t>
        </is>
      </c>
      <c r="D6030" s="12" t="inlineStr">
        <is>
          <t>Analog instrument to JB JB-CO2 compression 3 -AI01: 20 x 1 pr (field cables)</t>
        </is>
      </c>
      <c r="E6030" s="12" t="inlineStr"/>
      <c r="F6030" s="12" t="inlineStr">
        <is>
          <t xml:space="preserve">CO2 compression 3 x ~19 MW + dehydration: rooftop HVAC, exhaust fans, </t>
        </is>
      </c>
      <c r="G6030" s="12" t="inlineStr">
        <is>
          <t>JB-CO2 compression 3 -AI01</t>
        </is>
      </c>
      <c r="H6030" s="12" t="inlineStr">
        <is>
          <t xml:space="preserve">CO2 compression 3 x ~19 MW + dehydration: rooftop HVAC, exhaust fans, </t>
        </is>
      </c>
      <c r="I6030" s="12" t="inlineStr">
        <is>
          <t>Instrumentation</t>
        </is>
      </c>
      <c r="J6030" s="12" t="inlineStr">
        <is>
          <t>Instrumentation PLTC / TC-ER 300 V, #18 twisted shielded pairs, overall shield</t>
        </is>
      </c>
      <c r="K6030" s="12" t="inlineStr">
        <is>
          <t>PLTC|1 pr|16</t>
        </is>
      </c>
      <c r="L6030" s="12" t="inlineStr">
        <is>
          <t>1 pr</t>
        </is>
      </c>
      <c r="M6030" s="12" t="inlineStr">
        <is>
          <t>16</t>
        </is>
      </c>
      <c r="N6030" s="12" t="n">
        <v>20</v>
      </c>
      <c r="O6030" s="12" t="n">
        <v>1</v>
      </c>
      <c r="P6030" s="12" t="n"/>
      <c r="Q6030" s="12" t="n"/>
      <c r="R6030" s="12" t="n"/>
      <c r="S6030" s="12" t="inlineStr">
        <is>
          <t>Tray / conduit</t>
        </is>
      </c>
      <c r="T6030" s="16" t="n">
        <v>161</v>
      </c>
      <c r="U6030" s="16" t="n">
        <v>10</v>
      </c>
      <c r="V6030" s="16">
        <f>ROUNDUP((T6030+U6030+2*'Read Me'!$B$13)*(1+'Read Me'!$B$12),-1)</f>
        <v/>
      </c>
      <c r="W6030" s="16">
        <f>V6030*N6030*O6030</f>
        <v/>
      </c>
      <c r="X6030" s="12">
        <f>IF(LEFT(I6030,2)="MV",2*N6030*IF(L6030="1/C",O6030,1),0)</f>
        <v/>
      </c>
      <c r="Y6030" s="12">
        <f>IF(OR(LEFT(K6030,4)="LVAX",LEFT(K6030,6)="MV15AX",LEFT(K6030,4)="CTAX",LEFT(K6030,2)="W|"),2*N6030*O6030,0)</f>
        <v/>
      </c>
      <c r="Z6030" s="12" t="inlineStr">
        <is>
          <t>device-to-JB field wiring, one cable per device</t>
        </is>
      </c>
      <c r="AA6030" s="12">
        <f>N6030*O6030</f>
        <v/>
      </c>
    </row>
    <row r="6031">
      <c r="A6031" s="12" t="inlineStr">
        <is>
          <t>C-I-0082</t>
        </is>
      </c>
      <c r="B6031" s="12" t="inlineStr">
        <is>
          <t>C</t>
        </is>
      </c>
      <c r="C6031" s="12" t="inlineStr">
        <is>
          <t>Grid interface</t>
        </is>
      </c>
      <c r="D6031" s="12" t="inlineStr">
        <is>
          <t>Home run JB-CO2 compression 3 -AI01 to the control / marshalling room</t>
        </is>
      </c>
      <c r="E6031" s="12" t="inlineStr">
        <is>
          <t>R1</t>
        </is>
      </c>
      <c r="F6031" s="12" t="inlineStr">
        <is>
          <t>R1: main electrical building (64 x 180 ft)</t>
        </is>
      </c>
      <c r="G6031" s="12" t="inlineStr">
        <is>
          <t>JB-CO2 compression 3 -AI01</t>
        </is>
      </c>
      <c r="H6031" s="12" t="inlineStr">
        <is>
          <t xml:space="preserve">CO2 compression 3 x ~19 MW + dehydration: rooftop HVAC, exhaust fans, </t>
        </is>
      </c>
      <c r="I6031" s="12" t="inlineStr">
        <is>
          <t>Instrumentation</t>
        </is>
      </c>
      <c r="J6031" s="12" t="inlineStr">
        <is>
          <t>Instrumentation PLTC / TC-ER 300 V, #18 twisted shielded pairs, overall shield</t>
        </is>
      </c>
      <c r="K6031" s="12" t="inlineStr">
        <is>
          <t>PLTC|24 pr|18</t>
        </is>
      </c>
      <c r="L6031" s="12" t="inlineStr">
        <is>
          <t>24 pr</t>
        </is>
      </c>
      <c r="M6031" s="12" t="inlineStr">
        <is>
          <t>18</t>
        </is>
      </c>
      <c r="N6031" s="12" t="n">
        <v>1</v>
      </c>
      <c r="O6031" s="12" t="n">
        <v>1</v>
      </c>
      <c r="P6031" s="12" t="n"/>
      <c r="Q6031" s="12" t="n"/>
      <c r="R6031" s="12" t="n"/>
      <c r="S6031" s="12" t="inlineStr">
        <is>
          <t>Tray</t>
        </is>
      </c>
      <c r="T6031" s="16" t="n">
        <v>2186</v>
      </c>
      <c r="U6031" s="16" t="n">
        <v>268</v>
      </c>
      <c r="V6031" s="16">
        <f>ROUNDUP((T6031+U6031+2*'Read Me'!$B$13)*(1+'Read Me'!$B$12),-1)</f>
        <v/>
      </c>
      <c r="W6031" s="16">
        <f>V6031*N6031*O6031</f>
        <v/>
      </c>
      <c r="X6031" s="12">
        <f>IF(LEFT(I6031,2)="MV",2*N6031*IF(L6031="1/C",O6031,1),0)</f>
        <v/>
      </c>
      <c r="Y6031" s="12">
        <f>IF(OR(LEFT(K6031,4)="LVAX",LEFT(K6031,6)="MV15AX",LEFT(K6031,4)="CTAX",LEFT(K6031,2)="W|"),2*N6031*O6031,0)</f>
        <v/>
      </c>
      <c r="Z6031" s="12" t="inlineStr"/>
      <c r="AA6031" s="12">
        <f>N6031*O6031</f>
        <v/>
      </c>
    </row>
    <row r="6032">
      <c r="A6032" s="12" t="inlineStr">
        <is>
          <t>C-I-0083</t>
        </is>
      </c>
      <c r="B6032" s="12" t="inlineStr">
        <is>
          <t>C</t>
        </is>
      </c>
      <c r="C6032" s="12" t="inlineStr">
        <is>
          <t>Grid interface</t>
        </is>
      </c>
      <c r="D6032" s="12" t="inlineStr">
        <is>
          <t>Analog instrument to JB JB-CO2 compression 3 -AI02: 20 x 1 pr (field cables)</t>
        </is>
      </c>
      <c r="E6032" s="12" t="inlineStr"/>
      <c r="F6032" s="12" t="inlineStr">
        <is>
          <t xml:space="preserve">CO2 compression 3 x ~19 MW + dehydration: rooftop HVAC, exhaust fans, </t>
        </is>
      </c>
      <c r="G6032" s="12" t="inlineStr">
        <is>
          <t>JB-CO2 compression 3 -AI02</t>
        </is>
      </c>
      <c r="H6032" s="12" t="inlineStr">
        <is>
          <t xml:space="preserve">CO2 compression 3 x ~19 MW + dehydration: rooftop HVAC, exhaust fans, </t>
        </is>
      </c>
      <c r="I6032" s="12" t="inlineStr">
        <is>
          <t>Instrumentation</t>
        </is>
      </c>
      <c r="J6032" s="12" t="inlineStr">
        <is>
          <t>Instrumentation PLTC / TC-ER 300 V, #18 twisted shielded pairs, overall shield</t>
        </is>
      </c>
      <c r="K6032" s="12" t="inlineStr">
        <is>
          <t>PLTC|1 pr|16</t>
        </is>
      </c>
      <c r="L6032" s="12" t="inlineStr">
        <is>
          <t>1 pr</t>
        </is>
      </c>
      <c r="M6032" s="12" t="inlineStr">
        <is>
          <t>16</t>
        </is>
      </c>
      <c r="N6032" s="12" t="n">
        <v>20</v>
      </c>
      <c r="O6032" s="12" t="n">
        <v>1</v>
      </c>
      <c r="P6032" s="12" t="n"/>
      <c r="Q6032" s="12" t="n"/>
      <c r="R6032" s="12" t="n"/>
      <c r="S6032" s="12" t="inlineStr">
        <is>
          <t>Tray / conduit</t>
        </is>
      </c>
      <c r="T6032" s="16" t="n">
        <v>161</v>
      </c>
      <c r="U6032" s="16" t="n">
        <v>10</v>
      </c>
      <c r="V6032" s="16">
        <f>ROUNDUP((T6032+U6032+2*'Read Me'!$B$13)*(1+'Read Me'!$B$12),-1)</f>
        <v/>
      </c>
      <c r="W6032" s="16">
        <f>V6032*N6032*O6032</f>
        <v/>
      </c>
      <c r="X6032" s="12">
        <f>IF(LEFT(I6032,2)="MV",2*N6032*IF(L6032="1/C",O6032,1),0)</f>
        <v/>
      </c>
      <c r="Y6032" s="12">
        <f>IF(OR(LEFT(K6032,4)="LVAX",LEFT(K6032,6)="MV15AX",LEFT(K6032,4)="CTAX",LEFT(K6032,2)="W|"),2*N6032*O6032,0)</f>
        <v/>
      </c>
      <c r="Z6032" s="12" t="inlineStr">
        <is>
          <t>device-to-JB field wiring, one cable per device</t>
        </is>
      </c>
      <c r="AA6032" s="12">
        <f>N6032*O6032</f>
        <v/>
      </c>
    </row>
    <row r="6033">
      <c r="A6033" s="12" t="inlineStr">
        <is>
          <t>C-I-0084</t>
        </is>
      </c>
      <c r="B6033" s="12" t="inlineStr">
        <is>
          <t>C</t>
        </is>
      </c>
      <c r="C6033" s="12" t="inlineStr">
        <is>
          <t>Grid interface</t>
        </is>
      </c>
      <c r="D6033" s="12" t="inlineStr">
        <is>
          <t>Home run JB-CO2 compression 3 -AI02 to the control / marshalling room</t>
        </is>
      </c>
      <c r="E6033" s="12" t="inlineStr">
        <is>
          <t>R1</t>
        </is>
      </c>
      <c r="F6033" s="12" t="inlineStr">
        <is>
          <t>R1: main electrical building (64 x 180 ft)</t>
        </is>
      </c>
      <c r="G6033" s="12" t="inlineStr">
        <is>
          <t>JB-CO2 compression 3 -AI02</t>
        </is>
      </c>
      <c r="H6033" s="12" t="inlineStr">
        <is>
          <t xml:space="preserve">CO2 compression 3 x ~19 MW + dehydration: rooftop HVAC, exhaust fans, </t>
        </is>
      </c>
      <c r="I6033" s="12" t="inlineStr">
        <is>
          <t>Instrumentation</t>
        </is>
      </c>
      <c r="J6033" s="12" t="inlineStr">
        <is>
          <t>Instrumentation PLTC / TC-ER 300 V, #18 twisted shielded pairs, overall shield</t>
        </is>
      </c>
      <c r="K6033" s="12" t="inlineStr">
        <is>
          <t>PLTC|24 pr|18</t>
        </is>
      </c>
      <c r="L6033" s="12" t="inlineStr">
        <is>
          <t>24 pr</t>
        </is>
      </c>
      <c r="M6033" s="12" t="inlineStr">
        <is>
          <t>18</t>
        </is>
      </c>
      <c r="N6033" s="12" t="n">
        <v>1</v>
      </c>
      <c r="O6033" s="12" t="n">
        <v>1</v>
      </c>
      <c r="P6033" s="12" t="n"/>
      <c r="Q6033" s="12" t="n"/>
      <c r="R6033" s="12" t="n"/>
      <c r="S6033" s="12" t="inlineStr">
        <is>
          <t>Tray</t>
        </is>
      </c>
      <c r="T6033" s="16" t="n">
        <v>2186</v>
      </c>
      <c r="U6033" s="16" t="n">
        <v>268</v>
      </c>
      <c r="V6033" s="16">
        <f>ROUNDUP((T6033+U6033+2*'Read Me'!$B$13)*(1+'Read Me'!$B$12),-1)</f>
        <v/>
      </c>
      <c r="W6033" s="16">
        <f>V6033*N6033*O6033</f>
        <v/>
      </c>
      <c r="X6033" s="12">
        <f>IF(LEFT(I6033,2)="MV",2*N6033*IF(L6033="1/C",O6033,1),0)</f>
        <v/>
      </c>
      <c r="Y6033" s="12">
        <f>IF(OR(LEFT(K6033,4)="LVAX",LEFT(K6033,6)="MV15AX",LEFT(K6033,4)="CTAX",LEFT(K6033,2)="W|"),2*N6033*O6033,0)</f>
        <v/>
      </c>
      <c r="Z6033" s="12" t="inlineStr"/>
      <c r="AA6033" s="12">
        <f>N6033*O6033</f>
        <v/>
      </c>
    </row>
    <row r="6034">
      <c r="A6034" s="12" t="inlineStr">
        <is>
          <t>C-I-0085</t>
        </is>
      </c>
      <c r="B6034" s="12" t="inlineStr">
        <is>
          <t>C</t>
        </is>
      </c>
      <c r="C6034" s="12" t="inlineStr">
        <is>
          <t>Grid interface</t>
        </is>
      </c>
      <c r="D6034" s="12" t="inlineStr">
        <is>
          <t>Analog instrument to JB JB-CO2 compression 3 -AI03: 20 x 1 pr (field cables)</t>
        </is>
      </c>
      <c r="E6034" s="12" t="inlineStr"/>
      <c r="F6034" s="12" t="inlineStr">
        <is>
          <t xml:space="preserve">CO2 compression 3 x ~19 MW + dehydration: rooftop HVAC, exhaust fans, </t>
        </is>
      </c>
      <c r="G6034" s="12" t="inlineStr">
        <is>
          <t>JB-CO2 compression 3 -AI03</t>
        </is>
      </c>
      <c r="H6034" s="12" t="inlineStr">
        <is>
          <t xml:space="preserve">CO2 compression 3 x ~19 MW + dehydration: rooftop HVAC, exhaust fans, </t>
        </is>
      </c>
      <c r="I6034" s="12" t="inlineStr">
        <is>
          <t>Instrumentation</t>
        </is>
      </c>
      <c r="J6034" s="12" t="inlineStr">
        <is>
          <t>Instrumentation PLTC / TC-ER 300 V, #18 twisted shielded pairs, overall shield</t>
        </is>
      </c>
      <c r="K6034" s="12" t="inlineStr">
        <is>
          <t>PLTC|1 pr|16</t>
        </is>
      </c>
      <c r="L6034" s="12" t="inlineStr">
        <is>
          <t>1 pr</t>
        </is>
      </c>
      <c r="M6034" s="12" t="inlineStr">
        <is>
          <t>16</t>
        </is>
      </c>
      <c r="N6034" s="12" t="n">
        <v>20</v>
      </c>
      <c r="O6034" s="12" t="n">
        <v>1</v>
      </c>
      <c r="P6034" s="12" t="n"/>
      <c r="Q6034" s="12" t="n"/>
      <c r="R6034" s="12" t="n"/>
      <c r="S6034" s="12" t="inlineStr">
        <is>
          <t>Tray / conduit</t>
        </is>
      </c>
      <c r="T6034" s="16" t="n">
        <v>161</v>
      </c>
      <c r="U6034" s="16" t="n">
        <v>10</v>
      </c>
      <c r="V6034" s="16">
        <f>ROUNDUP((T6034+U6034+2*'Read Me'!$B$13)*(1+'Read Me'!$B$12),-1)</f>
        <v/>
      </c>
      <c r="W6034" s="16">
        <f>V6034*N6034*O6034</f>
        <v/>
      </c>
      <c r="X6034" s="12">
        <f>IF(LEFT(I6034,2)="MV",2*N6034*IF(L6034="1/C",O6034,1),0)</f>
        <v/>
      </c>
      <c r="Y6034" s="12">
        <f>IF(OR(LEFT(K6034,4)="LVAX",LEFT(K6034,6)="MV15AX",LEFT(K6034,4)="CTAX",LEFT(K6034,2)="W|"),2*N6034*O6034,0)</f>
        <v/>
      </c>
      <c r="Z6034" s="12" t="inlineStr">
        <is>
          <t>device-to-JB field wiring, one cable per device</t>
        </is>
      </c>
      <c r="AA6034" s="12">
        <f>N6034*O6034</f>
        <v/>
      </c>
    </row>
    <row r="6035">
      <c r="A6035" s="12" t="inlineStr">
        <is>
          <t>C-I-0086</t>
        </is>
      </c>
      <c r="B6035" s="12" t="inlineStr">
        <is>
          <t>C</t>
        </is>
      </c>
      <c r="C6035" s="12" t="inlineStr">
        <is>
          <t>Grid interface</t>
        </is>
      </c>
      <c r="D6035" s="12" t="inlineStr">
        <is>
          <t>Home run JB-CO2 compression 3 -AI03 to the control / marshalling room</t>
        </is>
      </c>
      <c r="E6035" s="12" t="inlineStr">
        <is>
          <t>R1</t>
        </is>
      </c>
      <c r="F6035" s="12" t="inlineStr">
        <is>
          <t>R1: main electrical building (64 x 180 ft)</t>
        </is>
      </c>
      <c r="G6035" s="12" t="inlineStr">
        <is>
          <t>JB-CO2 compression 3 -AI03</t>
        </is>
      </c>
      <c r="H6035" s="12" t="inlineStr">
        <is>
          <t xml:space="preserve">CO2 compression 3 x ~19 MW + dehydration: rooftop HVAC, exhaust fans, </t>
        </is>
      </c>
      <c r="I6035" s="12" t="inlineStr">
        <is>
          <t>Instrumentation</t>
        </is>
      </c>
      <c r="J6035" s="12" t="inlineStr">
        <is>
          <t>Instrumentation PLTC / TC-ER 300 V, #18 twisted shielded pairs, overall shield</t>
        </is>
      </c>
      <c r="K6035" s="12" t="inlineStr">
        <is>
          <t>PLTC|24 pr|18</t>
        </is>
      </c>
      <c r="L6035" s="12" t="inlineStr">
        <is>
          <t>24 pr</t>
        </is>
      </c>
      <c r="M6035" s="12" t="inlineStr">
        <is>
          <t>18</t>
        </is>
      </c>
      <c r="N6035" s="12" t="n">
        <v>1</v>
      </c>
      <c r="O6035" s="12" t="n">
        <v>1</v>
      </c>
      <c r="P6035" s="12" t="n"/>
      <c r="Q6035" s="12" t="n"/>
      <c r="R6035" s="12" t="n"/>
      <c r="S6035" s="12" t="inlineStr">
        <is>
          <t>Tray</t>
        </is>
      </c>
      <c r="T6035" s="16" t="n">
        <v>2186</v>
      </c>
      <c r="U6035" s="16" t="n">
        <v>268</v>
      </c>
      <c r="V6035" s="16">
        <f>ROUNDUP((T6035+U6035+2*'Read Me'!$B$13)*(1+'Read Me'!$B$12),-1)</f>
        <v/>
      </c>
      <c r="W6035" s="16">
        <f>V6035*N6035*O6035</f>
        <v/>
      </c>
      <c r="X6035" s="12">
        <f>IF(LEFT(I6035,2)="MV",2*N6035*IF(L6035="1/C",O6035,1),0)</f>
        <v/>
      </c>
      <c r="Y6035" s="12">
        <f>IF(OR(LEFT(K6035,4)="LVAX",LEFT(K6035,6)="MV15AX",LEFT(K6035,4)="CTAX",LEFT(K6035,2)="W|"),2*N6035*O6035,0)</f>
        <v/>
      </c>
      <c r="Z6035" s="12" t="inlineStr"/>
      <c r="AA6035" s="12">
        <f>N6035*O6035</f>
        <v/>
      </c>
    </row>
    <row r="6036">
      <c r="A6036" s="12" t="inlineStr">
        <is>
          <t>C-I-0087</t>
        </is>
      </c>
      <c r="B6036" s="12" t="inlineStr">
        <is>
          <t>C</t>
        </is>
      </c>
      <c r="C6036" s="12" t="inlineStr">
        <is>
          <t>Grid interface</t>
        </is>
      </c>
      <c r="D6036" s="12" t="inlineStr">
        <is>
          <t>Analog instrument to JB JB-CO2 compression 3 -AI04: 20 x 1 pr (field cables)</t>
        </is>
      </c>
      <c r="E6036" s="12" t="inlineStr"/>
      <c r="F6036" s="12" t="inlineStr">
        <is>
          <t xml:space="preserve">CO2 compression 3 x ~19 MW + dehydration: rooftop HVAC, exhaust fans, </t>
        </is>
      </c>
      <c r="G6036" s="12" t="inlineStr">
        <is>
          <t>JB-CO2 compression 3 -AI04</t>
        </is>
      </c>
      <c r="H6036" s="12" t="inlineStr">
        <is>
          <t xml:space="preserve">CO2 compression 3 x ~19 MW + dehydration: rooftop HVAC, exhaust fans, </t>
        </is>
      </c>
      <c r="I6036" s="12" t="inlineStr">
        <is>
          <t>Instrumentation</t>
        </is>
      </c>
      <c r="J6036" s="12" t="inlineStr">
        <is>
          <t>Instrumentation PLTC / TC-ER 300 V, #18 twisted shielded pairs, overall shield</t>
        </is>
      </c>
      <c r="K6036" s="12" t="inlineStr">
        <is>
          <t>PLTC|1 pr|16</t>
        </is>
      </c>
      <c r="L6036" s="12" t="inlineStr">
        <is>
          <t>1 pr</t>
        </is>
      </c>
      <c r="M6036" s="12" t="inlineStr">
        <is>
          <t>16</t>
        </is>
      </c>
      <c r="N6036" s="12" t="n">
        <v>20</v>
      </c>
      <c r="O6036" s="12" t="n">
        <v>1</v>
      </c>
      <c r="P6036" s="12" t="n"/>
      <c r="Q6036" s="12" t="n"/>
      <c r="R6036" s="12" t="n"/>
      <c r="S6036" s="12" t="inlineStr">
        <is>
          <t>Tray / conduit</t>
        </is>
      </c>
      <c r="T6036" s="16" t="n">
        <v>161</v>
      </c>
      <c r="U6036" s="16" t="n">
        <v>10</v>
      </c>
      <c r="V6036" s="16">
        <f>ROUNDUP((T6036+U6036+2*'Read Me'!$B$13)*(1+'Read Me'!$B$12),-1)</f>
        <v/>
      </c>
      <c r="W6036" s="16">
        <f>V6036*N6036*O6036</f>
        <v/>
      </c>
      <c r="X6036" s="12">
        <f>IF(LEFT(I6036,2)="MV",2*N6036*IF(L6036="1/C",O6036,1),0)</f>
        <v/>
      </c>
      <c r="Y6036" s="12">
        <f>IF(OR(LEFT(K6036,4)="LVAX",LEFT(K6036,6)="MV15AX",LEFT(K6036,4)="CTAX",LEFT(K6036,2)="W|"),2*N6036*O6036,0)</f>
        <v/>
      </c>
      <c r="Z6036" s="12" t="inlineStr">
        <is>
          <t>device-to-JB field wiring, one cable per device</t>
        </is>
      </c>
      <c r="AA6036" s="12">
        <f>N6036*O6036</f>
        <v/>
      </c>
    </row>
    <row r="6037">
      <c r="A6037" s="12" t="inlineStr">
        <is>
          <t>C-I-0088</t>
        </is>
      </c>
      <c r="B6037" s="12" t="inlineStr">
        <is>
          <t>C</t>
        </is>
      </c>
      <c r="C6037" s="12" t="inlineStr">
        <is>
          <t>Grid interface</t>
        </is>
      </c>
      <c r="D6037" s="12" t="inlineStr">
        <is>
          <t>Home run JB-CO2 compression 3 -AI04 to the control / marshalling room</t>
        </is>
      </c>
      <c r="E6037" s="12" t="inlineStr">
        <is>
          <t>R1</t>
        </is>
      </c>
      <c r="F6037" s="12" t="inlineStr">
        <is>
          <t>R1: main electrical building (64 x 180 ft)</t>
        </is>
      </c>
      <c r="G6037" s="12" t="inlineStr">
        <is>
          <t>JB-CO2 compression 3 -AI04</t>
        </is>
      </c>
      <c r="H6037" s="12" t="inlineStr">
        <is>
          <t xml:space="preserve">CO2 compression 3 x ~19 MW + dehydration: rooftop HVAC, exhaust fans, </t>
        </is>
      </c>
      <c r="I6037" s="12" t="inlineStr">
        <is>
          <t>Instrumentation</t>
        </is>
      </c>
      <c r="J6037" s="12" t="inlineStr">
        <is>
          <t>Instrumentation PLTC / TC-ER 300 V, #18 twisted shielded pairs, overall shield</t>
        </is>
      </c>
      <c r="K6037" s="12" t="inlineStr">
        <is>
          <t>PLTC|24 pr|18</t>
        </is>
      </c>
      <c r="L6037" s="12" t="inlineStr">
        <is>
          <t>24 pr</t>
        </is>
      </c>
      <c r="M6037" s="12" t="inlineStr">
        <is>
          <t>18</t>
        </is>
      </c>
      <c r="N6037" s="12" t="n">
        <v>1</v>
      </c>
      <c r="O6037" s="12" t="n">
        <v>1</v>
      </c>
      <c r="P6037" s="12" t="n"/>
      <c r="Q6037" s="12" t="n"/>
      <c r="R6037" s="12" t="n"/>
      <c r="S6037" s="12" t="inlineStr">
        <is>
          <t>Tray</t>
        </is>
      </c>
      <c r="T6037" s="16" t="n">
        <v>2186</v>
      </c>
      <c r="U6037" s="16" t="n">
        <v>268</v>
      </c>
      <c r="V6037" s="16">
        <f>ROUNDUP((T6037+U6037+2*'Read Me'!$B$13)*(1+'Read Me'!$B$12),-1)</f>
        <v/>
      </c>
      <c r="W6037" s="16">
        <f>V6037*N6037*O6037</f>
        <v/>
      </c>
      <c r="X6037" s="12">
        <f>IF(LEFT(I6037,2)="MV",2*N6037*IF(L6037="1/C",O6037,1),0)</f>
        <v/>
      </c>
      <c r="Y6037" s="12">
        <f>IF(OR(LEFT(K6037,4)="LVAX",LEFT(K6037,6)="MV15AX",LEFT(K6037,4)="CTAX",LEFT(K6037,2)="W|"),2*N6037*O6037,0)</f>
        <v/>
      </c>
      <c r="Z6037" s="12" t="inlineStr"/>
      <c r="AA6037" s="12">
        <f>N6037*O6037</f>
        <v/>
      </c>
    </row>
    <row r="6038">
      <c r="A6038" s="12" t="inlineStr">
        <is>
          <t>C-I-0089</t>
        </is>
      </c>
      <c r="B6038" s="12" t="inlineStr">
        <is>
          <t>C</t>
        </is>
      </c>
      <c r="C6038" s="12" t="inlineStr">
        <is>
          <t>Grid interface</t>
        </is>
      </c>
      <c r="D6038" s="12" t="inlineStr">
        <is>
          <t>Analog instrument to JB JB-CO2 compression 3 -AI05: 20 x 1 pr (field cables)</t>
        </is>
      </c>
      <c r="E6038" s="12" t="inlineStr"/>
      <c r="F6038" s="12" t="inlineStr">
        <is>
          <t xml:space="preserve">CO2 compression 3 x ~19 MW + dehydration: rooftop HVAC, exhaust fans, </t>
        </is>
      </c>
      <c r="G6038" s="12" t="inlineStr">
        <is>
          <t>JB-CO2 compression 3 -AI05</t>
        </is>
      </c>
      <c r="H6038" s="12" t="inlineStr">
        <is>
          <t xml:space="preserve">CO2 compression 3 x ~19 MW + dehydration: rooftop HVAC, exhaust fans, </t>
        </is>
      </c>
      <c r="I6038" s="12" t="inlineStr">
        <is>
          <t>Instrumentation</t>
        </is>
      </c>
      <c r="J6038" s="12" t="inlineStr">
        <is>
          <t>Instrumentation PLTC / TC-ER 300 V, #18 twisted shielded pairs, overall shield</t>
        </is>
      </c>
      <c r="K6038" s="12" t="inlineStr">
        <is>
          <t>PLTC|1 pr|16</t>
        </is>
      </c>
      <c r="L6038" s="12" t="inlineStr">
        <is>
          <t>1 pr</t>
        </is>
      </c>
      <c r="M6038" s="12" t="inlineStr">
        <is>
          <t>16</t>
        </is>
      </c>
      <c r="N6038" s="12" t="n">
        <v>20</v>
      </c>
      <c r="O6038" s="12" t="n">
        <v>1</v>
      </c>
      <c r="P6038" s="12" t="n"/>
      <c r="Q6038" s="12" t="n"/>
      <c r="R6038" s="12" t="n"/>
      <c r="S6038" s="12" t="inlineStr">
        <is>
          <t>Tray / conduit</t>
        </is>
      </c>
      <c r="T6038" s="16" t="n">
        <v>161</v>
      </c>
      <c r="U6038" s="16" t="n">
        <v>10</v>
      </c>
      <c r="V6038" s="16">
        <f>ROUNDUP((T6038+U6038+2*'Read Me'!$B$13)*(1+'Read Me'!$B$12),-1)</f>
        <v/>
      </c>
      <c r="W6038" s="16">
        <f>V6038*N6038*O6038</f>
        <v/>
      </c>
      <c r="X6038" s="12">
        <f>IF(LEFT(I6038,2)="MV",2*N6038*IF(L6038="1/C",O6038,1),0)</f>
        <v/>
      </c>
      <c r="Y6038" s="12">
        <f>IF(OR(LEFT(K6038,4)="LVAX",LEFT(K6038,6)="MV15AX",LEFT(K6038,4)="CTAX",LEFT(K6038,2)="W|"),2*N6038*O6038,0)</f>
        <v/>
      </c>
      <c r="Z6038" s="12" t="inlineStr">
        <is>
          <t>device-to-JB field wiring, one cable per device</t>
        </is>
      </c>
      <c r="AA6038" s="12">
        <f>N6038*O6038</f>
        <v/>
      </c>
    </row>
    <row r="6039">
      <c r="A6039" s="12" t="inlineStr">
        <is>
          <t>C-I-0090</t>
        </is>
      </c>
      <c r="B6039" s="12" t="inlineStr">
        <is>
          <t>C</t>
        </is>
      </c>
      <c r="C6039" s="12" t="inlineStr">
        <is>
          <t>Grid interface</t>
        </is>
      </c>
      <c r="D6039" s="12" t="inlineStr">
        <is>
          <t>Home run JB-CO2 compression 3 -AI05 to the control / marshalling room</t>
        </is>
      </c>
      <c r="E6039" s="12" t="inlineStr">
        <is>
          <t>R1</t>
        </is>
      </c>
      <c r="F6039" s="12" t="inlineStr">
        <is>
          <t>R1: main electrical building (64 x 180 ft)</t>
        </is>
      </c>
      <c r="G6039" s="12" t="inlineStr">
        <is>
          <t>JB-CO2 compression 3 -AI05</t>
        </is>
      </c>
      <c r="H6039" s="12" t="inlineStr">
        <is>
          <t xml:space="preserve">CO2 compression 3 x ~19 MW + dehydration: rooftop HVAC, exhaust fans, </t>
        </is>
      </c>
      <c r="I6039" s="12" t="inlineStr">
        <is>
          <t>Instrumentation</t>
        </is>
      </c>
      <c r="J6039" s="12" t="inlineStr">
        <is>
          <t>Instrumentation PLTC / TC-ER 300 V, #18 twisted shielded pairs, overall shield</t>
        </is>
      </c>
      <c r="K6039" s="12" t="inlineStr">
        <is>
          <t>PLTC|24 pr|18</t>
        </is>
      </c>
      <c r="L6039" s="12" t="inlineStr">
        <is>
          <t>24 pr</t>
        </is>
      </c>
      <c r="M6039" s="12" t="inlineStr">
        <is>
          <t>18</t>
        </is>
      </c>
      <c r="N6039" s="12" t="n">
        <v>1</v>
      </c>
      <c r="O6039" s="12" t="n">
        <v>1</v>
      </c>
      <c r="P6039" s="12" t="n"/>
      <c r="Q6039" s="12" t="n"/>
      <c r="R6039" s="12" t="n"/>
      <c r="S6039" s="12" t="inlineStr">
        <is>
          <t>Tray</t>
        </is>
      </c>
      <c r="T6039" s="16" t="n">
        <v>2186</v>
      </c>
      <c r="U6039" s="16" t="n">
        <v>268</v>
      </c>
      <c r="V6039" s="16">
        <f>ROUNDUP((T6039+U6039+2*'Read Me'!$B$13)*(1+'Read Me'!$B$12),-1)</f>
        <v/>
      </c>
      <c r="W6039" s="16">
        <f>V6039*N6039*O6039</f>
        <v/>
      </c>
      <c r="X6039" s="12">
        <f>IF(LEFT(I6039,2)="MV",2*N6039*IF(L6039="1/C",O6039,1),0)</f>
        <v/>
      </c>
      <c r="Y6039" s="12">
        <f>IF(OR(LEFT(K6039,4)="LVAX",LEFT(K6039,6)="MV15AX",LEFT(K6039,4)="CTAX",LEFT(K6039,2)="W|"),2*N6039*O6039,0)</f>
        <v/>
      </c>
      <c r="Z6039" s="12" t="inlineStr"/>
      <c r="AA6039" s="12">
        <f>N6039*O6039</f>
        <v/>
      </c>
    </row>
    <row r="6040">
      <c r="A6040" s="12" t="inlineStr">
        <is>
          <t>C-I-0091</t>
        </is>
      </c>
      <c r="B6040" s="12" t="inlineStr">
        <is>
          <t>C</t>
        </is>
      </c>
      <c r="C6040" s="12" t="inlineStr">
        <is>
          <t>Grid interface</t>
        </is>
      </c>
      <c r="D6040" s="12" t="inlineStr">
        <is>
          <t>Analog instrument to JB JB-CO2 compression 3 -AI06: 20 x 1 pr (field cables)</t>
        </is>
      </c>
      <c r="E6040" s="12" t="inlineStr"/>
      <c r="F6040" s="12" t="inlineStr">
        <is>
          <t xml:space="preserve">CO2 compression 3 x ~19 MW + dehydration: rooftop HVAC, exhaust fans, </t>
        </is>
      </c>
      <c r="G6040" s="12" t="inlineStr">
        <is>
          <t>JB-CO2 compression 3 -AI06</t>
        </is>
      </c>
      <c r="H6040" s="12" t="inlineStr">
        <is>
          <t xml:space="preserve">CO2 compression 3 x ~19 MW + dehydration: rooftop HVAC, exhaust fans, </t>
        </is>
      </c>
      <c r="I6040" s="12" t="inlineStr">
        <is>
          <t>Instrumentation</t>
        </is>
      </c>
      <c r="J6040" s="12" t="inlineStr">
        <is>
          <t>Instrumentation PLTC / TC-ER 300 V, #18 twisted shielded pairs, overall shield</t>
        </is>
      </c>
      <c r="K6040" s="12" t="inlineStr">
        <is>
          <t>PLTC|1 pr|16</t>
        </is>
      </c>
      <c r="L6040" s="12" t="inlineStr">
        <is>
          <t>1 pr</t>
        </is>
      </c>
      <c r="M6040" s="12" t="inlineStr">
        <is>
          <t>16</t>
        </is>
      </c>
      <c r="N6040" s="12" t="n">
        <v>20</v>
      </c>
      <c r="O6040" s="12" t="n">
        <v>1</v>
      </c>
      <c r="P6040" s="12" t="n"/>
      <c r="Q6040" s="12" t="n"/>
      <c r="R6040" s="12" t="n"/>
      <c r="S6040" s="12" t="inlineStr">
        <is>
          <t>Tray / conduit</t>
        </is>
      </c>
      <c r="T6040" s="16" t="n">
        <v>161</v>
      </c>
      <c r="U6040" s="16" t="n">
        <v>10</v>
      </c>
      <c r="V6040" s="16">
        <f>ROUNDUP((T6040+U6040+2*'Read Me'!$B$13)*(1+'Read Me'!$B$12),-1)</f>
        <v/>
      </c>
      <c r="W6040" s="16">
        <f>V6040*N6040*O6040</f>
        <v/>
      </c>
      <c r="X6040" s="12">
        <f>IF(LEFT(I6040,2)="MV",2*N6040*IF(L6040="1/C",O6040,1),0)</f>
        <v/>
      </c>
      <c r="Y6040" s="12">
        <f>IF(OR(LEFT(K6040,4)="LVAX",LEFT(K6040,6)="MV15AX",LEFT(K6040,4)="CTAX",LEFT(K6040,2)="W|"),2*N6040*O6040,0)</f>
        <v/>
      </c>
      <c r="Z6040" s="12" t="inlineStr">
        <is>
          <t>device-to-JB field wiring, one cable per device</t>
        </is>
      </c>
      <c r="AA6040" s="12">
        <f>N6040*O6040</f>
        <v/>
      </c>
    </row>
    <row r="6041">
      <c r="A6041" s="12" t="inlineStr">
        <is>
          <t>C-I-0092</t>
        </is>
      </c>
      <c r="B6041" s="12" t="inlineStr">
        <is>
          <t>C</t>
        </is>
      </c>
      <c r="C6041" s="12" t="inlineStr">
        <is>
          <t>Grid interface</t>
        </is>
      </c>
      <c r="D6041" s="12" t="inlineStr">
        <is>
          <t>Home run JB-CO2 compression 3 -AI06 to the control / marshalling room</t>
        </is>
      </c>
      <c r="E6041" s="12" t="inlineStr">
        <is>
          <t>R1</t>
        </is>
      </c>
      <c r="F6041" s="12" t="inlineStr">
        <is>
          <t>R1: main electrical building (64 x 180 ft)</t>
        </is>
      </c>
      <c r="G6041" s="12" t="inlineStr">
        <is>
          <t>JB-CO2 compression 3 -AI06</t>
        </is>
      </c>
      <c r="H6041" s="12" t="inlineStr">
        <is>
          <t xml:space="preserve">CO2 compression 3 x ~19 MW + dehydration: rooftop HVAC, exhaust fans, </t>
        </is>
      </c>
      <c r="I6041" s="12" t="inlineStr">
        <is>
          <t>Instrumentation</t>
        </is>
      </c>
      <c r="J6041" s="12" t="inlineStr">
        <is>
          <t>Instrumentation PLTC / TC-ER 300 V, #18 twisted shielded pairs, overall shield</t>
        </is>
      </c>
      <c r="K6041" s="12" t="inlineStr">
        <is>
          <t>PLTC|24 pr|18</t>
        </is>
      </c>
      <c r="L6041" s="12" t="inlineStr">
        <is>
          <t>24 pr</t>
        </is>
      </c>
      <c r="M6041" s="12" t="inlineStr">
        <is>
          <t>18</t>
        </is>
      </c>
      <c r="N6041" s="12" t="n">
        <v>1</v>
      </c>
      <c r="O6041" s="12" t="n">
        <v>1</v>
      </c>
      <c r="P6041" s="12" t="n"/>
      <c r="Q6041" s="12" t="n"/>
      <c r="R6041" s="12" t="n"/>
      <c r="S6041" s="12" t="inlineStr">
        <is>
          <t>Tray</t>
        </is>
      </c>
      <c r="T6041" s="16" t="n">
        <v>2186</v>
      </c>
      <c r="U6041" s="16" t="n">
        <v>268</v>
      </c>
      <c r="V6041" s="16">
        <f>ROUNDUP((T6041+U6041+2*'Read Me'!$B$13)*(1+'Read Me'!$B$12),-1)</f>
        <v/>
      </c>
      <c r="W6041" s="16">
        <f>V6041*N6041*O6041</f>
        <v/>
      </c>
      <c r="X6041" s="12">
        <f>IF(LEFT(I6041,2)="MV",2*N6041*IF(L6041="1/C",O6041,1),0)</f>
        <v/>
      </c>
      <c r="Y6041" s="12">
        <f>IF(OR(LEFT(K6041,4)="LVAX",LEFT(K6041,6)="MV15AX",LEFT(K6041,4)="CTAX",LEFT(K6041,2)="W|"),2*N6041*O6041,0)</f>
        <v/>
      </c>
      <c r="Z6041" s="12" t="inlineStr"/>
      <c r="AA6041" s="12">
        <f>N6041*O6041</f>
        <v/>
      </c>
    </row>
    <row r="6042">
      <c r="A6042" s="12" t="inlineStr">
        <is>
          <t>C-I-0093</t>
        </is>
      </c>
      <c r="B6042" s="12" t="inlineStr">
        <is>
          <t>C</t>
        </is>
      </c>
      <c r="C6042" s="12" t="inlineStr">
        <is>
          <t>Grid interface</t>
        </is>
      </c>
      <c r="D6042" s="12" t="inlineStr">
        <is>
          <t>Analog instrument to JB JB-CO2 compression 3 -AI07: 20 x 1 pr (field cables)</t>
        </is>
      </c>
      <c r="E6042" s="12" t="inlineStr"/>
      <c r="F6042" s="12" t="inlineStr">
        <is>
          <t xml:space="preserve">CO2 compression 3 x ~19 MW + dehydration: rooftop HVAC, exhaust fans, </t>
        </is>
      </c>
      <c r="G6042" s="12" t="inlineStr">
        <is>
          <t>JB-CO2 compression 3 -AI07</t>
        </is>
      </c>
      <c r="H6042" s="12" t="inlineStr">
        <is>
          <t xml:space="preserve">CO2 compression 3 x ~19 MW + dehydration: rooftop HVAC, exhaust fans, </t>
        </is>
      </c>
      <c r="I6042" s="12" t="inlineStr">
        <is>
          <t>Instrumentation</t>
        </is>
      </c>
      <c r="J6042" s="12" t="inlineStr">
        <is>
          <t>Instrumentation PLTC / TC-ER 300 V, #18 twisted shielded pairs, overall shield</t>
        </is>
      </c>
      <c r="K6042" s="12" t="inlineStr">
        <is>
          <t>PLTC|1 pr|16</t>
        </is>
      </c>
      <c r="L6042" s="12" t="inlineStr">
        <is>
          <t>1 pr</t>
        </is>
      </c>
      <c r="M6042" s="12" t="inlineStr">
        <is>
          <t>16</t>
        </is>
      </c>
      <c r="N6042" s="12" t="n">
        <v>20</v>
      </c>
      <c r="O6042" s="12" t="n">
        <v>1</v>
      </c>
      <c r="P6042" s="12" t="n"/>
      <c r="Q6042" s="12" t="n"/>
      <c r="R6042" s="12" t="n"/>
      <c r="S6042" s="12" t="inlineStr">
        <is>
          <t>Tray / conduit</t>
        </is>
      </c>
      <c r="T6042" s="16" t="n">
        <v>161</v>
      </c>
      <c r="U6042" s="16" t="n">
        <v>10</v>
      </c>
      <c r="V6042" s="16">
        <f>ROUNDUP((T6042+U6042+2*'Read Me'!$B$13)*(1+'Read Me'!$B$12),-1)</f>
        <v/>
      </c>
      <c r="W6042" s="16">
        <f>V6042*N6042*O6042</f>
        <v/>
      </c>
      <c r="X6042" s="12">
        <f>IF(LEFT(I6042,2)="MV",2*N6042*IF(L6042="1/C",O6042,1),0)</f>
        <v/>
      </c>
      <c r="Y6042" s="12">
        <f>IF(OR(LEFT(K6042,4)="LVAX",LEFT(K6042,6)="MV15AX",LEFT(K6042,4)="CTAX",LEFT(K6042,2)="W|"),2*N6042*O6042,0)</f>
        <v/>
      </c>
      <c r="Z6042" s="12" t="inlineStr">
        <is>
          <t>device-to-JB field wiring, one cable per device</t>
        </is>
      </c>
      <c r="AA6042" s="12">
        <f>N6042*O6042</f>
        <v/>
      </c>
    </row>
    <row r="6043">
      <c r="A6043" s="12" t="inlineStr">
        <is>
          <t>C-I-0094</t>
        </is>
      </c>
      <c r="B6043" s="12" t="inlineStr">
        <is>
          <t>C</t>
        </is>
      </c>
      <c r="C6043" s="12" t="inlineStr">
        <is>
          <t>Grid interface</t>
        </is>
      </c>
      <c r="D6043" s="12" t="inlineStr">
        <is>
          <t>Home run JB-CO2 compression 3 -AI07 to the control / marshalling room</t>
        </is>
      </c>
      <c r="E6043" s="12" t="inlineStr">
        <is>
          <t>R1</t>
        </is>
      </c>
      <c r="F6043" s="12" t="inlineStr">
        <is>
          <t>R1: main electrical building (64 x 180 ft)</t>
        </is>
      </c>
      <c r="G6043" s="12" t="inlineStr">
        <is>
          <t>JB-CO2 compression 3 -AI07</t>
        </is>
      </c>
      <c r="H6043" s="12" t="inlineStr">
        <is>
          <t xml:space="preserve">CO2 compression 3 x ~19 MW + dehydration: rooftop HVAC, exhaust fans, </t>
        </is>
      </c>
      <c r="I6043" s="12" t="inlineStr">
        <is>
          <t>Instrumentation</t>
        </is>
      </c>
      <c r="J6043" s="12" t="inlineStr">
        <is>
          <t>Instrumentation PLTC / TC-ER 300 V, #18 twisted shielded pairs, overall shield</t>
        </is>
      </c>
      <c r="K6043" s="12" t="inlineStr">
        <is>
          <t>PLTC|24 pr|18</t>
        </is>
      </c>
      <c r="L6043" s="12" t="inlineStr">
        <is>
          <t>24 pr</t>
        </is>
      </c>
      <c r="M6043" s="12" t="inlineStr">
        <is>
          <t>18</t>
        </is>
      </c>
      <c r="N6043" s="12" t="n">
        <v>1</v>
      </c>
      <c r="O6043" s="12" t="n">
        <v>1</v>
      </c>
      <c r="P6043" s="12" t="n"/>
      <c r="Q6043" s="12" t="n"/>
      <c r="R6043" s="12" t="n"/>
      <c r="S6043" s="12" t="inlineStr">
        <is>
          <t>Tray</t>
        </is>
      </c>
      <c r="T6043" s="16" t="n">
        <v>2186</v>
      </c>
      <c r="U6043" s="16" t="n">
        <v>268</v>
      </c>
      <c r="V6043" s="16">
        <f>ROUNDUP((T6043+U6043+2*'Read Me'!$B$13)*(1+'Read Me'!$B$12),-1)</f>
        <v/>
      </c>
      <c r="W6043" s="16">
        <f>V6043*N6043*O6043</f>
        <v/>
      </c>
      <c r="X6043" s="12">
        <f>IF(LEFT(I6043,2)="MV",2*N6043*IF(L6043="1/C",O6043,1),0)</f>
        <v/>
      </c>
      <c r="Y6043" s="12">
        <f>IF(OR(LEFT(K6043,4)="LVAX",LEFT(K6043,6)="MV15AX",LEFT(K6043,4)="CTAX",LEFT(K6043,2)="W|"),2*N6043*O6043,0)</f>
        <v/>
      </c>
      <c r="Z6043" s="12" t="inlineStr"/>
      <c r="AA6043" s="12">
        <f>N6043*O6043</f>
        <v/>
      </c>
    </row>
    <row r="6044">
      <c r="A6044" s="12" t="inlineStr">
        <is>
          <t>C-I-0095</t>
        </is>
      </c>
      <c r="B6044" s="12" t="inlineStr">
        <is>
          <t>C</t>
        </is>
      </c>
      <c r="C6044" s="12" t="inlineStr">
        <is>
          <t>Grid interface</t>
        </is>
      </c>
      <c r="D6044" s="12" t="inlineStr">
        <is>
          <t>Analog instrument to JB JB-CO2 compression 3 -AI08: 10 x 1 pr (field cables)</t>
        </is>
      </c>
      <c r="E6044" s="12" t="inlineStr"/>
      <c r="F6044" s="12" t="inlineStr">
        <is>
          <t xml:space="preserve">CO2 compression 3 x ~19 MW + dehydration: rooftop HVAC, exhaust fans, </t>
        </is>
      </c>
      <c r="G6044" s="12" t="inlineStr">
        <is>
          <t>JB-CO2 compression 3 -AI08</t>
        </is>
      </c>
      <c r="H6044" s="12" t="inlineStr">
        <is>
          <t xml:space="preserve">CO2 compression 3 x ~19 MW + dehydration: rooftop HVAC, exhaust fans, </t>
        </is>
      </c>
      <c r="I6044" s="12" t="inlineStr">
        <is>
          <t>Instrumentation</t>
        </is>
      </c>
      <c r="J6044" s="12" t="inlineStr">
        <is>
          <t>Instrumentation PLTC / TC-ER 300 V, #18 twisted shielded pairs, overall shield</t>
        </is>
      </c>
      <c r="K6044" s="12" t="inlineStr">
        <is>
          <t>PLTC|1 pr|16</t>
        </is>
      </c>
      <c r="L6044" s="12" t="inlineStr">
        <is>
          <t>1 pr</t>
        </is>
      </c>
      <c r="M6044" s="12" t="inlineStr">
        <is>
          <t>16</t>
        </is>
      </c>
      <c r="N6044" s="12" t="n">
        <v>10</v>
      </c>
      <c r="O6044" s="12" t="n">
        <v>1</v>
      </c>
      <c r="P6044" s="12" t="n"/>
      <c r="Q6044" s="12" t="n"/>
      <c r="R6044" s="12" t="n"/>
      <c r="S6044" s="12" t="inlineStr">
        <is>
          <t>Tray / conduit</t>
        </is>
      </c>
      <c r="T6044" s="16" t="n">
        <v>161</v>
      </c>
      <c r="U6044" s="16" t="n">
        <v>10</v>
      </c>
      <c r="V6044" s="16">
        <f>ROUNDUP((T6044+U6044+2*'Read Me'!$B$13)*(1+'Read Me'!$B$12),-1)</f>
        <v/>
      </c>
      <c r="W6044" s="16">
        <f>V6044*N6044*O6044</f>
        <v/>
      </c>
      <c r="X6044" s="12">
        <f>IF(LEFT(I6044,2)="MV",2*N6044*IF(L6044="1/C",O6044,1),0)</f>
        <v/>
      </c>
      <c r="Y6044" s="12">
        <f>IF(OR(LEFT(K6044,4)="LVAX",LEFT(K6044,6)="MV15AX",LEFT(K6044,4)="CTAX",LEFT(K6044,2)="W|"),2*N6044*O6044,0)</f>
        <v/>
      </c>
      <c r="Z6044" s="12" t="inlineStr">
        <is>
          <t>device-to-JB field wiring, one cable per device</t>
        </is>
      </c>
      <c r="AA6044" s="12">
        <f>N6044*O6044</f>
        <v/>
      </c>
    </row>
    <row r="6045">
      <c r="A6045" s="12" t="inlineStr">
        <is>
          <t>C-I-0096</t>
        </is>
      </c>
      <c r="B6045" s="12" t="inlineStr">
        <is>
          <t>C</t>
        </is>
      </c>
      <c r="C6045" s="12" t="inlineStr">
        <is>
          <t>Grid interface</t>
        </is>
      </c>
      <c r="D6045" s="12" t="inlineStr">
        <is>
          <t>Home run JB-CO2 compression 3 -AI08 to the control / marshalling room</t>
        </is>
      </c>
      <c r="E6045" s="12" t="inlineStr">
        <is>
          <t>R1</t>
        </is>
      </c>
      <c r="F6045" s="12" t="inlineStr">
        <is>
          <t>R1: main electrical building (64 x 180 ft)</t>
        </is>
      </c>
      <c r="G6045" s="12" t="inlineStr">
        <is>
          <t>JB-CO2 compression 3 -AI08</t>
        </is>
      </c>
      <c r="H6045" s="12" t="inlineStr">
        <is>
          <t xml:space="preserve">CO2 compression 3 x ~19 MW + dehydration: rooftop HVAC, exhaust fans, </t>
        </is>
      </c>
      <c r="I6045" s="12" t="inlineStr">
        <is>
          <t>Instrumentation</t>
        </is>
      </c>
      <c r="J6045" s="12" t="inlineStr">
        <is>
          <t>Instrumentation PLTC / TC-ER 300 V, #18 twisted shielded pairs, overall shield</t>
        </is>
      </c>
      <c r="K6045" s="12" t="inlineStr">
        <is>
          <t>PLTC|24 pr|18</t>
        </is>
      </c>
      <c r="L6045" s="12" t="inlineStr">
        <is>
          <t>24 pr</t>
        </is>
      </c>
      <c r="M6045" s="12" t="inlineStr">
        <is>
          <t>18</t>
        </is>
      </c>
      <c r="N6045" s="12" t="n">
        <v>1</v>
      </c>
      <c r="O6045" s="12" t="n">
        <v>1</v>
      </c>
      <c r="P6045" s="12" t="n"/>
      <c r="Q6045" s="12" t="n"/>
      <c r="R6045" s="12" t="n"/>
      <c r="S6045" s="12" t="inlineStr">
        <is>
          <t>Tray</t>
        </is>
      </c>
      <c r="T6045" s="16" t="n">
        <v>2186</v>
      </c>
      <c r="U6045" s="16" t="n">
        <v>268</v>
      </c>
      <c r="V6045" s="16">
        <f>ROUNDUP((T6045+U6045+2*'Read Me'!$B$13)*(1+'Read Me'!$B$12),-1)</f>
        <v/>
      </c>
      <c r="W6045" s="16">
        <f>V6045*N6045*O6045</f>
        <v/>
      </c>
      <c r="X6045" s="12">
        <f>IF(LEFT(I6045,2)="MV",2*N6045*IF(L6045="1/C",O6045,1),0)</f>
        <v/>
      </c>
      <c r="Y6045" s="12">
        <f>IF(OR(LEFT(K6045,4)="LVAX",LEFT(K6045,6)="MV15AX",LEFT(K6045,4)="CTAX",LEFT(K6045,2)="W|"),2*N6045*O6045,0)</f>
        <v/>
      </c>
      <c r="Z6045" s="12" t="inlineStr"/>
      <c r="AA6045" s="12">
        <f>N6045*O6045</f>
        <v/>
      </c>
    </row>
    <row r="6046">
      <c r="A6046" s="12" t="inlineStr">
        <is>
          <t>C-I-0097</t>
        </is>
      </c>
      <c r="B6046" s="12" t="inlineStr">
        <is>
          <t>C</t>
        </is>
      </c>
      <c r="C6046" s="12" t="inlineStr">
        <is>
          <t>Grid interface</t>
        </is>
      </c>
      <c r="D6046" s="12" t="inlineStr">
        <is>
          <t>Discrete device to JB JB-CO2 compression 3 -DI01: 20 x 1 pr (field cables)</t>
        </is>
      </c>
      <c r="E6046" s="12" t="inlineStr"/>
      <c r="F6046" s="12" t="inlineStr">
        <is>
          <t xml:space="preserve">CO2 compression 3 x ~19 MW + dehydration: rooftop HVAC, exhaust fans, </t>
        </is>
      </c>
      <c r="G6046" s="12" t="inlineStr">
        <is>
          <t>JB-CO2 compression 3 -DI01</t>
        </is>
      </c>
      <c r="H6046" s="12" t="inlineStr">
        <is>
          <t xml:space="preserve">CO2 compression 3 x ~19 MW + dehydration: rooftop HVAC, exhaust fans, </t>
        </is>
      </c>
      <c r="I6046" s="12" t="inlineStr">
        <is>
          <t>Instrumentation</t>
        </is>
      </c>
      <c r="J6046" s="12" t="inlineStr">
        <is>
          <t>Instrumentation PLTC / TC-ER 300 V, #18 twisted shielded pairs, overall shield</t>
        </is>
      </c>
      <c r="K6046" s="12" t="inlineStr">
        <is>
          <t>PLTC|1 pr|16</t>
        </is>
      </c>
      <c r="L6046" s="12" t="inlineStr">
        <is>
          <t>1 pr</t>
        </is>
      </c>
      <c r="M6046" s="12" t="inlineStr">
        <is>
          <t>16</t>
        </is>
      </c>
      <c r="N6046" s="12" t="n">
        <v>20</v>
      </c>
      <c r="O6046" s="12" t="n">
        <v>1</v>
      </c>
      <c r="P6046" s="12" t="n"/>
      <c r="Q6046" s="12" t="n"/>
      <c r="R6046" s="12" t="n"/>
      <c r="S6046" s="12" t="inlineStr">
        <is>
          <t>Tray / conduit</t>
        </is>
      </c>
      <c r="T6046" s="16" t="n">
        <v>161</v>
      </c>
      <c r="U6046" s="16" t="n">
        <v>10</v>
      </c>
      <c r="V6046" s="16">
        <f>ROUNDUP((T6046+U6046+2*'Read Me'!$B$13)*(1+'Read Me'!$B$12),-1)</f>
        <v/>
      </c>
      <c r="W6046" s="16">
        <f>V6046*N6046*O6046</f>
        <v/>
      </c>
      <c r="X6046" s="12">
        <f>IF(LEFT(I6046,2)="MV",2*N6046*IF(L6046="1/C",O6046,1),0)</f>
        <v/>
      </c>
      <c r="Y6046" s="12">
        <f>IF(OR(LEFT(K6046,4)="LVAX",LEFT(K6046,6)="MV15AX",LEFT(K6046,4)="CTAX",LEFT(K6046,2)="W|"),2*N6046*O6046,0)</f>
        <v/>
      </c>
      <c r="Z6046" s="12" t="inlineStr">
        <is>
          <t>device-to-JB field wiring, one cable per device</t>
        </is>
      </c>
      <c r="AA6046" s="12">
        <f>N6046*O6046</f>
        <v/>
      </c>
    </row>
    <row r="6047">
      <c r="A6047" s="12" t="inlineStr">
        <is>
          <t>C-I-0098</t>
        </is>
      </c>
      <c r="B6047" s="12" t="inlineStr">
        <is>
          <t>C</t>
        </is>
      </c>
      <c r="C6047" s="12" t="inlineStr">
        <is>
          <t>Grid interface</t>
        </is>
      </c>
      <c r="D6047" s="12" t="inlineStr">
        <is>
          <t>Home run JB-CO2 compression 3 -DI01 to the control / marshalling room</t>
        </is>
      </c>
      <c r="E6047" s="12" t="inlineStr">
        <is>
          <t>R1</t>
        </is>
      </c>
      <c r="F6047" s="12" t="inlineStr">
        <is>
          <t>R1: main electrical building (64 x 180 ft)</t>
        </is>
      </c>
      <c r="G6047" s="12" t="inlineStr">
        <is>
          <t>JB-CO2 compression 3 -DI01</t>
        </is>
      </c>
      <c r="H6047" s="12" t="inlineStr">
        <is>
          <t xml:space="preserve">CO2 compression 3 x ~19 MW + dehydration: rooftop HVAC, exhaust fans, </t>
        </is>
      </c>
      <c r="I6047" s="12" t="inlineStr">
        <is>
          <t>Instrumentation</t>
        </is>
      </c>
      <c r="J6047" s="12" t="inlineStr">
        <is>
          <t>Instrumentation PLTC / TC-ER 300 V, #18 twisted shielded pairs, overall shield</t>
        </is>
      </c>
      <c r="K6047" s="12" t="inlineStr">
        <is>
          <t>PLTC|24 pr|18</t>
        </is>
      </c>
      <c r="L6047" s="12" t="inlineStr">
        <is>
          <t>24 pr</t>
        </is>
      </c>
      <c r="M6047" s="12" t="inlineStr">
        <is>
          <t>18</t>
        </is>
      </c>
      <c r="N6047" s="12" t="n">
        <v>1</v>
      </c>
      <c r="O6047" s="12" t="n">
        <v>1</v>
      </c>
      <c r="P6047" s="12" t="n"/>
      <c r="Q6047" s="12" t="n"/>
      <c r="R6047" s="12" t="n"/>
      <c r="S6047" s="12" t="inlineStr">
        <is>
          <t>Tray</t>
        </is>
      </c>
      <c r="T6047" s="16" t="n">
        <v>2186</v>
      </c>
      <c r="U6047" s="16" t="n">
        <v>268</v>
      </c>
      <c r="V6047" s="16">
        <f>ROUNDUP((T6047+U6047+2*'Read Me'!$B$13)*(1+'Read Me'!$B$12),-1)</f>
        <v/>
      </c>
      <c r="W6047" s="16">
        <f>V6047*N6047*O6047</f>
        <v/>
      </c>
      <c r="X6047" s="12">
        <f>IF(LEFT(I6047,2)="MV",2*N6047*IF(L6047="1/C",O6047,1),0)</f>
        <v/>
      </c>
      <c r="Y6047" s="12">
        <f>IF(OR(LEFT(K6047,4)="LVAX",LEFT(K6047,6)="MV15AX",LEFT(K6047,4)="CTAX",LEFT(K6047,2)="W|"),2*N6047*O6047,0)</f>
        <v/>
      </c>
      <c r="Z6047" s="12" t="inlineStr"/>
      <c r="AA6047" s="12">
        <f>N6047*O6047</f>
        <v/>
      </c>
    </row>
    <row r="6048">
      <c r="A6048" s="12" t="inlineStr">
        <is>
          <t>C-I-0099</t>
        </is>
      </c>
      <c r="B6048" s="12" t="inlineStr">
        <is>
          <t>C</t>
        </is>
      </c>
      <c r="C6048" s="12" t="inlineStr">
        <is>
          <t>Grid interface</t>
        </is>
      </c>
      <c r="D6048" s="12" t="inlineStr">
        <is>
          <t>Discrete device to JB JB-CO2 compression 3 -DI02: 20 x 1 pr (field cables)</t>
        </is>
      </c>
      <c r="E6048" s="12" t="inlineStr"/>
      <c r="F6048" s="12" t="inlineStr">
        <is>
          <t xml:space="preserve">CO2 compression 3 x ~19 MW + dehydration: rooftop HVAC, exhaust fans, </t>
        </is>
      </c>
      <c r="G6048" s="12" t="inlineStr">
        <is>
          <t>JB-CO2 compression 3 -DI02</t>
        </is>
      </c>
      <c r="H6048" s="12" t="inlineStr">
        <is>
          <t xml:space="preserve">CO2 compression 3 x ~19 MW + dehydration: rooftop HVAC, exhaust fans, </t>
        </is>
      </c>
      <c r="I6048" s="12" t="inlineStr">
        <is>
          <t>Instrumentation</t>
        </is>
      </c>
      <c r="J6048" s="12" t="inlineStr">
        <is>
          <t>Instrumentation PLTC / TC-ER 300 V, #18 twisted shielded pairs, overall shield</t>
        </is>
      </c>
      <c r="K6048" s="12" t="inlineStr">
        <is>
          <t>PLTC|1 pr|16</t>
        </is>
      </c>
      <c r="L6048" s="12" t="inlineStr">
        <is>
          <t>1 pr</t>
        </is>
      </c>
      <c r="M6048" s="12" t="inlineStr">
        <is>
          <t>16</t>
        </is>
      </c>
      <c r="N6048" s="12" t="n">
        <v>20</v>
      </c>
      <c r="O6048" s="12" t="n">
        <v>1</v>
      </c>
      <c r="P6048" s="12" t="n"/>
      <c r="Q6048" s="12" t="n"/>
      <c r="R6048" s="12" t="n"/>
      <c r="S6048" s="12" t="inlineStr">
        <is>
          <t>Tray / conduit</t>
        </is>
      </c>
      <c r="T6048" s="16" t="n">
        <v>161</v>
      </c>
      <c r="U6048" s="16" t="n">
        <v>10</v>
      </c>
      <c r="V6048" s="16">
        <f>ROUNDUP((T6048+U6048+2*'Read Me'!$B$13)*(1+'Read Me'!$B$12),-1)</f>
        <v/>
      </c>
      <c r="W6048" s="16">
        <f>V6048*N6048*O6048</f>
        <v/>
      </c>
      <c r="X6048" s="12">
        <f>IF(LEFT(I6048,2)="MV",2*N6048*IF(L6048="1/C",O6048,1),0)</f>
        <v/>
      </c>
      <c r="Y6048" s="12">
        <f>IF(OR(LEFT(K6048,4)="LVAX",LEFT(K6048,6)="MV15AX",LEFT(K6048,4)="CTAX",LEFT(K6048,2)="W|"),2*N6048*O6048,0)</f>
        <v/>
      </c>
      <c r="Z6048" s="12" t="inlineStr">
        <is>
          <t>device-to-JB field wiring, one cable per device</t>
        </is>
      </c>
      <c r="AA6048" s="12">
        <f>N6048*O6048</f>
        <v/>
      </c>
    </row>
    <row r="6049">
      <c r="A6049" s="12" t="inlineStr">
        <is>
          <t>C-I-0100</t>
        </is>
      </c>
      <c r="B6049" s="12" t="inlineStr">
        <is>
          <t>C</t>
        </is>
      </c>
      <c r="C6049" s="12" t="inlineStr">
        <is>
          <t>Grid interface</t>
        </is>
      </c>
      <c r="D6049" s="12" t="inlineStr">
        <is>
          <t>Home run JB-CO2 compression 3 -DI02 to the control / marshalling room</t>
        </is>
      </c>
      <c r="E6049" s="12" t="inlineStr">
        <is>
          <t>R1</t>
        </is>
      </c>
      <c r="F6049" s="12" t="inlineStr">
        <is>
          <t>R1: main electrical building (64 x 180 ft)</t>
        </is>
      </c>
      <c r="G6049" s="12" t="inlineStr">
        <is>
          <t>JB-CO2 compression 3 -DI02</t>
        </is>
      </c>
      <c r="H6049" s="12" t="inlineStr">
        <is>
          <t xml:space="preserve">CO2 compression 3 x ~19 MW + dehydration: rooftop HVAC, exhaust fans, </t>
        </is>
      </c>
      <c r="I6049" s="12" t="inlineStr">
        <is>
          <t>Instrumentation</t>
        </is>
      </c>
      <c r="J6049" s="12" t="inlineStr">
        <is>
          <t>Instrumentation PLTC / TC-ER 300 V, #18 twisted shielded pairs, overall shield</t>
        </is>
      </c>
      <c r="K6049" s="12" t="inlineStr">
        <is>
          <t>PLTC|24 pr|18</t>
        </is>
      </c>
      <c r="L6049" s="12" t="inlineStr">
        <is>
          <t>24 pr</t>
        </is>
      </c>
      <c r="M6049" s="12" t="inlineStr">
        <is>
          <t>18</t>
        </is>
      </c>
      <c r="N6049" s="12" t="n">
        <v>1</v>
      </c>
      <c r="O6049" s="12" t="n">
        <v>1</v>
      </c>
      <c r="P6049" s="12" t="n"/>
      <c r="Q6049" s="12" t="n"/>
      <c r="R6049" s="12" t="n"/>
      <c r="S6049" s="12" t="inlineStr">
        <is>
          <t>Tray</t>
        </is>
      </c>
      <c r="T6049" s="16" t="n">
        <v>2186</v>
      </c>
      <c r="U6049" s="16" t="n">
        <v>268</v>
      </c>
      <c r="V6049" s="16">
        <f>ROUNDUP((T6049+U6049+2*'Read Me'!$B$13)*(1+'Read Me'!$B$12),-1)</f>
        <v/>
      </c>
      <c r="W6049" s="16">
        <f>V6049*N6049*O6049</f>
        <v/>
      </c>
      <c r="X6049" s="12">
        <f>IF(LEFT(I6049,2)="MV",2*N6049*IF(L6049="1/C",O6049,1),0)</f>
        <v/>
      </c>
      <c r="Y6049" s="12">
        <f>IF(OR(LEFT(K6049,4)="LVAX",LEFT(K6049,6)="MV15AX",LEFT(K6049,4)="CTAX",LEFT(K6049,2)="W|"),2*N6049*O6049,0)</f>
        <v/>
      </c>
      <c r="Z6049" s="12" t="inlineStr"/>
      <c r="AA6049" s="12">
        <f>N6049*O6049</f>
        <v/>
      </c>
    </row>
    <row r="6050">
      <c r="A6050" s="12" t="inlineStr">
        <is>
          <t>C-I-0101</t>
        </is>
      </c>
      <c r="B6050" s="12" t="inlineStr">
        <is>
          <t>C</t>
        </is>
      </c>
      <c r="C6050" s="12" t="inlineStr">
        <is>
          <t>Grid interface</t>
        </is>
      </c>
      <c r="D6050" s="12" t="inlineStr">
        <is>
          <t>Discrete device to JB JB-CO2 compression 3 -DI03: 20 x 1 pr (field cables)</t>
        </is>
      </c>
      <c r="E6050" s="12" t="inlineStr"/>
      <c r="F6050" s="12" t="inlineStr">
        <is>
          <t xml:space="preserve">CO2 compression 3 x ~19 MW + dehydration: rooftop HVAC, exhaust fans, </t>
        </is>
      </c>
      <c r="G6050" s="12" t="inlineStr">
        <is>
          <t>JB-CO2 compression 3 -DI03</t>
        </is>
      </c>
      <c r="H6050" s="12" t="inlineStr">
        <is>
          <t xml:space="preserve">CO2 compression 3 x ~19 MW + dehydration: rooftop HVAC, exhaust fans, </t>
        </is>
      </c>
      <c r="I6050" s="12" t="inlineStr">
        <is>
          <t>Instrumentation</t>
        </is>
      </c>
      <c r="J6050" s="12" t="inlineStr">
        <is>
          <t>Instrumentation PLTC / TC-ER 300 V, #18 twisted shielded pairs, overall shield</t>
        </is>
      </c>
      <c r="K6050" s="12" t="inlineStr">
        <is>
          <t>PLTC|1 pr|16</t>
        </is>
      </c>
      <c r="L6050" s="12" t="inlineStr">
        <is>
          <t>1 pr</t>
        </is>
      </c>
      <c r="M6050" s="12" t="inlineStr">
        <is>
          <t>16</t>
        </is>
      </c>
      <c r="N6050" s="12" t="n">
        <v>20</v>
      </c>
      <c r="O6050" s="12" t="n">
        <v>1</v>
      </c>
      <c r="P6050" s="12" t="n"/>
      <c r="Q6050" s="12" t="n"/>
      <c r="R6050" s="12" t="n"/>
      <c r="S6050" s="12" t="inlineStr">
        <is>
          <t>Tray / conduit</t>
        </is>
      </c>
      <c r="T6050" s="16" t="n">
        <v>161</v>
      </c>
      <c r="U6050" s="16" t="n">
        <v>10</v>
      </c>
      <c r="V6050" s="16">
        <f>ROUNDUP((T6050+U6050+2*'Read Me'!$B$13)*(1+'Read Me'!$B$12),-1)</f>
        <v/>
      </c>
      <c r="W6050" s="16">
        <f>V6050*N6050*O6050</f>
        <v/>
      </c>
      <c r="X6050" s="12">
        <f>IF(LEFT(I6050,2)="MV",2*N6050*IF(L6050="1/C",O6050,1),0)</f>
        <v/>
      </c>
      <c r="Y6050" s="12">
        <f>IF(OR(LEFT(K6050,4)="LVAX",LEFT(K6050,6)="MV15AX",LEFT(K6050,4)="CTAX",LEFT(K6050,2)="W|"),2*N6050*O6050,0)</f>
        <v/>
      </c>
      <c r="Z6050" s="12" t="inlineStr">
        <is>
          <t>device-to-JB field wiring, one cable per device</t>
        </is>
      </c>
      <c r="AA6050" s="12">
        <f>N6050*O6050</f>
        <v/>
      </c>
    </row>
    <row r="6051">
      <c r="A6051" s="12" t="inlineStr">
        <is>
          <t>C-I-0102</t>
        </is>
      </c>
      <c r="B6051" s="12" t="inlineStr">
        <is>
          <t>C</t>
        </is>
      </c>
      <c r="C6051" s="12" t="inlineStr">
        <is>
          <t>Grid interface</t>
        </is>
      </c>
      <c r="D6051" s="12" t="inlineStr">
        <is>
          <t>Home run JB-CO2 compression 3 -DI03 to the control / marshalling room</t>
        </is>
      </c>
      <c r="E6051" s="12" t="inlineStr">
        <is>
          <t>R1</t>
        </is>
      </c>
      <c r="F6051" s="12" t="inlineStr">
        <is>
          <t>R1: main electrical building (64 x 180 ft)</t>
        </is>
      </c>
      <c r="G6051" s="12" t="inlineStr">
        <is>
          <t>JB-CO2 compression 3 -DI03</t>
        </is>
      </c>
      <c r="H6051" s="12" t="inlineStr">
        <is>
          <t xml:space="preserve">CO2 compression 3 x ~19 MW + dehydration: rooftop HVAC, exhaust fans, </t>
        </is>
      </c>
      <c r="I6051" s="12" t="inlineStr">
        <is>
          <t>Instrumentation</t>
        </is>
      </c>
      <c r="J6051" s="12" t="inlineStr">
        <is>
          <t>Instrumentation PLTC / TC-ER 300 V, #18 twisted shielded pairs, overall shield</t>
        </is>
      </c>
      <c r="K6051" s="12" t="inlineStr">
        <is>
          <t>PLTC|24 pr|18</t>
        </is>
      </c>
      <c r="L6051" s="12" t="inlineStr">
        <is>
          <t>24 pr</t>
        </is>
      </c>
      <c r="M6051" s="12" t="inlineStr">
        <is>
          <t>18</t>
        </is>
      </c>
      <c r="N6051" s="12" t="n">
        <v>1</v>
      </c>
      <c r="O6051" s="12" t="n">
        <v>1</v>
      </c>
      <c r="P6051" s="12" t="n"/>
      <c r="Q6051" s="12" t="n"/>
      <c r="R6051" s="12" t="n"/>
      <c r="S6051" s="12" t="inlineStr">
        <is>
          <t>Tray</t>
        </is>
      </c>
      <c r="T6051" s="16" t="n">
        <v>2186</v>
      </c>
      <c r="U6051" s="16" t="n">
        <v>268</v>
      </c>
      <c r="V6051" s="16">
        <f>ROUNDUP((T6051+U6051+2*'Read Me'!$B$13)*(1+'Read Me'!$B$12),-1)</f>
        <v/>
      </c>
      <c r="W6051" s="16">
        <f>V6051*N6051*O6051</f>
        <v/>
      </c>
      <c r="X6051" s="12">
        <f>IF(LEFT(I6051,2)="MV",2*N6051*IF(L6051="1/C",O6051,1),0)</f>
        <v/>
      </c>
      <c r="Y6051" s="12">
        <f>IF(OR(LEFT(K6051,4)="LVAX",LEFT(K6051,6)="MV15AX",LEFT(K6051,4)="CTAX",LEFT(K6051,2)="W|"),2*N6051*O6051,0)</f>
        <v/>
      </c>
      <c r="Z6051" s="12" t="inlineStr"/>
      <c r="AA6051" s="12">
        <f>N6051*O6051</f>
        <v/>
      </c>
    </row>
    <row r="6052">
      <c r="A6052" s="12" t="inlineStr">
        <is>
          <t>C-I-0103</t>
        </is>
      </c>
      <c r="B6052" s="12" t="inlineStr">
        <is>
          <t>C</t>
        </is>
      </c>
      <c r="C6052" s="12" t="inlineStr">
        <is>
          <t>Grid interface</t>
        </is>
      </c>
      <c r="D6052" s="12" t="inlineStr">
        <is>
          <t>Discrete device to JB JB-CO2 compression 3 -DI04: 20 x 1 pr (field cables)</t>
        </is>
      </c>
      <c r="E6052" s="12" t="inlineStr"/>
      <c r="F6052" s="12" t="inlineStr">
        <is>
          <t xml:space="preserve">CO2 compression 3 x ~19 MW + dehydration: rooftop HVAC, exhaust fans, </t>
        </is>
      </c>
      <c r="G6052" s="12" t="inlineStr">
        <is>
          <t>JB-CO2 compression 3 -DI04</t>
        </is>
      </c>
      <c r="H6052" s="12" t="inlineStr">
        <is>
          <t xml:space="preserve">CO2 compression 3 x ~19 MW + dehydration: rooftop HVAC, exhaust fans, </t>
        </is>
      </c>
      <c r="I6052" s="12" t="inlineStr">
        <is>
          <t>Instrumentation</t>
        </is>
      </c>
      <c r="J6052" s="12" t="inlineStr">
        <is>
          <t>Instrumentation PLTC / TC-ER 300 V, #18 twisted shielded pairs, overall shield</t>
        </is>
      </c>
      <c r="K6052" s="12" t="inlineStr">
        <is>
          <t>PLTC|1 pr|16</t>
        </is>
      </c>
      <c r="L6052" s="12" t="inlineStr">
        <is>
          <t>1 pr</t>
        </is>
      </c>
      <c r="M6052" s="12" t="inlineStr">
        <is>
          <t>16</t>
        </is>
      </c>
      <c r="N6052" s="12" t="n">
        <v>20</v>
      </c>
      <c r="O6052" s="12" t="n">
        <v>1</v>
      </c>
      <c r="P6052" s="12" t="n"/>
      <c r="Q6052" s="12" t="n"/>
      <c r="R6052" s="12" t="n"/>
      <c r="S6052" s="12" t="inlineStr">
        <is>
          <t>Tray / conduit</t>
        </is>
      </c>
      <c r="T6052" s="16" t="n">
        <v>161</v>
      </c>
      <c r="U6052" s="16" t="n">
        <v>10</v>
      </c>
      <c r="V6052" s="16">
        <f>ROUNDUP((T6052+U6052+2*'Read Me'!$B$13)*(1+'Read Me'!$B$12),-1)</f>
        <v/>
      </c>
      <c r="W6052" s="16">
        <f>V6052*N6052*O6052</f>
        <v/>
      </c>
      <c r="X6052" s="12">
        <f>IF(LEFT(I6052,2)="MV",2*N6052*IF(L6052="1/C",O6052,1),0)</f>
        <v/>
      </c>
      <c r="Y6052" s="12">
        <f>IF(OR(LEFT(K6052,4)="LVAX",LEFT(K6052,6)="MV15AX",LEFT(K6052,4)="CTAX",LEFT(K6052,2)="W|"),2*N6052*O6052,0)</f>
        <v/>
      </c>
      <c r="Z6052" s="12" t="inlineStr">
        <is>
          <t>device-to-JB field wiring, one cable per device</t>
        </is>
      </c>
      <c r="AA6052" s="12">
        <f>N6052*O6052</f>
        <v/>
      </c>
    </row>
    <row r="6053">
      <c r="A6053" s="12" t="inlineStr">
        <is>
          <t>C-I-0104</t>
        </is>
      </c>
      <c r="B6053" s="12" t="inlineStr">
        <is>
          <t>C</t>
        </is>
      </c>
      <c r="C6053" s="12" t="inlineStr">
        <is>
          <t>Grid interface</t>
        </is>
      </c>
      <c r="D6053" s="12" t="inlineStr">
        <is>
          <t>Home run JB-CO2 compression 3 -DI04 to the control / marshalling room</t>
        </is>
      </c>
      <c r="E6053" s="12" t="inlineStr">
        <is>
          <t>R1</t>
        </is>
      </c>
      <c r="F6053" s="12" t="inlineStr">
        <is>
          <t>R1: main electrical building (64 x 180 ft)</t>
        </is>
      </c>
      <c r="G6053" s="12" t="inlineStr">
        <is>
          <t>JB-CO2 compression 3 -DI04</t>
        </is>
      </c>
      <c r="H6053" s="12" t="inlineStr">
        <is>
          <t xml:space="preserve">CO2 compression 3 x ~19 MW + dehydration: rooftop HVAC, exhaust fans, </t>
        </is>
      </c>
      <c r="I6053" s="12" t="inlineStr">
        <is>
          <t>Instrumentation</t>
        </is>
      </c>
      <c r="J6053" s="12" t="inlineStr">
        <is>
          <t>Instrumentation PLTC / TC-ER 300 V, #18 twisted shielded pairs, overall shield</t>
        </is>
      </c>
      <c r="K6053" s="12" t="inlineStr">
        <is>
          <t>PLTC|24 pr|18</t>
        </is>
      </c>
      <c r="L6053" s="12" t="inlineStr">
        <is>
          <t>24 pr</t>
        </is>
      </c>
      <c r="M6053" s="12" t="inlineStr">
        <is>
          <t>18</t>
        </is>
      </c>
      <c r="N6053" s="12" t="n">
        <v>1</v>
      </c>
      <c r="O6053" s="12" t="n">
        <v>1</v>
      </c>
      <c r="P6053" s="12" t="n"/>
      <c r="Q6053" s="12" t="n"/>
      <c r="R6053" s="12" t="n"/>
      <c r="S6053" s="12" t="inlineStr">
        <is>
          <t>Tray</t>
        </is>
      </c>
      <c r="T6053" s="16" t="n">
        <v>2186</v>
      </c>
      <c r="U6053" s="16" t="n">
        <v>268</v>
      </c>
      <c r="V6053" s="16">
        <f>ROUNDUP((T6053+U6053+2*'Read Me'!$B$13)*(1+'Read Me'!$B$12),-1)</f>
        <v/>
      </c>
      <c r="W6053" s="16">
        <f>V6053*N6053*O6053</f>
        <v/>
      </c>
      <c r="X6053" s="12">
        <f>IF(LEFT(I6053,2)="MV",2*N6053*IF(L6053="1/C",O6053,1),0)</f>
        <v/>
      </c>
      <c r="Y6053" s="12">
        <f>IF(OR(LEFT(K6053,4)="LVAX",LEFT(K6053,6)="MV15AX",LEFT(K6053,4)="CTAX",LEFT(K6053,2)="W|"),2*N6053*O6053,0)</f>
        <v/>
      </c>
      <c r="Z6053" s="12" t="inlineStr"/>
      <c r="AA6053" s="12">
        <f>N6053*O6053</f>
        <v/>
      </c>
    </row>
    <row r="6054">
      <c r="A6054" s="12" t="inlineStr">
        <is>
          <t>C-I-0105</t>
        </is>
      </c>
      <c r="B6054" s="12" t="inlineStr">
        <is>
          <t>C</t>
        </is>
      </c>
      <c r="C6054" s="12" t="inlineStr">
        <is>
          <t>Grid interface</t>
        </is>
      </c>
      <c r="D6054" s="12" t="inlineStr">
        <is>
          <t>Discrete device to JB JB-CO2 compression 3 -DI05: 20 x 1 pr (field cables)</t>
        </is>
      </c>
      <c r="E6054" s="12" t="inlineStr"/>
      <c r="F6054" s="12" t="inlineStr">
        <is>
          <t xml:space="preserve">CO2 compression 3 x ~19 MW + dehydration: rooftop HVAC, exhaust fans, </t>
        </is>
      </c>
      <c r="G6054" s="12" t="inlineStr">
        <is>
          <t>JB-CO2 compression 3 -DI05</t>
        </is>
      </c>
      <c r="H6054" s="12" t="inlineStr">
        <is>
          <t xml:space="preserve">CO2 compression 3 x ~19 MW + dehydration: rooftop HVAC, exhaust fans, </t>
        </is>
      </c>
      <c r="I6054" s="12" t="inlineStr">
        <is>
          <t>Instrumentation</t>
        </is>
      </c>
      <c r="J6054" s="12" t="inlineStr">
        <is>
          <t>Instrumentation PLTC / TC-ER 300 V, #18 twisted shielded pairs, overall shield</t>
        </is>
      </c>
      <c r="K6054" s="12" t="inlineStr">
        <is>
          <t>PLTC|1 pr|16</t>
        </is>
      </c>
      <c r="L6054" s="12" t="inlineStr">
        <is>
          <t>1 pr</t>
        </is>
      </c>
      <c r="M6054" s="12" t="inlineStr">
        <is>
          <t>16</t>
        </is>
      </c>
      <c r="N6054" s="12" t="n">
        <v>20</v>
      </c>
      <c r="O6054" s="12" t="n">
        <v>1</v>
      </c>
      <c r="P6054" s="12" t="n"/>
      <c r="Q6054" s="12" t="n"/>
      <c r="R6054" s="12" t="n"/>
      <c r="S6054" s="12" t="inlineStr">
        <is>
          <t>Tray / conduit</t>
        </is>
      </c>
      <c r="T6054" s="16" t="n">
        <v>161</v>
      </c>
      <c r="U6054" s="16" t="n">
        <v>10</v>
      </c>
      <c r="V6054" s="16">
        <f>ROUNDUP((T6054+U6054+2*'Read Me'!$B$13)*(1+'Read Me'!$B$12),-1)</f>
        <v/>
      </c>
      <c r="W6054" s="16">
        <f>V6054*N6054*O6054</f>
        <v/>
      </c>
      <c r="X6054" s="12">
        <f>IF(LEFT(I6054,2)="MV",2*N6054*IF(L6054="1/C",O6054,1),0)</f>
        <v/>
      </c>
      <c r="Y6054" s="12">
        <f>IF(OR(LEFT(K6054,4)="LVAX",LEFT(K6054,6)="MV15AX",LEFT(K6054,4)="CTAX",LEFT(K6054,2)="W|"),2*N6054*O6054,0)</f>
        <v/>
      </c>
      <c r="Z6054" s="12" t="inlineStr">
        <is>
          <t>device-to-JB field wiring, one cable per device</t>
        </is>
      </c>
      <c r="AA6054" s="12">
        <f>N6054*O6054</f>
        <v/>
      </c>
    </row>
    <row r="6055">
      <c r="A6055" s="12" t="inlineStr">
        <is>
          <t>C-I-0106</t>
        </is>
      </c>
      <c r="B6055" s="12" t="inlineStr">
        <is>
          <t>C</t>
        </is>
      </c>
      <c r="C6055" s="12" t="inlineStr">
        <is>
          <t>Grid interface</t>
        </is>
      </c>
      <c r="D6055" s="12" t="inlineStr">
        <is>
          <t>Home run JB-CO2 compression 3 -DI05 to the control / marshalling room</t>
        </is>
      </c>
      <c r="E6055" s="12" t="inlineStr">
        <is>
          <t>R1</t>
        </is>
      </c>
      <c r="F6055" s="12" t="inlineStr">
        <is>
          <t>R1: main electrical building (64 x 180 ft)</t>
        </is>
      </c>
      <c r="G6055" s="12" t="inlineStr">
        <is>
          <t>JB-CO2 compression 3 -DI05</t>
        </is>
      </c>
      <c r="H6055" s="12" t="inlineStr">
        <is>
          <t xml:space="preserve">CO2 compression 3 x ~19 MW + dehydration: rooftop HVAC, exhaust fans, </t>
        </is>
      </c>
      <c r="I6055" s="12" t="inlineStr">
        <is>
          <t>Instrumentation</t>
        </is>
      </c>
      <c r="J6055" s="12" t="inlineStr">
        <is>
          <t>Instrumentation PLTC / TC-ER 300 V, #18 twisted shielded pairs, overall shield</t>
        </is>
      </c>
      <c r="K6055" s="12" t="inlineStr">
        <is>
          <t>PLTC|24 pr|18</t>
        </is>
      </c>
      <c r="L6055" s="12" t="inlineStr">
        <is>
          <t>24 pr</t>
        </is>
      </c>
      <c r="M6055" s="12" t="inlineStr">
        <is>
          <t>18</t>
        </is>
      </c>
      <c r="N6055" s="12" t="n">
        <v>1</v>
      </c>
      <c r="O6055" s="12" t="n">
        <v>1</v>
      </c>
      <c r="P6055" s="12" t="n"/>
      <c r="Q6055" s="12" t="n"/>
      <c r="R6055" s="12" t="n"/>
      <c r="S6055" s="12" t="inlineStr">
        <is>
          <t>Tray</t>
        </is>
      </c>
      <c r="T6055" s="16" t="n">
        <v>2186</v>
      </c>
      <c r="U6055" s="16" t="n">
        <v>268</v>
      </c>
      <c r="V6055" s="16">
        <f>ROUNDUP((T6055+U6055+2*'Read Me'!$B$13)*(1+'Read Me'!$B$12),-1)</f>
        <v/>
      </c>
      <c r="W6055" s="16">
        <f>V6055*N6055*O6055</f>
        <v/>
      </c>
      <c r="X6055" s="12">
        <f>IF(LEFT(I6055,2)="MV",2*N6055*IF(L6055="1/C",O6055,1),0)</f>
        <v/>
      </c>
      <c r="Y6055" s="12">
        <f>IF(OR(LEFT(K6055,4)="LVAX",LEFT(K6055,6)="MV15AX",LEFT(K6055,4)="CTAX",LEFT(K6055,2)="W|"),2*N6055*O6055,0)</f>
        <v/>
      </c>
      <c r="Z6055" s="12" t="inlineStr"/>
      <c r="AA6055" s="12">
        <f>N6055*O6055</f>
        <v/>
      </c>
    </row>
    <row r="6056">
      <c r="A6056" s="12" t="inlineStr">
        <is>
          <t>C-I-0107</t>
        </is>
      </c>
      <c r="B6056" s="12" t="inlineStr">
        <is>
          <t>C</t>
        </is>
      </c>
      <c r="C6056" s="12" t="inlineStr">
        <is>
          <t>Grid interface</t>
        </is>
      </c>
      <c r="D6056" s="12" t="inlineStr">
        <is>
          <t>RTD to JB JB-CO2 compression 3 -RTD01: 10 x 1 tri (field cables)</t>
        </is>
      </c>
      <c r="E6056" s="12" t="inlineStr"/>
      <c r="F6056" s="12" t="inlineStr">
        <is>
          <t xml:space="preserve">CO2 compression 3 x ~19 MW + dehydration: rooftop HVAC, exhaust fans, </t>
        </is>
      </c>
      <c r="G6056" s="12" t="inlineStr">
        <is>
          <t>JB-CO2 compression 3 -RTD01</t>
        </is>
      </c>
      <c r="H6056" s="12" t="inlineStr">
        <is>
          <t xml:space="preserve">CO2 compression 3 x ~19 MW + dehydration: rooftop HVAC, exhaust fans, </t>
        </is>
      </c>
      <c r="I6056" s="12" t="inlineStr">
        <is>
          <t>Instrumentation</t>
        </is>
      </c>
      <c r="J6056" s="12" t="inlineStr">
        <is>
          <t>RTD cable, #18 shielded triads, PLTC</t>
        </is>
      </c>
      <c r="K6056" s="12" t="inlineStr">
        <is>
          <t>RTD|1 tri|18</t>
        </is>
      </c>
      <c r="L6056" s="12" t="inlineStr">
        <is>
          <t>1 tri</t>
        </is>
      </c>
      <c r="M6056" s="12" t="inlineStr">
        <is>
          <t>18</t>
        </is>
      </c>
      <c r="N6056" s="12" t="n">
        <v>10</v>
      </c>
      <c r="O6056" s="12" t="n">
        <v>1</v>
      </c>
      <c r="P6056" s="12" t="n"/>
      <c r="Q6056" s="12" t="n"/>
      <c r="R6056" s="12" t="n"/>
      <c r="S6056" s="12" t="inlineStr">
        <is>
          <t>Tray / conduit</t>
        </is>
      </c>
      <c r="T6056" s="16" t="n">
        <v>161</v>
      </c>
      <c r="U6056" s="16" t="n">
        <v>10</v>
      </c>
      <c r="V6056" s="16">
        <f>ROUNDUP((T6056+U6056+2*'Read Me'!$B$13)*(1+'Read Me'!$B$12),-1)</f>
        <v/>
      </c>
      <c r="W6056" s="16">
        <f>V6056*N6056*O6056</f>
        <v/>
      </c>
      <c r="X6056" s="12">
        <f>IF(LEFT(I6056,2)="MV",2*N6056*IF(L6056="1/C",O6056,1),0)</f>
        <v/>
      </c>
      <c r="Y6056" s="12">
        <f>IF(OR(LEFT(K6056,4)="LVAX",LEFT(K6056,6)="MV15AX",LEFT(K6056,4)="CTAX",LEFT(K6056,2)="W|"),2*N6056*O6056,0)</f>
        <v/>
      </c>
      <c r="Z6056" s="12" t="inlineStr">
        <is>
          <t>device-to-JB field wiring, one cable per device</t>
        </is>
      </c>
      <c r="AA6056" s="12">
        <f>N6056*O6056</f>
        <v/>
      </c>
    </row>
    <row r="6057">
      <c r="A6057" s="12" t="inlineStr">
        <is>
          <t>C-I-0108</t>
        </is>
      </c>
      <c r="B6057" s="12" t="inlineStr">
        <is>
          <t>C</t>
        </is>
      </c>
      <c r="C6057" s="12" t="inlineStr">
        <is>
          <t>Grid interface</t>
        </is>
      </c>
      <c r="D6057" s="12" t="inlineStr">
        <is>
          <t>Home run JB-CO2 compression 3 -RTD01 to the control / marshalling room</t>
        </is>
      </c>
      <c r="E6057" s="12" t="inlineStr">
        <is>
          <t>R1</t>
        </is>
      </c>
      <c r="F6057" s="12" t="inlineStr">
        <is>
          <t>R1: main electrical building (64 x 180 ft)</t>
        </is>
      </c>
      <c r="G6057" s="12" t="inlineStr">
        <is>
          <t>JB-CO2 compression 3 -RTD01</t>
        </is>
      </c>
      <c r="H6057" s="12" t="inlineStr">
        <is>
          <t xml:space="preserve">CO2 compression 3 x ~19 MW + dehydration: rooftop HVAC, exhaust fans, </t>
        </is>
      </c>
      <c r="I6057" s="12" t="inlineStr">
        <is>
          <t>Instrumentation</t>
        </is>
      </c>
      <c r="J6057" s="12" t="inlineStr">
        <is>
          <t>RTD cable, #18 shielded triads, PLTC</t>
        </is>
      </c>
      <c r="K6057" s="12" t="inlineStr">
        <is>
          <t>RTD|12 tri|18</t>
        </is>
      </c>
      <c r="L6057" s="12" t="inlineStr">
        <is>
          <t>12 tri</t>
        </is>
      </c>
      <c r="M6057" s="12" t="inlineStr">
        <is>
          <t>18</t>
        </is>
      </c>
      <c r="N6057" s="12" t="n">
        <v>1</v>
      </c>
      <c r="O6057" s="12" t="n">
        <v>1</v>
      </c>
      <c r="P6057" s="12" t="n"/>
      <c r="Q6057" s="12" t="n"/>
      <c r="R6057" s="12" t="n"/>
      <c r="S6057" s="12" t="inlineStr">
        <is>
          <t>Tray</t>
        </is>
      </c>
      <c r="T6057" s="16" t="n">
        <v>2186</v>
      </c>
      <c r="U6057" s="16" t="n">
        <v>268</v>
      </c>
      <c r="V6057" s="16">
        <f>ROUNDUP((T6057+U6057+2*'Read Me'!$B$13)*(1+'Read Me'!$B$12),-1)</f>
        <v/>
      </c>
      <c r="W6057" s="16">
        <f>V6057*N6057*O6057</f>
        <v/>
      </c>
      <c r="X6057" s="12">
        <f>IF(LEFT(I6057,2)="MV",2*N6057*IF(L6057="1/C",O6057,1),0)</f>
        <v/>
      </c>
      <c r="Y6057" s="12">
        <f>IF(OR(LEFT(K6057,4)="LVAX",LEFT(K6057,6)="MV15AX",LEFT(K6057,4)="CTAX",LEFT(K6057,2)="W|"),2*N6057*O6057,0)</f>
        <v/>
      </c>
      <c r="Z6057" s="12" t="inlineStr"/>
      <c r="AA6057" s="12">
        <f>N6057*O6057</f>
        <v/>
      </c>
    </row>
    <row r="6058">
      <c r="A6058" s="12" t="inlineStr">
        <is>
          <t>C-I-0109</t>
        </is>
      </c>
      <c r="B6058" s="12" t="inlineStr">
        <is>
          <t>C</t>
        </is>
      </c>
      <c r="C6058" s="12" t="inlineStr">
        <is>
          <t>Grid interface</t>
        </is>
      </c>
      <c r="D6058" s="12" t="inlineStr">
        <is>
          <t>RTD to JB JB-CO2 compression 3 -RTD02: 10 x 1 tri (field cables)</t>
        </is>
      </c>
      <c r="E6058" s="12" t="inlineStr"/>
      <c r="F6058" s="12" t="inlineStr">
        <is>
          <t xml:space="preserve">CO2 compression 3 x ~19 MW + dehydration: rooftop HVAC, exhaust fans, </t>
        </is>
      </c>
      <c r="G6058" s="12" t="inlineStr">
        <is>
          <t>JB-CO2 compression 3 -RTD02</t>
        </is>
      </c>
      <c r="H6058" s="12" t="inlineStr">
        <is>
          <t xml:space="preserve">CO2 compression 3 x ~19 MW + dehydration: rooftop HVAC, exhaust fans, </t>
        </is>
      </c>
      <c r="I6058" s="12" t="inlineStr">
        <is>
          <t>Instrumentation</t>
        </is>
      </c>
      <c r="J6058" s="12" t="inlineStr">
        <is>
          <t>RTD cable, #18 shielded triads, PLTC</t>
        </is>
      </c>
      <c r="K6058" s="12" t="inlineStr">
        <is>
          <t>RTD|1 tri|18</t>
        </is>
      </c>
      <c r="L6058" s="12" t="inlineStr">
        <is>
          <t>1 tri</t>
        </is>
      </c>
      <c r="M6058" s="12" t="inlineStr">
        <is>
          <t>18</t>
        </is>
      </c>
      <c r="N6058" s="12" t="n">
        <v>10</v>
      </c>
      <c r="O6058" s="12" t="n">
        <v>1</v>
      </c>
      <c r="P6058" s="12" t="n"/>
      <c r="Q6058" s="12" t="n"/>
      <c r="R6058" s="12" t="n"/>
      <c r="S6058" s="12" t="inlineStr">
        <is>
          <t>Tray / conduit</t>
        </is>
      </c>
      <c r="T6058" s="16" t="n">
        <v>161</v>
      </c>
      <c r="U6058" s="16" t="n">
        <v>10</v>
      </c>
      <c r="V6058" s="16">
        <f>ROUNDUP((T6058+U6058+2*'Read Me'!$B$13)*(1+'Read Me'!$B$12),-1)</f>
        <v/>
      </c>
      <c r="W6058" s="16">
        <f>V6058*N6058*O6058</f>
        <v/>
      </c>
      <c r="X6058" s="12">
        <f>IF(LEFT(I6058,2)="MV",2*N6058*IF(L6058="1/C",O6058,1),0)</f>
        <v/>
      </c>
      <c r="Y6058" s="12">
        <f>IF(OR(LEFT(K6058,4)="LVAX",LEFT(K6058,6)="MV15AX",LEFT(K6058,4)="CTAX",LEFT(K6058,2)="W|"),2*N6058*O6058,0)</f>
        <v/>
      </c>
      <c r="Z6058" s="12" t="inlineStr">
        <is>
          <t>device-to-JB field wiring, one cable per device</t>
        </is>
      </c>
      <c r="AA6058" s="12">
        <f>N6058*O6058</f>
        <v/>
      </c>
    </row>
    <row r="6059">
      <c r="A6059" s="12" t="inlineStr">
        <is>
          <t>C-I-0110</t>
        </is>
      </c>
      <c r="B6059" s="12" t="inlineStr">
        <is>
          <t>C</t>
        </is>
      </c>
      <c r="C6059" s="12" t="inlineStr">
        <is>
          <t>Grid interface</t>
        </is>
      </c>
      <c r="D6059" s="12" t="inlineStr">
        <is>
          <t>Home run JB-CO2 compression 3 -RTD02 to the control / marshalling room</t>
        </is>
      </c>
      <c r="E6059" s="12" t="inlineStr">
        <is>
          <t>R1</t>
        </is>
      </c>
      <c r="F6059" s="12" t="inlineStr">
        <is>
          <t>R1: main electrical building (64 x 180 ft)</t>
        </is>
      </c>
      <c r="G6059" s="12" t="inlineStr">
        <is>
          <t>JB-CO2 compression 3 -RTD02</t>
        </is>
      </c>
      <c r="H6059" s="12" t="inlineStr">
        <is>
          <t xml:space="preserve">CO2 compression 3 x ~19 MW + dehydration: rooftop HVAC, exhaust fans, </t>
        </is>
      </c>
      <c r="I6059" s="12" t="inlineStr">
        <is>
          <t>Instrumentation</t>
        </is>
      </c>
      <c r="J6059" s="12" t="inlineStr">
        <is>
          <t>RTD cable, #18 shielded triads, PLTC</t>
        </is>
      </c>
      <c r="K6059" s="12" t="inlineStr">
        <is>
          <t>RTD|12 tri|18</t>
        </is>
      </c>
      <c r="L6059" s="12" t="inlineStr">
        <is>
          <t>12 tri</t>
        </is>
      </c>
      <c r="M6059" s="12" t="inlineStr">
        <is>
          <t>18</t>
        </is>
      </c>
      <c r="N6059" s="12" t="n">
        <v>1</v>
      </c>
      <c r="O6059" s="12" t="n">
        <v>1</v>
      </c>
      <c r="P6059" s="12" t="n"/>
      <c r="Q6059" s="12" t="n"/>
      <c r="R6059" s="12" t="n"/>
      <c r="S6059" s="12" t="inlineStr">
        <is>
          <t>Tray</t>
        </is>
      </c>
      <c r="T6059" s="16" t="n">
        <v>2186</v>
      </c>
      <c r="U6059" s="16" t="n">
        <v>268</v>
      </c>
      <c r="V6059" s="16">
        <f>ROUNDUP((T6059+U6059+2*'Read Me'!$B$13)*(1+'Read Me'!$B$12),-1)</f>
        <v/>
      </c>
      <c r="W6059" s="16">
        <f>V6059*N6059*O6059</f>
        <v/>
      </c>
      <c r="X6059" s="12">
        <f>IF(LEFT(I6059,2)="MV",2*N6059*IF(L6059="1/C",O6059,1),0)</f>
        <v/>
      </c>
      <c r="Y6059" s="12">
        <f>IF(OR(LEFT(K6059,4)="LVAX",LEFT(K6059,6)="MV15AX",LEFT(K6059,4)="CTAX",LEFT(K6059,2)="W|"),2*N6059*O6059,0)</f>
        <v/>
      </c>
      <c r="Z6059" s="12" t="inlineStr"/>
      <c r="AA6059" s="12">
        <f>N6059*O6059</f>
        <v/>
      </c>
    </row>
    <row r="6060">
      <c r="A6060" s="12" t="inlineStr">
        <is>
          <t>C-I-0111</t>
        </is>
      </c>
      <c r="B6060" s="12" t="inlineStr">
        <is>
          <t>C</t>
        </is>
      </c>
      <c r="C6060" s="12" t="inlineStr">
        <is>
          <t>Grid interface</t>
        </is>
      </c>
      <c r="D6060" s="12" t="inlineStr">
        <is>
          <t>RTD to JB JB-CO2 compression 3 -RTD03: 10 x 1 tri (field cables)</t>
        </is>
      </c>
      <c r="E6060" s="12" t="inlineStr"/>
      <c r="F6060" s="12" t="inlineStr">
        <is>
          <t xml:space="preserve">CO2 compression 3 x ~19 MW + dehydration: rooftop HVAC, exhaust fans, </t>
        </is>
      </c>
      <c r="G6060" s="12" t="inlineStr">
        <is>
          <t>JB-CO2 compression 3 -RTD03</t>
        </is>
      </c>
      <c r="H6060" s="12" t="inlineStr">
        <is>
          <t xml:space="preserve">CO2 compression 3 x ~19 MW + dehydration: rooftop HVAC, exhaust fans, </t>
        </is>
      </c>
      <c r="I6060" s="12" t="inlineStr">
        <is>
          <t>Instrumentation</t>
        </is>
      </c>
      <c r="J6060" s="12" t="inlineStr">
        <is>
          <t>RTD cable, #18 shielded triads, PLTC</t>
        </is>
      </c>
      <c r="K6060" s="12" t="inlineStr">
        <is>
          <t>RTD|1 tri|18</t>
        </is>
      </c>
      <c r="L6060" s="12" t="inlineStr">
        <is>
          <t>1 tri</t>
        </is>
      </c>
      <c r="M6060" s="12" t="inlineStr">
        <is>
          <t>18</t>
        </is>
      </c>
      <c r="N6060" s="12" t="n">
        <v>10</v>
      </c>
      <c r="O6060" s="12" t="n">
        <v>1</v>
      </c>
      <c r="P6060" s="12" t="n"/>
      <c r="Q6060" s="12" t="n"/>
      <c r="R6060" s="12" t="n"/>
      <c r="S6060" s="12" t="inlineStr">
        <is>
          <t>Tray / conduit</t>
        </is>
      </c>
      <c r="T6060" s="16" t="n">
        <v>161</v>
      </c>
      <c r="U6060" s="16" t="n">
        <v>10</v>
      </c>
      <c r="V6060" s="16">
        <f>ROUNDUP((T6060+U6060+2*'Read Me'!$B$13)*(1+'Read Me'!$B$12),-1)</f>
        <v/>
      </c>
      <c r="W6060" s="16">
        <f>V6060*N6060*O6060</f>
        <v/>
      </c>
      <c r="X6060" s="12">
        <f>IF(LEFT(I6060,2)="MV",2*N6060*IF(L6060="1/C",O6060,1),0)</f>
        <v/>
      </c>
      <c r="Y6060" s="12">
        <f>IF(OR(LEFT(K6060,4)="LVAX",LEFT(K6060,6)="MV15AX",LEFT(K6060,4)="CTAX",LEFT(K6060,2)="W|"),2*N6060*O6060,0)</f>
        <v/>
      </c>
      <c r="Z6060" s="12" t="inlineStr">
        <is>
          <t>device-to-JB field wiring, one cable per device</t>
        </is>
      </c>
      <c r="AA6060" s="12">
        <f>N6060*O6060</f>
        <v/>
      </c>
    </row>
    <row r="6061">
      <c r="A6061" s="12" t="inlineStr">
        <is>
          <t>C-I-0112</t>
        </is>
      </c>
      <c r="B6061" s="12" t="inlineStr">
        <is>
          <t>C</t>
        </is>
      </c>
      <c r="C6061" s="12" t="inlineStr">
        <is>
          <t>Grid interface</t>
        </is>
      </c>
      <c r="D6061" s="12" t="inlineStr">
        <is>
          <t>Home run JB-CO2 compression 3 -RTD03 to the control / marshalling room</t>
        </is>
      </c>
      <c r="E6061" s="12" t="inlineStr">
        <is>
          <t>R1</t>
        </is>
      </c>
      <c r="F6061" s="12" t="inlineStr">
        <is>
          <t>R1: main electrical building (64 x 180 ft)</t>
        </is>
      </c>
      <c r="G6061" s="12" t="inlineStr">
        <is>
          <t>JB-CO2 compression 3 -RTD03</t>
        </is>
      </c>
      <c r="H6061" s="12" t="inlineStr">
        <is>
          <t xml:space="preserve">CO2 compression 3 x ~19 MW + dehydration: rooftop HVAC, exhaust fans, </t>
        </is>
      </c>
      <c r="I6061" s="12" t="inlineStr">
        <is>
          <t>Instrumentation</t>
        </is>
      </c>
      <c r="J6061" s="12" t="inlineStr">
        <is>
          <t>RTD cable, #18 shielded triads, PLTC</t>
        </is>
      </c>
      <c r="K6061" s="12" t="inlineStr">
        <is>
          <t>RTD|12 tri|18</t>
        </is>
      </c>
      <c r="L6061" s="12" t="inlineStr">
        <is>
          <t>12 tri</t>
        </is>
      </c>
      <c r="M6061" s="12" t="inlineStr">
        <is>
          <t>18</t>
        </is>
      </c>
      <c r="N6061" s="12" t="n">
        <v>1</v>
      </c>
      <c r="O6061" s="12" t="n">
        <v>1</v>
      </c>
      <c r="P6061" s="12" t="n"/>
      <c r="Q6061" s="12" t="n"/>
      <c r="R6061" s="12" t="n"/>
      <c r="S6061" s="12" t="inlineStr">
        <is>
          <t>Tray</t>
        </is>
      </c>
      <c r="T6061" s="16" t="n">
        <v>2186</v>
      </c>
      <c r="U6061" s="16" t="n">
        <v>268</v>
      </c>
      <c r="V6061" s="16">
        <f>ROUNDUP((T6061+U6061+2*'Read Me'!$B$13)*(1+'Read Me'!$B$12),-1)</f>
        <v/>
      </c>
      <c r="W6061" s="16">
        <f>V6061*N6061*O6061</f>
        <v/>
      </c>
      <c r="X6061" s="12">
        <f>IF(LEFT(I6061,2)="MV",2*N6061*IF(L6061="1/C",O6061,1),0)</f>
        <v/>
      </c>
      <c r="Y6061" s="12">
        <f>IF(OR(LEFT(K6061,4)="LVAX",LEFT(K6061,6)="MV15AX",LEFT(K6061,4)="CTAX",LEFT(K6061,2)="W|"),2*N6061*O6061,0)</f>
        <v/>
      </c>
      <c r="Z6061" s="12" t="inlineStr"/>
      <c r="AA6061" s="12">
        <f>N6061*O6061</f>
        <v/>
      </c>
    </row>
    <row r="6062">
      <c r="A6062" s="12" t="inlineStr">
        <is>
          <t>C-I-0113</t>
        </is>
      </c>
      <c r="B6062" s="12" t="inlineStr">
        <is>
          <t>C</t>
        </is>
      </c>
      <c r="C6062" s="12" t="inlineStr">
        <is>
          <t>Grid interface</t>
        </is>
      </c>
      <c r="D6062" s="12" t="inlineStr">
        <is>
          <t>RTD to JB JB-CO2 compression 3 -RTD04: 6 x 1 tri (field cables)</t>
        </is>
      </c>
      <c r="E6062" s="12" t="inlineStr"/>
      <c r="F6062" s="12" t="inlineStr">
        <is>
          <t xml:space="preserve">CO2 compression 3 x ~19 MW + dehydration: rooftop HVAC, exhaust fans, </t>
        </is>
      </c>
      <c r="G6062" s="12" t="inlineStr">
        <is>
          <t>JB-CO2 compression 3 -RTD04</t>
        </is>
      </c>
      <c r="H6062" s="12" t="inlineStr">
        <is>
          <t xml:space="preserve">CO2 compression 3 x ~19 MW + dehydration: rooftop HVAC, exhaust fans, </t>
        </is>
      </c>
      <c r="I6062" s="12" t="inlineStr">
        <is>
          <t>Instrumentation</t>
        </is>
      </c>
      <c r="J6062" s="12" t="inlineStr">
        <is>
          <t>RTD cable, #18 shielded triads, PLTC</t>
        </is>
      </c>
      <c r="K6062" s="12" t="inlineStr">
        <is>
          <t>RTD|1 tri|18</t>
        </is>
      </c>
      <c r="L6062" s="12" t="inlineStr">
        <is>
          <t>1 tri</t>
        </is>
      </c>
      <c r="M6062" s="12" t="inlineStr">
        <is>
          <t>18</t>
        </is>
      </c>
      <c r="N6062" s="12" t="n">
        <v>6</v>
      </c>
      <c r="O6062" s="12" t="n">
        <v>1</v>
      </c>
      <c r="P6062" s="12" t="n"/>
      <c r="Q6062" s="12" t="n"/>
      <c r="R6062" s="12" t="n"/>
      <c r="S6062" s="12" t="inlineStr">
        <is>
          <t>Tray / conduit</t>
        </is>
      </c>
      <c r="T6062" s="16" t="n">
        <v>161</v>
      </c>
      <c r="U6062" s="16" t="n">
        <v>10</v>
      </c>
      <c r="V6062" s="16">
        <f>ROUNDUP((T6062+U6062+2*'Read Me'!$B$13)*(1+'Read Me'!$B$12),-1)</f>
        <v/>
      </c>
      <c r="W6062" s="16">
        <f>V6062*N6062*O6062</f>
        <v/>
      </c>
      <c r="X6062" s="12">
        <f>IF(LEFT(I6062,2)="MV",2*N6062*IF(L6062="1/C",O6062,1),0)</f>
        <v/>
      </c>
      <c r="Y6062" s="12">
        <f>IF(OR(LEFT(K6062,4)="LVAX",LEFT(K6062,6)="MV15AX",LEFT(K6062,4)="CTAX",LEFT(K6062,2)="W|"),2*N6062*O6062,0)</f>
        <v/>
      </c>
      <c r="Z6062" s="12" t="inlineStr">
        <is>
          <t>device-to-JB field wiring, one cable per device</t>
        </is>
      </c>
      <c r="AA6062" s="12">
        <f>N6062*O6062</f>
        <v/>
      </c>
    </row>
    <row r="6063">
      <c r="A6063" s="12" t="inlineStr">
        <is>
          <t>C-I-0114</t>
        </is>
      </c>
      <c r="B6063" s="12" t="inlineStr">
        <is>
          <t>C</t>
        </is>
      </c>
      <c r="C6063" s="12" t="inlineStr">
        <is>
          <t>Grid interface</t>
        </is>
      </c>
      <c r="D6063" s="12" t="inlineStr">
        <is>
          <t>Home run JB-CO2 compression 3 -RTD04 to the control / marshalling room</t>
        </is>
      </c>
      <c r="E6063" s="12" t="inlineStr">
        <is>
          <t>R1</t>
        </is>
      </c>
      <c r="F6063" s="12" t="inlineStr">
        <is>
          <t>R1: main electrical building (64 x 180 ft)</t>
        </is>
      </c>
      <c r="G6063" s="12" t="inlineStr">
        <is>
          <t>JB-CO2 compression 3 -RTD04</t>
        </is>
      </c>
      <c r="H6063" s="12" t="inlineStr">
        <is>
          <t xml:space="preserve">CO2 compression 3 x ~19 MW + dehydration: rooftop HVAC, exhaust fans, </t>
        </is>
      </c>
      <c r="I6063" s="12" t="inlineStr">
        <is>
          <t>Instrumentation</t>
        </is>
      </c>
      <c r="J6063" s="12" t="inlineStr">
        <is>
          <t>RTD cable, #18 shielded triads, PLTC</t>
        </is>
      </c>
      <c r="K6063" s="12" t="inlineStr">
        <is>
          <t>RTD|12 tri|18</t>
        </is>
      </c>
      <c r="L6063" s="12" t="inlineStr">
        <is>
          <t>12 tri</t>
        </is>
      </c>
      <c r="M6063" s="12" t="inlineStr">
        <is>
          <t>18</t>
        </is>
      </c>
      <c r="N6063" s="12" t="n">
        <v>1</v>
      </c>
      <c r="O6063" s="12" t="n">
        <v>1</v>
      </c>
      <c r="P6063" s="12" t="n"/>
      <c r="Q6063" s="12" t="n"/>
      <c r="R6063" s="12" t="n"/>
      <c r="S6063" s="12" t="inlineStr">
        <is>
          <t>Tray</t>
        </is>
      </c>
      <c r="T6063" s="16" t="n">
        <v>2186</v>
      </c>
      <c r="U6063" s="16" t="n">
        <v>268</v>
      </c>
      <c r="V6063" s="16">
        <f>ROUNDUP((T6063+U6063+2*'Read Me'!$B$13)*(1+'Read Me'!$B$12),-1)</f>
        <v/>
      </c>
      <c r="W6063" s="16">
        <f>V6063*N6063*O6063</f>
        <v/>
      </c>
      <c r="X6063" s="12">
        <f>IF(LEFT(I6063,2)="MV",2*N6063*IF(L6063="1/C",O6063,1),0)</f>
        <v/>
      </c>
      <c r="Y6063" s="12">
        <f>IF(OR(LEFT(K6063,4)="LVAX",LEFT(K6063,6)="MV15AX",LEFT(K6063,4)="CTAX",LEFT(K6063,2)="W|"),2*N6063*O6063,0)</f>
        <v/>
      </c>
      <c r="Z6063" s="12" t="inlineStr"/>
      <c r="AA6063" s="12">
        <f>N6063*O6063</f>
        <v/>
      </c>
    </row>
    <row r="6064">
      <c r="A6064" s="12" t="inlineStr">
        <is>
          <t>C-I-0115</t>
        </is>
      </c>
      <c r="B6064" s="12" t="inlineStr">
        <is>
          <t>C</t>
        </is>
      </c>
      <c r="C6064" s="12" t="inlineStr">
        <is>
          <t>Grid interface</t>
        </is>
      </c>
      <c r="D6064" s="12" t="inlineStr">
        <is>
          <t>Analog instrument to JB JB-Small-bore piping:-AI01: 10 x 1 pr (field cables)</t>
        </is>
      </c>
      <c r="E6064" s="12" t="inlineStr"/>
      <c r="F6064" s="12" t="inlineStr">
        <is>
          <t>Small-bore piping: instrument air, service water, nitrogen, HRSG drain</t>
        </is>
      </c>
      <c r="G6064" s="12" t="inlineStr">
        <is>
          <t>JB-Small-bore piping:-AI01</t>
        </is>
      </c>
      <c r="H6064" s="12" t="inlineStr">
        <is>
          <t>Small-bore piping: instrument air, service water, nitrogen, HRSG drain</t>
        </is>
      </c>
      <c r="I6064" s="12" t="inlineStr">
        <is>
          <t>Instrumentation</t>
        </is>
      </c>
      <c r="J6064" s="12" t="inlineStr">
        <is>
          <t>Instrumentation PLTC / TC-ER 300 V, #18 twisted shielded pairs, overall shield</t>
        </is>
      </c>
      <c r="K6064" s="12" t="inlineStr">
        <is>
          <t>PLTC|1 pr|16</t>
        </is>
      </c>
      <c r="L6064" s="12" t="inlineStr">
        <is>
          <t>1 pr</t>
        </is>
      </c>
      <c r="M6064" s="12" t="inlineStr">
        <is>
          <t>16</t>
        </is>
      </c>
      <c r="N6064" s="12" t="n">
        <v>10</v>
      </c>
      <c r="O6064" s="12" t="n">
        <v>1</v>
      </c>
      <c r="P6064" s="12" t="n"/>
      <c r="Q6064" s="12" t="n"/>
      <c r="R6064" s="12" t="n"/>
      <c r="S6064" s="12" t="inlineStr">
        <is>
          <t>Tray / conduit</t>
        </is>
      </c>
      <c r="T6064" s="16" t="n">
        <v>250</v>
      </c>
      <c r="U6064" s="16" t="n">
        <v>10</v>
      </c>
      <c r="V6064" s="16">
        <f>ROUNDUP((T6064+U6064+2*'Read Me'!$B$13)*(1+'Read Me'!$B$12),-1)</f>
        <v/>
      </c>
      <c r="W6064" s="16">
        <f>V6064*N6064*O6064</f>
        <v/>
      </c>
      <c r="X6064" s="12">
        <f>IF(LEFT(I6064,2)="MV",2*N6064*IF(L6064="1/C",O6064,1),0)</f>
        <v/>
      </c>
      <c r="Y6064" s="12">
        <f>IF(OR(LEFT(K6064,4)="LVAX",LEFT(K6064,6)="MV15AX",LEFT(K6064,4)="CTAX",LEFT(K6064,2)="W|"),2*N6064*O6064,0)</f>
        <v/>
      </c>
      <c r="Z6064" s="12" t="inlineStr">
        <is>
          <t>device-to-JB field wiring, one cable per device</t>
        </is>
      </c>
      <c r="AA6064" s="12">
        <f>N6064*O6064</f>
        <v/>
      </c>
    </row>
    <row r="6065">
      <c r="A6065" s="12" t="inlineStr">
        <is>
          <t>C-I-0116</t>
        </is>
      </c>
      <c r="B6065" s="12" t="inlineStr">
        <is>
          <t>C</t>
        </is>
      </c>
      <c r="C6065" s="12" t="inlineStr">
        <is>
          <t>Grid interface</t>
        </is>
      </c>
      <c r="D6065" s="12" t="inlineStr">
        <is>
          <t>Home run JB-Small-bore piping:-AI01 to the control / marshalling room</t>
        </is>
      </c>
      <c r="E6065" s="12" t="inlineStr">
        <is>
          <t>R1</t>
        </is>
      </c>
      <c r="F6065" s="12" t="inlineStr">
        <is>
          <t>R1: main electrical building (64 x 180 ft)</t>
        </is>
      </c>
      <c r="G6065" s="12" t="inlineStr">
        <is>
          <t>JB-Small-bore piping:-AI01</t>
        </is>
      </c>
      <c r="H6065" s="12" t="inlineStr">
        <is>
          <t>Small-bore piping: instrument air, service water, nitrogen, HRSG drain</t>
        </is>
      </c>
      <c r="I6065" s="12" t="inlineStr">
        <is>
          <t>Instrumentation</t>
        </is>
      </c>
      <c r="J6065" s="12" t="inlineStr">
        <is>
          <t>Instrumentation PLTC / TC-ER 300 V, #18 twisted shielded pairs, overall shield</t>
        </is>
      </c>
      <c r="K6065" s="12" t="inlineStr">
        <is>
          <t>PLTC|24 pr|18</t>
        </is>
      </c>
      <c r="L6065" s="12" t="inlineStr">
        <is>
          <t>24 pr</t>
        </is>
      </c>
      <c r="M6065" s="12" t="inlineStr">
        <is>
          <t>18</t>
        </is>
      </c>
      <c r="N6065" s="12" t="n">
        <v>1</v>
      </c>
      <c r="O6065" s="12" t="n">
        <v>1</v>
      </c>
      <c r="P6065" s="12" t="n"/>
      <c r="Q6065" s="12" t="n"/>
      <c r="R6065" s="12" t="n"/>
      <c r="S6065" s="12" t="inlineStr">
        <is>
          <t>Tray</t>
        </is>
      </c>
      <c r="T6065" s="16" t="n">
        <v>1218</v>
      </c>
      <c r="U6065" s="16" t="n">
        <v>200</v>
      </c>
      <c r="V6065" s="16">
        <f>ROUNDUP((T6065+U6065+2*'Read Me'!$B$13)*(1+'Read Me'!$B$12),-1)</f>
        <v/>
      </c>
      <c r="W6065" s="16">
        <f>V6065*N6065*O6065</f>
        <v/>
      </c>
      <c r="X6065" s="12">
        <f>IF(LEFT(I6065,2)="MV",2*N6065*IF(L6065="1/C",O6065,1),0)</f>
        <v/>
      </c>
      <c r="Y6065" s="12">
        <f>IF(OR(LEFT(K6065,4)="LVAX",LEFT(K6065,6)="MV15AX",LEFT(K6065,4)="CTAX",LEFT(K6065,2)="W|"),2*N6065*O6065,0)</f>
        <v/>
      </c>
      <c r="Z6065" s="12" t="inlineStr"/>
      <c r="AA6065" s="12">
        <f>N6065*O6065</f>
        <v/>
      </c>
    </row>
    <row r="6066">
      <c r="A6066" s="12" t="inlineStr">
        <is>
          <t>C-I-0117</t>
        </is>
      </c>
      <c r="B6066" s="12" t="inlineStr">
        <is>
          <t>C</t>
        </is>
      </c>
      <c r="C6066" s="12" t="inlineStr">
        <is>
          <t>Grid interface</t>
        </is>
      </c>
      <c r="D6066" s="12" t="inlineStr">
        <is>
          <t>Discrete device to JB JB-Small-bore piping:-DI01: 10 x 1 pr (field cables)</t>
        </is>
      </c>
      <c r="E6066" s="12" t="inlineStr"/>
      <c r="F6066" s="12" t="inlineStr">
        <is>
          <t>Small-bore piping: instrument air, service water, nitrogen, HRSG drain</t>
        </is>
      </c>
      <c r="G6066" s="12" t="inlineStr">
        <is>
          <t>JB-Small-bore piping:-DI01</t>
        </is>
      </c>
      <c r="H6066" s="12" t="inlineStr">
        <is>
          <t>Small-bore piping: instrument air, service water, nitrogen, HRSG drain</t>
        </is>
      </c>
      <c r="I6066" s="12" t="inlineStr">
        <is>
          <t>Instrumentation</t>
        </is>
      </c>
      <c r="J6066" s="12" t="inlineStr">
        <is>
          <t>Instrumentation PLTC / TC-ER 300 V, #18 twisted shielded pairs, overall shield</t>
        </is>
      </c>
      <c r="K6066" s="12" t="inlineStr">
        <is>
          <t>PLTC|1 pr|16</t>
        </is>
      </c>
      <c r="L6066" s="12" t="inlineStr">
        <is>
          <t>1 pr</t>
        </is>
      </c>
      <c r="M6066" s="12" t="inlineStr">
        <is>
          <t>16</t>
        </is>
      </c>
      <c r="N6066" s="12" t="n">
        <v>10</v>
      </c>
      <c r="O6066" s="12" t="n">
        <v>1</v>
      </c>
      <c r="P6066" s="12" t="n"/>
      <c r="Q6066" s="12" t="n"/>
      <c r="R6066" s="12" t="n"/>
      <c r="S6066" s="12" t="inlineStr">
        <is>
          <t>Tray / conduit</t>
        </is>
      </c>
      <c r="T6066" s="16" t="n">
        <v>250</v>
      </c>
      <c r="U6066" s="16" t="n">
        <v>10</v>
      </c>
      <c r="V6066" s="16">
        <f>ROUNDUP((T6066+U6066+2*'Read Me'!$B$13)*(1+'Read Me'!$B$12),-1)</f>
        <v/>
      </c>
      <c r="W6066" s="16">
        <f>V6066*N6066*O6066</f>
        <v/>
      </c>
      <c r="X6066" s="12">
        <f>IF(LEFT(I6066,2)="MV",2*N6066*IF(L6066="1/C",O6066,1),0)</f>
        <v/>
      </c>
      <c r="Y6066" s="12">
        <f>IF(OR(LEFT(K6066,4)="LVAX",LEFT(K6066,6)="MV15AX",LEFT(K6066,4)="CTAX",LEFT(K6066,2)="W|"),2*N6066*O6066,0)</f>
        <v/>
      </c>
      <c r="Z6066" s="12" t="inlineStr">
        <is>
          <t>device-to-JB field wiring, one cable per device</t>
        </is>
      </c>
      <c r="AA6066" s="12">
        <f>N6066*O6066</f>
        <v/>
      </c>
    </row>
    <row r="6067">
      <c r="A6067" s="12" t="inlineStr">
        <is>
          <t>C-I-0118</t>
        </is>
      </c>
      <c r="B6067" s="12" t="inlineStr">
        <is>
          <t>C</t>
        </is>
      </c>
      <c r="C6067" s="12" t="inlineStr">
        <is>
          <t>Grid interface</t>
        </is>
      </c>
      <c r="D6067" s="12" t="inlineStr">
        <is>
          <t>Home run JB-Small-bore piping:-DI01 to the control / marshalling room</t>
        </is>
      </c>
      <c r="E6067" s="12" t="inlineStr">
        <is>
          <t>R1</t>
        </is>
      </c>
      <c r="F6067" s="12" t="inlineStr">
        <is>
          <t>R1: main electrical building (64 x 180 ft)</t>
        </is>
      </c>
      <c r="G6067" s="12" t="inlineStr">
        <is>
          <t>JB-Small-bore piping:-DI01</t>
        </is>
      </c>
      <c r="H6067" s="12" t="inlineStr">
        <is>
          <t>Small-bore piping: instrument air, service water, nitrogen, HRSG drain</t>
        </is>
      </c>
      <c r="I6067" s="12" t="inlineStr">
        <is>
          <t>Instrumentation</t>
        </is>
      </c>
      <c r="J6067" s="12" t="inlineStr">
        <is>
          <t>Instrumentation PLTC / TC-ER 300 V, #18 twisted shielded pairs, overall shield</t>
        </is>
      </c>
      <c r="K6067" s="12" t="inlineStr">
        <is>
          <t>PLTC|24 pr|18</t>
        </is>
      </c>
      <c r="L6067" s="12" t="inlineStr">
        <is>
          <t>24 pr</t>
        </is>
      </c>
      <c r="M6067" s="12" t="inlineStr">
        <is>
          <t>18</t>
        </is>
      </c>
      <c r="N6067" s="12" t="n">
        <v>1</v>
      </c>
      <c r="O6067" s="12" t="n">
        <v>1</v>
      </c>
      <c r="P6067" s="12" t="n"/>
      <c r="Q6067" s="12" t="n"/>
      <c r="R6067" s="12" t="n"/>
      <c r="S6067" s="12" t="inlineStr">
        <is>
          <t>Tray</t>
        </is>
      </c>
      <c r="T6067" s="16" t="n">
        <v>1218</v>
      </c>
      <c r="U6067" s="16" t="n">
        <v>200</v>
      </c>
      <c r="V6067" s="16">
        <f>ROUNDUP((T6067+U6067+2*'Read Me'!$B$13)*(1+'Read Me'!$B$12),-1)</f>
        <v/>
      </c>
      <c r="W6067" s="16">
        <f>V6067*N6067*O6067</f>
        <v/>
      </c>
      <c r="X6067" s="12">
        <f>IF(LEFT(I6067,2)="MV",2*N6067*IF(L6067="1/C",O6067,1),0)</f>
        <v/>
      </c>
      <c r="Y6067" s="12">
        <f>IF(OR(LEFT(K6067,4)="LVAX",LEFT(K6067,6)="MV15AX",LEFT(K6067,4)="CTAX",LEFT(K6067,2)="W|"),2*N6067*O6067,0)</f>
        <v/>
      </c>
      <c r="Z6067" s="12" t="inlineStr"/>
      <c r="AA6067" s="12">
        <f>N6067*O6067</f>
        <v/>
      </c>
    </row>
    <row r="6068">
      <c r="A6068" s="12" t="inlineStr">
        <is>
          <t>C-I-0119</t>
        </is>
      </c>
      <c r="B6068" s="12" t="inlineStr">
        <is>
          <t>C</t>
        </is>
      </c>
      <c r="C6068" s="12" t="inlineStr">
        <is>
          <t>Grid interface</t>
        </is>
      </c>
      <c r="D6068" s="12" t="inlineStr">
        <is>
          <t>Analog instrument to JB JB-Wastewater treatme-AI01: 20 x 1 pr (field cables)</t>
        </is>
      </c>
      <c r="E6068" s="12" t="inlineStr"/>
      <c r="F6068" s="12" t="inlineStr">
        <is>
          <t>Wastewater treatment: rooftop HVAC, exhaust fans, vents</t>
        </is>
      </c>
      <c r="G6068" s="12" t="inlineStr">
        <is>
          <t>JB-Wastewater treatme-AI01</t>
        </is>
      </c>
      <c r="H6068" s="12" t="inlineStr">
        <is>
          <t>Wastewater treatment: rooftop HVAC, exhaust fans, vents</t>
        </is>
      </c>
      <c r="I6068" s="12" t="inlineStr">
        <is>
          <t>Instrumentation</t>
        </is>
      </c>
      <c r="J6068" s="12" t="inlineStr">
        <is>
          <t>Instrumentation PLTC / TC-ER 300 V, #18 twisted shielded pairs, overall shield</t>
        </is>
      </c>
      <c r="K6068" s="12" t="inlineStr">
        <is>
          <t>PLTC|1 pr|16</t>
        </is>
      </c>
      <c r="L6068" s="12" t="inlineStr">
        <is>
          <t>1 pr</t>
        </is>
      </c>
      <c r="M6068" s="12" t="inlineStr">
        <is>
          <t>16</t>
        </is>
      </c>
      <c r="N6068" s="12" t="n">
        <v>20</v>
      </c>
      <c r="O6068" s="12" t="n">
        <v>1</v>
      </c>
      <c r="P6068" s="12" t="n"/>
      <c r="Q6068" s="12" t="n"/>
      <c r="R6068" s="12" t="n"/>
      <c r="S6068" s="12" t="inlineStr">
        <is>
          <t>Tray / conduit</t>
        </is>
      </c>
      <c r="T6068" s="16" t="n">
        <v>89</v>
      </c>
      <c r="U6068" s="16" t="n">
        <v>10</v>
      </c>
      <c r="V6068" s="16">
        <f>ROUNDUP((T6068+U6068+2*'Read Me'!$B$13)*(1+'Read Me'!$B$12),-1)</f>
        <v/>
      </c>
      <c r="W6068" s="16">
        <f>V6068*N6068*O6068</f>
        <v/>
      </c>
      <c r="X6068" s="12">
        <f>IF(LEFT(I6068,2)="MV",2*N6068*IF(L6068="1/C",O6068,1),0)</f>
        <v/>
      </c>
      <c r="Y6068" s="12">
        <f>IF(OR(LEFT(K6068,4)="LVAX",LEFT(K6068,6)="MV15AX",LEFT(K6068,4)="CTAX",LEFT(K6068,2)="W|"),2*N6068*O6068,0)</f>
        <v/>
      </c>
      <c r="Z6068" s="12" t="inlineStr">
        <is>
          <t>device-to-JB field wiring, one cable per device</t>
        </is>
      </c>
      <c r="AA6068" s="12">
        <f>N6068*O6068</f>
        <v/>
      </c>
    </row>
    <row r="6069">
      <c r="A6069" s="12" t="inlineStr">
        <is>
          <t>C-I-0120</t>
        </is>
      </c>
      <c r="B6069" s="12" t="inlineStr">
        <is>
          <t>C</t>
        </is>
      </c>
      <c r="C6069" s="12" t="inlineStr">
        <is>
          <t>Grid interface</t>
        </is>
      </c>
      <c r="D6069" s="12" t="inlineStr">
        <is>
          <t>Home run JB-Wastewater treatme-AI01 to the control / marshalling room</t>
        </is>
      </c>
      <c r="E6069" s="12" t="inlineStr">
        <is>
          <t>R1</t>
        </is>
      </c>
      <c r="F6069" s="12" t="inlineStr">
        <is>
          <t>R1: main electrical building (64 x 180 ft)</t>
        </is>
      </c>
      <c r="G6069" s="12" t="inlineStr">
        <is>
          <t>JB-Wastewater treatme-AI01</t>
        </is>
      </c>
      <c r="H6069" s="12" t="inlineStr">
        <is>
          <t>Wastewater treatment: rooftop HVAC, exhaust fans, vents</t>
        </is>
      </c>
      <c r="I6069" s="12" t="inlineStr">
        <is>
          <t>Instrumentation</t>
        </is>
      </c>
      <c r="J6069" s="12" t="inlineStr">
        <is>
          <t>Instrumentation PLTC / TC-ER 300 V, #18 twisted shielded pairs, overall shield</t>
        </is>
      </c>
      <c r="K6069" s="12" t="inlineStr">
        <is>
          <t>PLTC|24 pr|18</t>
        </is>
      </c>
      <c r="L6069" s="12" t="inlineStr">
        <is>
          <t>24 pr</t>
        </is>
      </c>
      <c r="M6069" s="12" t="inlineStr">
        <is>
          <t>18</t>
        </is>
      </c>
      <c r="N6069" s="12" t="n">
        <v>1</v>
      </c>
      <c r="O6069" s="12" t="n">
        <v>1</v>
      </c>
      <c r="P6069" s="12" t="n"/>
      <c r="Q6069" s="12" t="n"/>
      <c r="R6069" s="12" t="n"/>
      <c r="S6069" s="12" t="inlineStr">
        <is>
          <t>Duct bank</t>
        </is>
      </c>
      <c r="T6069" s="16" t="n">
        <v>1215</v>
      </c>
      <c r="U6069" s="16" t="n">
        <v>99</v>
      </c>
      <c r="V6069" s="16">
        <f>ROUNDUP((T6069+U6069+2*'Read Me'!$B$13)*(1+'Read Me'!$B$12),-1)</f>
        <v/>
      </c>
      <c r="W6069" s="16">
        <f>V6069*N6069*O6069</f>
        <v/>
      </c>
      <c r="X6069" s="12">
        <f>IF(LEFT(I6069,2)="MV",2*N6069*IF(L6069="1/C",O6069,1),0)</f>
        <v/>
      </c>
      <c r="Y6069" s="12">
        <f>IF(OR(LEFT(K6069,4)="LVAX",LEFT(K6069,6)="MV15AX",LEFT(K6069,4)="CTAX",LEFT(K6069,2)="W|"),2*N6069*O6069,0)</f>
        <v/>
      </c>
      <c r="Z6069" s="12" t="inlineStr"/>
      <c r="AA6069" s="12">
        <f>N6069*O6069</f>
        <v/>
      </c>
    </row>
    <row r="6070">
      <c r="A6070" s="12" t="inlineStr">
        <is>
          <t>C-I-0121</t>
        </is>
      </c>
      <c r="B6070" s="12" t="inlineStr">
        <is>
          <t>C</t>
        </is>
      </c>
      <c r="C6070" s="12" t="inlineStr">
        <is>
          <t>Grid interface</t>
        </is>
      </c>
      <c r="D6070" s="12" t="inlineStr">
        <is>
          <t>Discrete device to JB JB-Wastewater treatme-DI01: 20 x 1 pr (field cables)</t>
        </is>
      </c>
      <c r="E6070" s="12" t="inlineStr"/>
      <c r="F6070" s="12" t="inlineStr">
        <is>
          <t>Wastewater treatment: rooftop HVAC, exhaust fans, vents</t>
        </is>
      </c>
      <c r="G6070" s="12" t="inlineStr">
        <is>
          <t>JB-Wastewater treatme-DI01</t>
        </is>
      </c>
      <c r="H6070" s="12" t="inlineStr">
        <is>
          <t>Wastewater treatment: rooftop HVAC, exhaust fans, vents</t>
        </is>
      </c>
      <c r="I6070" s="12" t="inlineStr">
        <is>
          <t>Instrumentation</t>
        </is>
      </c>
      <c r="J6070" s="12" t="inlineStr">
        <is>
          <t>Instrumentation PLTC / TC-ER 300 V, #18 twisted shielded pairs, overall shield</t>
        </is>
      </c>
      <c r="K6070" s="12" t="inlineStr">
        <is>
          <t>PLTC|1 pr|16</t>
        </is>
      </c>
      <c r="L6070" s="12" t="inlineStr">
        <is>
          <t>1 pr</t>
        </is>
      </c>
      <c r="M6070" s="12" t="inlineStr">
        <is>
          <t>16</t>
        </is>
      </c>
      <c r="N6070" s="12" t="n">
        <v>20</v>
      </c>
      <c r="O6070" s="12" t="n">
        <v>1</v>
      </c>
      <c r="P6070" s="12" t="n"/>
      <c r="Q6070" s="12" t="n"/>
      <c r="R6070" s="12" t="n"/>
      <c r="S6070" s="12" t="inlineStr">
        <is>
          <t>Tray / conduit</t>
        </is>
      </c>
      <c r="T6070" s="16" t="n">
        <v>89</v>
      </c>
      <c r="U6070" s="16" t="n">
        <v>10</v>
      </c>
      <c r="V6070" s="16">
        <f>ROUNDUP((T6070+U6070+2*'Read Me'!$B$13)*(1+'Read Me'!$B$12),-1)</f>
        <v/>
      </c>
      <c r="W6070" s="16">
        <f>V6070*N6070*O6070</f>
        <v/>
      </c>
      <c r="X6070" s="12">
        <f>IF(LEFT(I6070,2)="MV",2*N6070*IF(L6070="1/C",O6070,1),0)</f>
        <v/>
      </c>
      <c r="Y6070" s="12">
        <f>IF(OR(LEFT(K6070,4)="LVAX",LEFT(K6070,6)="MV15AX",LEFT(K6070,4)="CTAX",LEFT(K6070,2)="W|"),2*N6070*O6070,0)</f>
        <v/>
      </c>
      <c r="Z6070" s="12" t="inlineStr">
        <is>
          <t>device-to-JB field wiring, one cable per device</t>
        </is>
      </c>
      <c r="AA6070" s="12">
        <f>N6070*O6070</f>
        <v/>
      </c>
    </row>
    <row r="6071">
      <c r="A6071" s="12" t="inlineStr">
        <is>
          <t>C-I-0122</t>
        </is>
      </c>
      <c r="B6071" s="12" t="inlineStr">
        <is>
          <t>C</t>
        </is>
      </c>
      <c r="C6071" s="12" t="inlineStr">
        <is>
          <t>Grid interface</t>
        </is>
      </c>
      <c r="D6071" s="12" t="inlineStr">
        <is>
          <t>Home run JB-Wastewater treatme-DI01 to the control / marshalling room</t>
        </is>
      </c>
      <c r="E6071" s="12" t="inlineStr">
        <is>
          <t>R1</t>
        </is>
      </c>
      <c r="F6071" s="12" t="inlineStr">
        <is>
          <t>R1: main electrical building (64 x 180 ft)</t>
        </is>
      </c>
      <c r="G6071" s="12" t="inlineStr">
        <is>
          <t>JB-Wastewater treatme-DI01</t>
        </is>
      </c>
      <c r="H6071" s="12" t="inlineStr">
        <is>
          <t>Wastewater treatment: rooftop HVAC, exhaust fans, vents</t>
        </is>
      </c>
      <c r="I6071" s="12" t="inlineStr">
        <is>
          <t>Instrumentation</t>
        </is>
      </c>
      <c r="J6071" s="12" t="inlineStr">
        <is>
          <t>Instrumentation PLTC / TC-ER 300 V, #18 twisted shielded pairs, overall shield</t>
        </is>
      </c>
      <c r="K6071" s="12" t="inlineStr">
        <is>
          <t>PLTC|24 pr|18</t>
        </is>
      </c>
      <c r="L6071" s="12" t="inlineStr">
        <is>
          <t>24 pr</t>
        </is>
      </c>
      <c r="M6071" s="12" t="inlineStr">
        <is>
          <t>18</t>
        </is>
      </c>
      <c r="N6071" s="12" t="n">
        <v>1</v>
      </c>
      <c r="O6071" s="12" t="n">
        <v>1</v>
      </c>
      <c r="P6071" s="12" t="n"/>
      <c r="Q6071" s="12" t="n"/>
      <c r="R6071" s="12" t="n"/>
      <c r="S6071" s="12" t="inlineStr">
        <is>
          <t>Duct bank</t>
        </is>
      </c>
      <c r="T6071" s="16" t="n">
        <v>1215</v>
      </c>
      <c r="U6071" s="16" t="n">
        <v>99</v>
      </c>
      <c r="V6071" s="16">
        <f>ROUNDUP((T6071+U6071+2*'Read Me'!$B$13)*(1+'Read Me'!$B$12),-1)</f>
        <v/>
      </c>
      <c r="W6071" s="16">
        <f>V6071*N6071*O6071</f>
        <v/>
      </c>
      <c r="X6071" s="12">
        <f>IF(LEFT(I6071,2)="MV",2*N6071*IF(L6071="1/C",O6071,1),0)</f>
        <v/>
      </c>
      <c r="Y6071" s="12">
        <f>IF(OR(LEFT(K6071,4)="LVAX",LEFT(K6071,6)="MV15AX",LEFT(K6071,4)="CTAX",LEFT(K6071,2)="W|"),2*N6071*O6071,0)</f>
        <v/>
      </c>
      <c r="Z6071" s="12" t="inlineStr"/>
      <c r="AA6071" s="12">
        <f>N6071*O6071</f>
        <v/>
      </c>
    </row>
    <row r="6072">
      <c r="A6072" s="12" t="inlineStr">
        <is>
          <t>C-I-0123</t>
        </is>
      </c>
      <c r="B6072" s="12" t="inlineStr">
        <is>
          <t>C</t>
        </is>
      </c>
      <c r="C6072" s="12" t="inlineStr">
        <is>
          <t>Grid interface</t>
        </is>
      </c>
      <c r="D6072" s="12" t="inlineStr">
        <is>
          <t>Discrete device to JB JB-Wastewater treatme-DI02: 10 x 1 pr (field cables)</t>
        </is>
      </c>
      <c r="E6072" s="12" t="inlineStr"/>
      <c r="F6072" s="12" t="inlineStr">
        <is>
          <t>Wastewater treatment: rooftop HVAC, exhaust fans, vents</t>
        </is>
      </c>
      <c r="G6072" s="12" t="inlineStr">
        <is>
          <t>JB-Wastewater treatme-DI02</t>
        </is>
      </c>
      <c r="H6072" s="12" t="inlineStr">
        <is>
          <t>Wastewater treatment: rooftop HVAC, exhaust fans, vents</t>
        </is>
      </c>
      <c r="I6072" s="12" t="inlineStr">
        <is>
          <t>Instrumentation</t>
        </is>
      </c>
      <c r="J6072" s="12" t="inlineStr">
        <is>
          <t>Instrumentation PLTC / TC-ER 300 V, #18 twisted shielded pairs, overall shield</t>
        </is>
      </c>
      <c r="K6072" s="12" t="inlineStr">
        <is>
          <t>PLTC|1 pr|16</t>
        </is>
      </c>
      <c r="L6072" s="12" t="inlineStr">
        <is>
          <t>1 pr</t>
        </is>
      </c>
      <c r="M6072" s="12" t="inlineStr">
        <is>
          <t>16</t>
        </is>
      </c>
      <c r="N6072" s="12" t="n">
        <v>10</v>
      </c>
      <c r="O6072" s="12" t="n">
        <v>1</v>
      </c>
      <c r="P6072" s="12" t="n"/>
      <c r="Q6072" s="12" t="n"/>
      <c r="R6072" s="12" t="n"/>
      <c r="S6072" s="12" t="inlineStr">
        <is>
          <t>Tray / conduit</t>
        </is>
      </c>
      <c r="T6072" s="16" t="n">
        <v>89</v>
      </c>
      <c r="U6072" s="16" t="n">
        <v>10</v>
      </c>
      <c r="V6072" s="16">
        <f>ROUNDUP((T6072+U6072+2*'Read Me'!$B$13)*(1+'Read Me'!$B$12),-1)</f>
        <v/>
      </c>
      <c r="W6072" s="16">
        <f>V6072*N6072*O6072</f>
        <v/>
      </c>
      <c r="X6072" s="12">
        <f>IF(LEFT(I6072,2)="MV",2*N6072*IF(L6072="1/C",O6072,1),0)</f>
        <v/>
      </c>
      <c r="Y6072" s="12">
        <f>IF(OR(LEFT(K6072,4)="LVAX",LEFT(K6072,6)="MV15AX",LEFT(K6072,4)="CTAX",LEFT(K6072,2)="W|"),2*N6072*O6072,0)</f>
        <v/>
      </c>
      <c r="Z6072" s="12" t="inlineStr">
        <is>
          <t>device-to-JB field wiring, one cable per device</t>
        </is>
      </c>
      <c r="AA6072" s="12">
        <f>N6072*O6072</f>
        <v/>
      </c>
    </row>
    <row r="6073">
      <c r="A6073" s="12" t="inlineStr">
        <is>
          <t>C-I-0124</t>
        </is>
      </c>
      <c r="B6073" s="12" t="inlineStr">
        <is>
          <t>C</t>
        </is>
      </c>
      <c r="C6073" s="12" t="inlineStr">
        <is>
          <t>Grid interface</t>
        </is>
      </c>
      <c r="D6073" s="12" t="inlineStr">
        <is>
          <t>Home run JB-Wastewater treatme-DI02 to the control / marshalling room</t>
        </is>
      </c>
      <c r="E6073" s="12" t="inlineStr">
        <is>
          <t>R1</t>
        </is>
      </c>
      <c r="F6073" s="12" t="inlineStr">
        <is>
          <t>R1: main electrical building (64 x 180 ft)</t>
        </is>
      </c>
      <c r="G6073" s="12" t="inlineStr">
        <is>
          <t>JB-Wastewater treatme-DI02</t>
        </is>
      </c>
      <c r="H6073" s="12" t="inlineStr">
        <is>
          <t>Wastewater treatment: rooftop HVAC, exhaust fans, vents</t>
        </is>
      </c>
      <c r="I6073" s="12" t="inlineStr">
        <is>
          <t>Instrumentation</t>
        </is>
      </c>
      <c r="J6073" s="12" t="inlineStr">
        <is>
          <t>Instrumentation PLTC / TC-ER 300 V, #18 twisted shielded pairs, overall shield</t>
        </is>
      </c>
      <c r="K6073" s="12" t="inlineStr">
        <is>
          <t>PLTC|24 pr|18</t>
        </is>
      </c>
      <c r="L6073" s="12" t="inlineStr">
        <is>
          <t>24 pr</t>
        </is>
      </c>
      <c r="M6073" s="12" t="inlineStr">
        <is>
          <t>18</t>
        </is>
      </c>
      <c r="N6073" s="12" t="n">
        <v>1</v>
      </c>
      <c r="O6073" s="12" t="n">
        <v>1</v>
      </c>
      <c r="P6073" s="12" t="n"/>
      <c r="Q6073" s="12" t="n"/>
      <c r="R6073" s="12" t="n"/>
      <c r="S6073" s="12" t="inlineStr">
        <is>
          <t>Duct bank</t>
        </is>
      </c>
      <c r="T6073" s="16" t="n">
        <v>1215</v>
      </c>
      <c r="U6073" s="16" t="n">
        <v>99</v>
      </c>
      <c r="V6073" s="16">
        <f>ROUNDUP((T6073+U6073+2*'Read Me'!$B$13)*(1+'Read Me'!$B$12),-1)</f>
        <v/>
      </c>
      <c r="W6073" s="16">
        <f>V6073*N6073*O6073</f>
        <v/>
      </c>
      <c r="X6073" s="12">
        <f>IF(LEFT(I6073,2)="MV",2*N6073*IF(L6073="1/C",O6073,1),0)</f>
        <v/>
      </c>
      <c r="Y6073" s="12">
        <f>IF(OR(LEFT(K6073,4)="LVAX",LEFT(K6073,6)="MV15AX",LEFT(K6073,4)="CTAX",LEFT(K6073,2)="W|"),2*N6073*O6073,0)</f>
        <v/>
      </c>
      <c r="Z6073" s="12" t="inlineStr"/>
      <c r="AA6073" s="12">
        <f>N6073*O6073</f>
        <v/>
      </c>
    </row>
    <row r="6074">
      <c r="A6074" s="12" t="inlineStr">
        <is>
          <t>C-I-0125</t>
        </is>
      </c>
      <c r="B6074" s="12" t="inlineStr">
        <is>
          <t>C</t>
        </is>
      </c>
      <c r="C6074" s="12" t="inlineStr">
        <is>
          <t>Grid interface</t>
        </is>
      </c>
      <c r="D6074" s="12" t="inlineStr">
        <is>
          <t>Analog instrument to JB JB-Water treatment bu-AI01: 20 x 1 pr (field cables)</t>
        </is>
      </c>
      <c r="E6074" s="12" t="inlineStr"/>
      <c r="F6074" s="12" t="inlineStr">
        <is>
          <t>Water treatment building: rooftop HVAC, exhaust fans, vents</t>
        </is>
      </c>
      <c r="G6074" s="12" t="inlineStr">
        <is>
          <t>JB-Water treatment bu-AI01</t>
        </is>
      </c>
      <c r="H6074" s="12" t="inlineStr">
        <is>
          <t>Water treatment building: rooftop HVAC, exhaust fans, vents</t>
        </is>
      </c>
      <c r="I6074" s="12" t="inlineStr">
        <is>
          <t>Instrumentation</t>
        </is>
      </c>
      <c r="J6074" s="12" t="inlineStr">
        <is>
          <t>Instrumentation PLTC / TC-ER 300 V, #18 twisted shielded pairs, overall shield</t>
        </is>
      </c>
      <c r="K6074" s="12" t="inlineStr">
        <is>
          <t>PLTC|1 pr|16</t>
        </is>
      </c>
      <c r="L6074" s="12" t="inlineStr">
        <is>
          <t>1 pr</t>
        </is>
      </c>
      <c r="M6074" s="12" t="inlineStr">
        <is>
          <t>16</t>
        </is>
      </c>
      <c r="N6074" s="12" t="n">
        <v>20</v>
      </c>
      <c r="O6074" s="12" t="n">
        <v>1</v>
      </c>
      <c r="P6074" s="12" t="n"/>
      <c r="Q6074" s="12" t="n"/>
      <c r="R6074" s="12" t="n"/>
      <c r="S6074" s="12" t="inlineStr">
        <is>
          <t>Tray / conduit</t>
        </is>
      </c>
      <c r="T6074" s="16" t="n">
        <v>162</v>
      </c>
      <c r="U6074" s="16" t="n">
        <v>10</v>
      </c>
      <c r="V6074" s="16">
        <f>ROUNDUP((T6074+U6074+2*'Read Me'!$B$13)*(1+'Read Me'!$B$12),-1)</f>
        <v/>
      </c>
      <c r="W6074" s="16">
        <f>V6074*N6074*O6074</f>
        <v/>
      </c>
      <c r="X6074" s="12">
        <f>IF(LEFT(I6074,2)="MV",2*N6074*IF(L6074="1/C",O6074,1),0)</f>
        <v/>
      </c>
      <c r="Y6074" s="12">
        <f>IF(OR(LEFT(K6074,4)="LVAX",LEFT(K6074,6)="MV15AX",LEFT(K6074,4)="CTAX",LEFT(K6074,2)="W|"),2*N6074*O6074,0)</f>
        <v/>
      </c>
      <c r="Z6074" s="12" t="inlineStr">
        <is>
          <t>device-to-JB field wiring, one cable per device</t>
        </is>
      </c>
      <c r="AA6074" s="12">
        <f>N6074*O6074</f>
        <v/>
      </c>
    </row>
    <row r="6075">
      <c r="A6075" s="12" t="inlineStr">
        <is>
          <t>C-I-0126</t>
        </is>
      </c>
      <c r="B6075" s="12" t="inlineStr">
        <is>
          <t>C</t>
        </is>
      </c>
      <c r="C6075" s="12" t="inlineStr">
        <is>
          <t>Grid interface</t>
        </is>
      </c>
      <c r="D6075" s="12" t="inlineStr">
        <is>
          <t>Home run JB-Water treatment bu-AI01 to the control / marshalling room</t>
        </is>
      </c>
      <c r="E6075" s="12" t="inlineStr">
        <is>
          <t>R1</t>
        </is>
      </c>
      <c r="F6075" s="12" t="inlineStr">
        <is>
          <t>R1: main electrical building (64 x 180 ft)</t>
        </is>
      </c>
      <c r="G6075" s="12" t="inlineStr">
        <is>
          <t>JB-Water treatment bu-AI01</t>
        </is>
      </c>
      <c r="H6075" s="12" t="inlineStr">
        <is>
          <t>Water treatment building: rooftop HVAC, exhaust fans, vents</t>
        </is>
      </c>
      <c r="I6075" s="12" t="inlineStr">
        <is>
          <t>Instrumentation</t>
        </is>
      </c>
      <c r="J6075" s="12" t="inlineStr">
        <is>
          <t>Instrumentation PLTC / TC-ER 300 V, #18 twisted shielded pairs, overall shield</t>
        </is>
      </c>
      <c r="K6075" s="12" t="inlineStr">
        <is>
          <t>PLTC|24 pr|18</t>
        </is>
      </c>
      <c r="L6075" s="12" t="inlineStr">
        <is>
          <t>24 pr</t>
        </is>
      </c>
      <c r="M6075" s="12" t="inlineStr">
        <is>
          <t>18</t>
        </is>
      </c>
      <c r="N6075" s="12" t="n">
        <v>1</v>
      </c>
      <c r="O6075" s="12" t="n">
        <v>1</v>
      </c>
      <c r="P6075" s="12" t="n"/>
      <c r="Q6075" s="12" t="n"/>
      <c r="R6075" s="12" t="n"/>
      <c r="S6075" s="12" t="inlineStr">
        <is>
          <t>Duct bank</t>
        </is>
      </c>
      <c r="T6075" s="16" t="n">
        <v>985</v>
      </c>
      <c r="U6075" s="16" t="n">
        <v>32</v>
      </c>
      <c r="V6075" s="16">
        <f>ROUNDUP((T6075+U6075+2*'Read Me'!$B$13)*(1+'Read Me'!$B$12),-1)</f>
        <v/>
      </c>
      <c r="W6075" s="16">
        <f>V6075*N6075*O6075</f>
        <v/>
      </c>
      <c r="X6075" s="12">
        <f>IF(LEFT(I6075,2)="MV",2*N6075*IF(L6075="1/C",O6075,1),0)</f>
        <v/>
      </c>
      <c r="Y6075" s="12">
        <f>IF(OR(LEFT(K6075,4)="LVAX",LEFT(K6075,6)="MV15AX",LEFT(K6075,4)="CTAX",LEFT(K6075,2)="W|"),2*N6075*O6075,0)</f>
        <v/>
      </c>
      <c r="Z6075" s="12" t="inlineStr"/>
      <c r="AA6075" s="12">
        <f>N6075*O6075</f>
        <v/>
      </c>
    </row>
    <row r="6076">
      <c r="A6076" s="12" t="inlineStr">
        <is>
          <t>C-I-0127</t>
        </is>
      </c>
      <c r="B6076" s="12" t="inlineStr">
        <is>
          <t>C</t>
        </is>
      </c>
      <c r="C6076" s="12" t="inlineStr">
        <is>
          <t>Grid interface</t>
        </is>
      </c>
      <c r="D6076" s="12" t="inlineStr">
        <is>
          <t>Analog instrument to JB JB-Water treatment bu-AI02: 20 x 1 pr (field cables)</t>
        </is>
      </c>
      <c r="E6076" s="12" t="inlineStr"/>
      <c r="F6076" s="12" t="inlineStr">
        <is>
          <t>Water treatment building: rooftop HVAC, exhaust fans, vents</t>
        </is>
      </c>
      <c r="G6076" s="12" t="inlineStr">
        <is>
          <t>JB-Water treatment bu-AI02</t>
        </is>
      </c>
      <c r="H6076" s="12" t="inlineStr">
        <is>
          <t>Water treatment building: rooftop HVAC, exhaust fans, vents</t>
        </is>
      </c>
      <c r="I6076" s="12" t="inlineStr">
        <is>
          <t>Instrumentation</t>
        </is>
      </c>
      <c r="J6076" s="12" t="inlineStr">
        <is>
          <t>Instrumentation PLTC / TC-ER 300 V, #18 twisted shielded pairs, overall shield</t>
        </is>
      </c>
      <c r="K6076" s="12" t="inlineStr">
        <is>
          <t>PLTC|1 pr|16</t>
        </is>
      </c>
      <c r="L6076" s="12" t="inlineStr">
        <is>
          <t>1 pr</t>
        </is>
      </c>
      <c r="M6076" s="12" t="inlineStr">
        <is>
          <t>16</t>
        </is>
      </c>
      <c r="N6076" s="12" t="n">
        <v>20</v>
      </c>
      <c r="O6076" s="12" t="n">
        <v>1</v>
      </c>
      <c r="P6076" s="12" t="n"/>
      <c r="Q6076" s="12" t="n"/>
      <c r="R6076" s="12" t="n"/>
      <c r="S6076" s="12" t="inlineStr">
        <is>
          <t>Tray / conduit</t>
        </is>
      </c>
      <c r="T6076" s="16" t="n">
        <v>162</v>
      </c>
      <c r="U6076" s="16" t="n">
        <v>10</v>
      </c>
      <c r="V6076" s="16">
        <f>ROUNDUP((T6076+U6076+2*'Read Me'!$B$13)*(1+'Read Me'!$B$12),-1)</f>
        <v/>
      </c>
      <c r="W6076" s="16">
        <f>V6076*N6076*O6076</f>
        <v/>
      </c>
      <c r="X6076" s="12">
        <f>IF(LEFT(I6076,2)="MV",2*N6076*IF(L6076="1/C",O6076,1),0)</f>
        <v/>
      </c>
      <c r="Y6076" s="12">
        <f>IF(OR(LEFT(K6076,4)="LVAX",LEFT(K6076,6)="MV15AX",LEFT(K6076,4)="CTAX",LEFT(K6076,2)="W|"),2*N6076*O6076,0)</f>
        <v/>
      </c>
      <c r="Z6076" s="12" t="inlineStr">
        <is>
          <t>device-to-JB field wiring, one cable per device</t>
        </is>
      </c>
      <c r="AA6076" s="12">
        <f>N6076*O6076</f>
        <v/>
      </c>
    </row>
    <row r="6077">
      <c r="A6077" s="12" t="inlineStr">
        <is>
          <t>C-I-0128</t>
        </is>
      </c>
      <c r="B6077" s="12" t="inlineStr">
        <is>
          <t>C</t>
        </is>
      </c>
      <c r="C6077" s="12" t="inlineStr">
        <is>
          <t>Grid interface</t>
        </is>
      </c>
      <c r="D6077" s="12" t="inlineStr">
        <is>
          <t>Home run JB-Water treatment bu-AI02 to the control / marshalling room</t>
        </is>
      </c>
      <c r="E6077" s="12" t="inlineStr">
        <is>
          <t>R1</t>
        </is>
      </c>
      <c r="F6077" s="12" t="inlineStr">
        <is>
          <t>R1: main electrical building (64 x 180 ft)</t>
        </is>
      </c>
      <c r="G6077" s="12" t="inlineStr">
        <is>
          <t>JB-Water treatment bu-AI02</t>
        </is>
      </c>
      <c r="H6077" s="12" t="inlineStr">
        <is>
          <t>Water treatment building: rooftop HVAC, exhaust fans, vents</t>
        </is>
      </c>
      <c r="I6077" s="12" t="inlineStr">
        <is>
          <t>Instrumentation</t>
        </is>
      </c>
      <c r="J6077" s="12" t="inlineStr">
        <is>
          <t>Instrumentation PLTC / TC-ER 300 V, #18 twisted shielded pairs, overall shield</t>
        </is>
      </c>
      <c r="K6077" s="12" t="inlineStr">
        <is>
          <t>PLTC|24 pr|18</t>
        </is>
      </c>
      <c r="L6077" s="12" t="inlineStr">
        <is>
          <t>24 pr</t>
        </is>
      </c>
      <c r="M6077" s="12" t="inlineStr">
        <is>
          <t>18</t>
        </is>
      </c>
      <c r="N6077" s="12" t="n">
        <v>1</v>
      </c>
      <c r="O6077" s="12" t="n">
        <v>1</v>
      </c>
      <c r="P6077" s="12" t="n"/>
      <c r="Q6077" s="12" t="n"/>
      <c r="R6077" s="12" t="n"/>
      <c r="S6077" s="12" t="inlineStr">
        <is>
          <t>Duct bank</t>
        </is>
      </c>
      <c r="T6077" s="16" t="n">
        <v>985</v>
      </c>
      <c r="U6077" s="16" t="n">
        <v>32</v>
      </c>
      <c r="V6077" s="16">
        <f>ROUNDUP((T6077+U6077+2*'Read Me'!$B$13)*(1+'Read Me'!$B$12),-1)</f>
        <v/>
      </c>
      <c r="W6077" s="16">
        <f>V6077*N6077*O6077</f>
        <v/>
      </c>
      <c r="X6077" s="12">
        <f>IF(LEFT(I6077,2)="MV",2*N6077*IF(L6077="1/C",O6077,1),0)</f>
        <v/>
      </c>
      <c r="Y6077" s="12">
        <f>IF(OR(LEFT(K6077,4)="LVAX",LEFT(K6077,6)="MV15AX",LEFT(K6077,4)="CTAX",LEFT(K6077,2)="W|"),2*N6077*O6077,0)</f>
        <v/>
      </c>
      <c r="Z6077" s="12" t="inlineStr"/>
      <c r="AA6077" s="12">
        <f>N6077*O6077</f>
        <v/>
      </c>
    </row>
    <row r="6078">
      <c r="A6078" s="12" t="inlineStr">
        <is>
          <t>C-I-0129</t>
        </is>
      </c>
      <c r="B6078" s="12" t="inlineStr">
        <is>
          <t>C</t>
        </is>
      </c>
      <c r="C6078" s="12" t="inlineStr">
        <is>
          <t>Grid interface</t>
        </is>
      </c>
      <c r="D6078" s="12" t="inlineStr">
        <is>
          <t>Analog instrument to JB JB-Water treatment bu-AI03: 20 x 1 pr (field cables)</t>
        </is>
      </c>
      <c r="E6078" s="12" t="inlineStr"/>
      <c r="F6078" s="12" t="inlineStr">
        <is>
          <t>Water treatment building: rooftop HVAC, exhaust fans, vents</t>
        </is>
      </c>
      <c r="G6078" s="12" t="inlineStr">
        <is>
          <t>JB-Water treatment bu-AI03</t>
        </is>
      </c>
      <c r="H6078" s="12" t="inlineStr">
        <is>
          <t>Water treatment building: rooftop HVAC, exhaust fans, vents</t>
        </is>
      </c>
      <c r="I6078" s="12" t="inlineStr">
        <is>
          <t>Instrumentation</t>
        </is>
      </c>
      <c r="J6078" s="12" t="inlineStr">
        <is>
          <t>Instrumentation PLTC / TC-ER 300 V, #18 twisted shielded pairs, overall shield</t>
        </is>
      </c>
      <c r="K6078" s="12" t="inlineStr">
        <is>
          <t>PLTC|1 pr|16</t>
        </is>
      </c>
      <c r="L6078" s="12" t="inlineStr">
        <is>
          <t>1 pr</t>
        </is>
      </c>
      <c r="M6078" s="12" t="inlineStr">
        <is>
          <t>16</t>
        </is>
      </c>
      <c r="N6078" s="12" t="n">
        <v>20</v>
      </c>
      <c r="O6078" s="12" t="n">
        <v>1</v>
      </c>
      <c r="P6078" s="12" t="n"/>
      <c r="Q6078" s="12" t="n"/>
      <c r="R6078" s="12" t="n"/>
      <c r="S6078" s="12" t="inlineStr">
        <is>
          <t>Tray / conduit</t>
        </is>
      </c>
      <c r="T6078" s="16" t="n">
        <v>162</v>
      </c>
      <c r="U6078" s="16" t="n">
        <v>10</v>
      </c>
      <c r="V6078" s="16">
        <f>ROUNDUP((T6078+U6078+2*'Read Me'!$B$13)*(1+'Read Me'!$B$12),-1)</f>
        <v/>
      </c>
      <c r="W6078" s="16">
        <f>V6078*N6078*O6078</f>
        <v/>
      </c>
      <c r="X6078" s="12">
        <f>IF(LEFT(I6078,2)="MV",2*N6078*IF(L6078="1/C",O6078,1),0)</f>
        <v/>
      </c>
      <c r="Y6078" s="12">
        <f>IF(OR(LEFT(K6078,4)="LVAX",LEFT(K6078,6)="MV15AX",LEFT(K6078,4)="CTAX",LEFT(K6078,2)="W|"),2*N6078*O6078,0)</f>
        <v/>
      </c>
      <c r="Z6078" s="12" t="inlineStr">
        <is>
          <t>device-to-JB field wiring, one cable per device</t>
        </is>
      </c>
      <c r="AA6078" s="12">
        <f>N6078*O6078</f>
        <v/>
      </c>
    </row>
    <row r="6079">
      <c r="A6079" s="12" t="inlineStr">
        <is>
          <t>C-I-0130</t>
        </is>
      </c>
      <c r="B6079" s="12" t="inlineStr">
        <is>
          <t>C</t>
        </is>
      </c>
      <c r="C6079" s="12" t="inlineStr">
        <is>
          <t>Grid interface</t>
        </is>
      </c>
      <c r="D6079" s="12" t="inlineStr">
        <is>
          <t>Home run JB-Water treatment bu-AI03 to the control / marshalling room</t>
        </is>
      </c>
      <c r="E6079" s="12" t="inlineStr">
        <is>
          <t>R1</t>
        </is>
      </c>
      <c r="F6079" s="12" t="inlineStr">
        <is>
          <t>R1: main electrical building (64 x 180 ft)</t>
        </is>
      </c>
      <c r="G6079" s="12" t="inlineStr">
        <is>
          <t>JB-Water treatment bu-AI03</t>
        </is>
      </c>
      <c r="H6079" s="12" t="inlineStr">
        <is>
          <t>Water treatment building: rooftop HVAC, exhaust fans, vents</t>
        </is>
      </c>
      <c r="I6079" s="12" t="inlineStr">
        <is>
          <t>Instrumentation</t>
        </is>
      </c>
      <c r="J6079" s="12" t="inlineStr">
        <is>
          <t>Instrumentation PLTC / TC-ER 300 V, #18 twisted shielded pairs, overall shield</t>
        </is>
      </c>
      <c r="K6079" s="12" t="inlineStr">
        <is>
          <t>PLTC|24 pr|18</t>
        </is>
      </c>
      <c r="L6079" s="12" t="inlineStr">
        <is>
          <t>24 pr</t>
        </is>
      </c>
      <c r="M6079" s="12" t="inlineStr">
        <is>
          <t>18</t>
        </is>
      </c>
      <c r="N6079" s="12" t="n">
        <v>1</v>
      </c>
      <c r="O6079" s="12" t="n">
        <v>1</v>
      </c>
      <c r="P6079" s="12" t="n"/>
      <c r="Q6079" s="12" t="n"/>
      <c r="R6079" s="12" t="n"/>
      <c r="S6079" s="12" t="inlineStr">
        <is>
          <t>Duct bank</t>
        </is>
      </c>
      <c r="T6079" s="16" t="n">
        <v>985</v>
      </c>
      <c r="U6079" s="16" t="n">
        <v>32</v>
      </c>
      <c r="V6079" s="16">
        <f>ROUNDUP((T6079+U6079+2*'Read Me'!$B$13)*(1+'Read Me'!$B$12),-1)</f>
        <v/>
      </c>
      <c r="W6079" s="16">
        <f>V6079*N6079*O6079</f>
        <v/>
      </c>
      <c r="X6079" s="12">
        <f>IF(LEFT(I6079,2)="MV",2*N6079*IF(L6079="1/C",O6079,1),0)</f>
        <v/>
      </c>
      <c r="Y6079" s="12">
        <f>IF(OR(LEFT(K6079,4)="LVAX",LEFT(K6079,6)="MV15AX",LEFT(K6079,4)="CTAX",LEFT(K6079,2)="W|"),2*N6079*O6079,0)</f>
        <v/>
      </c>
      <c r="Z6079" s="12" t="inlineStr"/>
      <c r="AA6079" s="12">
        <f>N6079*O6079</f>
        <v/>
      </c>
    </row>
    <row r="6080">
      <c r="A6080" s="12" t="inlineStr">
        <is>
          <t>C-I-0131</t>
        </is>
      </c>
      <c r="B6080" s="12" t="inlineStr">
        <is>
          <t>C</t>
        </is>
      </c>
      <c r="C6080" s="12" t="inlineStr">
        <is>
          <t>Grid interface</t>
        </is>
      </c>
      <c r="D6080" s="12" t="inlineStr">
        <is>
          <t>Discrete device to JB JB-Water treatment bu-DI01: 20 x 1 pr (field cables)</t>
        </is>
      </c>
      <c r="E6080" s="12" t="inlineStr"/>
      <c r="F6080" s="12" t="inlineStr">
        <is>
          <t>Water treatment building: rooftop HVAC, exhaust fans, vents</t>
        </is>
      </c>
      <c r="G6080" s="12" t="inlineStr">
        <is>
          <t>JB-Water treatment bu-DI01</t>
        </is>
      </c>
      <c r="H6080" s="12" t="inlineStr">
        <is>
          <t>Water treatment building: rooftop HVAC, exhaust fans, vents</t>
        </is>
      </c>
      <c r="I6080" s="12" t="inlineStr">
        <is>
          <t>Instrumentation</t>
        </is>
      </c>
      <c r="J6080" s="12" t="inlineStr">
        <is>
          <t>Instrumentation PLTC / TC-ER 300 V, #18 twisted shielded pairs, overall shield</t>
        </is>
      </c>
      <c r="K6080" s="12" t="inlineStr">
        <is>
          <t>PLTC|1 pr|16</t>
        </is>
      </c>
      <c r="L6080" s="12" t="inlineStr">
        <is>
          <t>1 pr</t>
        </is>
      </c>
      <c r="M6080" s="12" t="inlineStr">
        <is>
          <t>16</t>
        </is>
      </c>
      <c r="N6080" s="12" t="n">
        <v>20</v>
      </c>
      <c r="O6080" s="12" t="n">
        <v>1</v>
      </c>
      <c r="P6080" s="12" t="n"/>
      <c r="Q6080" s="12" t="n"/>
      <c r="R6080" s="12" t="n"/>
      <c r="S6080" s="12" t="inlineStr">
        <is>
          <t>Tray / conduit</t>
        </is>
      </c>
      <c r="T6080" s="16" t="n">
        <v>162</v>
      </c>
      <c r="U6080" s="16" t="n">
        <v>10</v>
      </c>
      <c r="V6080" s="16">
        <f>ROUNDUP((T6080+U6080+2*'Read Me'!$B$13)*(1+'Read Me'!$B$12),-1)</f>
        <v/>
      </c>
      <c r="W6080" s="16">
        <f>V6080*N6080*O6080</f>
        <v/>
      </c>
      <c r="X6080" s="12">
        <f>IF(LEFT(I6080,2)="MV",2*N6080*IF(L6080="1/C",O6080,1),0)</f>
        <v/>
      </c>
      <c r="Y6080" s="12">
        <f>IF(OR(LEFT(K6080,4)="LVAX",LEFT(K6080,6)="MV15AX",LEFT(K6080,4)="CTAX",LEFT(K6080,2)="W|"),2*N6080*O6080,0)</f>
        <v/>
      </c>
      <c r="Z6080" s="12" t="inlineStr">
        <is>
          <t>device-to-JB field wiring, one cable per device</t>
        </is>
      </c>
      <c r="AA6080" s="12">
        <f>N6080*O6080</f>
        <v/>
      </c>
    </row>
    <row r="6081">
      <c r="A6081" s="12" t="inlineStr">
        <is>
          <t>C-I-0132</t>
        </is>
      </c>
      <c r="B6081" s="12" t="inlineStr">
        <is>
          <t>C</t>
        </is>
      </c>
      <c r="C6081" s="12" t="inlineStr">
        <is>
          <t>Grid interface</t>
        </is>
      </c>
      <c r="D6081" s="12" t="inlineStr">
        <is>
          <t>Home run JB-Water treatment bu-DI01 to the control / marshalling room</t>
        </is>
      </c>
      <c r="E6081" s="12" t="inlineStr">
        <is>
          <t>R1</t>
        </is>
      </c>
      <c r="F6081" s="12" t="inlineStr">
        <is>
          <t>R1: main electrical building (64 x 180 ft)</t>
        </is>
      </c>
      <c r="G6081" s="12" t="inlineStr">
        <is>
          <t>JB-Water treatment bu-DI01</t>
        </is>
      </c>
      <c r="H6081" s="12" t="inlineStr">
        <is>
          <t>Water treatment building: rooftop HVAC, exhaust fans, vents</t>
        </is>
      </c>
      <c r="I6081" s="12" t="inlineStr">
        <is>
          <t>Instrumentation</t>
        </is>
      </c>
      <c r="J6081" s="12" t="inlineStr">
        <is>
          <t>Instrumentation PLTC / TC-ER 300 V, #18 twisted shielded pairs, overall shield</t>
        </is>
      </c>
      <c r="K6081" s="12" t="inlineStr">
        <is>
          <t>PLTC|24 pr|18</t>
        </is>
      </c>
      <c r="L6081" s="12" t="inlineStr">
        <is>
          <t>24 pr</t>
        </is>
      </c>
      <c r="M6081" s="12" t="inlineStr">
        <is>
          <t>18</t>
        </is>
      </c>
      <c r="N6081" s="12" t="n">
        <v>1</v>
      </c>
      <c r="O6081" s="12" t="n">
        <v>1</v>
      </c>
      <c r="P6081" s="12" t="n"/>
      <c r="Q6081" s="12" t="n"/>
      <c r="R6081" s="12" t="n"/>
      <c r="S6081" s="12" t="inlineStr">
        <is>
          <t>Duct bank</t>
        </is>
      </c>
      <c r="T6081" s="16" t="n">
        <v>985</v>
      </c>
      <c r="U6081" s="16" t="n">
        <v>32</v>
      </c>
      <c r="V6081" s="16">
        <f>ROUNDUP((T6081+U6081+2*'Read Me'!$B$13)*(1+'Read Me'!$B$12),-1)</f>
        <v/>
      </c>
      <c r="W6081" s="16">
        <f>V6081*N6081*O6081</f>
        <v/>
      </c>
      <c r="X6081" s="12">
        <f>IF(LEFT(I6081,2)="MV",2*N6081*IF(L6081="1/C",O6081,1),0)</f>
        <v/>
      </c>
      <c r="Y6081" s="12">
        <f>IF(OR(LEFT(K6081,4)="LVAX",LEFT(K6081,6)="MV15AX",LEFT(K6081,4)="CTAX",LEFT(K6081,2)="W|"),2*N6081*O6081,0)</f>
        <v/>
      </c>
      <c r="Z6081" s="12" t="inlineStr"/>
      <c r="AA6081" s="12">
        <f>N6081*O6081</f>
        <v/>
      </c>
    </row>
    <row r="6082">
      <c r="A6082" s="12" t="inlineStr">
        <is>
          <t>C-I-0133</t>
        </is>
      </c>
      <c r="B6082" s="12" t="inlineStr">
        <is>
          <t>C</t>
        </is>
      </c>
      <c r="C6082" s="12" t="inlineStr">
        <is>
          <t>Grid interface</t>
        </is>
      </c>
      <c r="D6082" s="12" t="inlineStr">
        <is>
          <t>Discrete device to JB JB-Water treatment bu-DI02: 20 x 1 pr (field cables)</t>
        </is>
      </c>
      <c r="E6082" s="12" t="inlineStr"/>
      <c r="F6082" s="12" t="inlineStr">
        <is>
          <t>Water treatment building: rooftop HVAC, exhaust fans, vents</t>
        </is>
      </c>
      <c r="G6082" s="12" t="inlineStr">
        <is>
          <t>JB-Water treatment bu-DI02</t>
        </is>
      </c>
      <c r="H6082" s="12" t="inlineStr">
        <is>
          <t>Water treatment building: rooftop HVAC, exhaust fans, vents</t>
        </is>
      </c>
      <c r="I6082" s="12" t="inlineStr">
        <is>
          <t>Instrumentation</t>
        </is>
      </c>
      <c r="J6082" s="12" t="inlineStr">
        <is>
          <t>Instrumentation PLTC / TC-ER 300 V, #18 twisted shielded pairs, overall shield</t>
        </is>
      </c>
      <c r="K6082" s="12" t="inlineStr">
        <is>
          <t>PLTC|1 pr|16</t>
        </is>
      </c>
      <c r="L6082" s="12" t="inlineStr">
        <is>
          <t>1 pr</t>
        </is>
      </c>
      <c r="M6082" s="12" t="inlineStr">
        <is>
          <t>16</t>
        </is>
      </c>
      <c r="N6082" s="12" t="n">
        <v>20</v>
      </c>
      <c r="O6082" s="12" t="n">
        <v>1</v>
      </c>
      <c r="P6082" s="12" t="n"/>
      <c r="Q6082" s="12" t="n"/>
      <c r="R6082" s="12" t="n"/>
      <c r="S6082" s="12" t="inlineStr">
        <is>
          <t>Tray / conduit</t>
        </is>
      </c>
      <c r="T6082" s="16" t="n">
        <v>162</v>
      </c>
      <c r="U6082" s="16" t="n">
        <v>10</v>
      </c>
      <c r="V6082" s="16">
        <f>ROUNDUP((T6082+U6082+2*'Read Me'!$B$13)*(1+'Read Me'!$B$12),-1)</f>
        <v/>
      </c>
      <c r="W6082" s="16">
        <f>V6082*N6082*O6082</f>
        <v/>
      </c>
      <c r="X6082" s="12">
        <f>IF(LEFT(I6082,2)="MV",2*N6082*IF(L6082="1/C",O6082,1),0)</f>
        <v/>
      </c>
      <c r="Y6082" s="12">
        <f>IF(OR(LEFT(K6082,4)="LVAX",LEFT(K6082,6)="MV15AX",LEFT(K6082,4)="CTAX",LEFT(K6082,2)="W|"),2*N6082*O6082,0)</f>
        <v/>
      </c>
      <c r="Z6082" s="12" t="inlineStr">
        <is>
          <t>device-to-JB field wiring, one cable per device</t>
        </is>
      </c>
      <c r="AA6082" s="12">
        <f>N6082*O6082</f>
        <v/>
      </c>
    </row>
    <row r="6083">
      <c r="A6083" s="12" t="inlineStr">
        <is>
          <t>C-I-0134</t>
        </is>
      </c>
      <c r="B6083" s="12" t="inlineStr">
        <is>
          <t>C</t>
        </is>
      </c>
      <c r="C6083" s="12" t="inlineStr">
        <is>
          <t>Grid interface</t>
        </is>
      </c>
      <c r="D6083" s="12" t="inlineStr">
        <is>
          <t>Home run JB-Water treatment bu-DI02 to the control / marshalling room</t>
        </is>
      </c>
      <c r="E6083" s="12" t="inlineStr">
        <is>
          <t>R1</t>
        </is>
      </c>
      <c r="F6083" s="12" t="inlineStr">
        <is>
          <t>R1: main electrical building (64 x 180 ft)</t>
        </is>
      </c>
      <c r="G6083" s="12" t="inlineStr">
        <is>
          <t>JB-Water treatment bu-DI02</t>
        </is>
      </c>
      <c r="H6083" s="12" t="inlineStr">
        <is>
          <t>Water treatment building: rooftop HVAC, exhaust fans, vents</t>
        </is>
      </c>
      <c r="I6083" s="12" t="inlineStr">
        <is>
          <t>Instrumentation</t>
        </is>
      </c>
      <c r="J6083" s="12" t="inlineStr">
        <is>
          <t>Instrumentation PLTC / TC-ER 300 V, #18 twisted shielded pairs, overall shield</t>
        </is>
      </c>
      <c r="K6083" s="12" t="inlineStr">
        <is>
          <t>PLTC|24 pr|18</t>
        </is>
      </c>
      <c r="L6083" s="12" t="inlineStr">
        <is>
          <t>24 pr</t>
        </is>
      </c>
      <c r="M6083" s="12" t="inlineStr">
        <is>
          <t>18</t>
        </is>
      </c>
      <c r="N6083" s="12" t="n">
        <v>1</v>
      </c>
      <c r="O6083" s="12" t="n">
        <v>1</v>
      </c>
      <c r="P6083" s="12" t="n"/>
      <c r="Q6083" s="12" t="n"/>
      <c r="R6083" s="12" t="n"/>
      <c r="S6083" s="12" t="inlineStr">
        <is>
          <t>Duct bank</t>
        </is>
      </c>
      <c r="T6083" s="16" t="n">
        <v>985</v>
      </c>
      <c r="U6083" s="16" t="n">
        <v>32</v>
      </c>
      <c r="V6083" s="16">
        <f>ROUNDUP((T6083+U6083+2*'Read Me'!$B$13)*(1+'Read Me'!$B$12),-1)</f>
        <v/>
      </c>
      <c r="W6083" s="16">
        <f>V6083*N6083*O6083</f>
        <v/>
      </c>
      <c r="X6083" s="12">
        <f>IF(LEFT(I6083,2)="MV",2*N6083*IF(L6083="1/C",O6083,1),0)</f>
        <v/>
      </c>
      <c r="Y6083" s="12">
        <f>IF(OR(LEFT(K6083,4)="LVAX",LEFT(K6083,6)="MV15AX",LEFT(K6083,4)="CTAX",LEFT(K6083,2)="W|"),2*N6083*O6083,0)</f>
        <v/>
      </c>
      <c r="Z6083" s="12" t="inlineStr"/>
      <c r="AA6083" s="12">
        <f>N6083*O6083</f>
        <v/>
      </c>
    </row>
    <row r="6084">
      <c r="A6084" s="12" t="inlineStr">
        <is>
          <t>C-I-0135</t>
        </is>
      </c>
      <c r="B6084" s="12" t="inlineStr">
        <is>
          <t>C</t>
        </is>
      </c>
      <c r="C6084" s="12" t="inlineStr">
        <is>
          <t>Grid interface</t>
        </is>
      </c>
      <c r="D6084" s="12" t="inlineStr">
        <is>
          <t>Discrete device to JB JB-Water treatment bu-DI03: 20 x 1 pr (field cables)</t>
        </is>
      </c>
      <c r="E6084" s="12" t="inlineStr"/>
      <c r="F6084" s="12" t="inlineStr">
        <is>
          <t>Water treatment building: rooftop HVAC, exhaust fans, vents</t>
        </is>
      </c>
      <c r="G6084" s="12" t="inlineStr">
        <is>
          <t>JB-Water treatment bu-DI03</t>
        </is>
      </c>
      <c r="H6084" s="12" t="inlineStr">
        <is>
          <t>Water treatment building: rooftop HVAC, exhaust fans, vents</t>
        </is>
      </c>
      <c r="I6084" s="12" t="inlineStr">
        <is>
          <t>Instrumentation</t>
        </is>
      </c>
      <c r="J6084" s="12" t="inlineStr">
        <is>
          <t>Instrumentation PLTC / TC-ER 300 V, #18 twisted shielded pairs, overall shield</t>
        </is>
      </c>
      <c r="K6084" s="12" t="inlineStr">
        <is>
          <t>PLTC|1 pr|16</t>
        </is>
      </c>
      <c r="L6084" s="12" t="inlineStr">
        <is>
          <t>1 pr</t>
        </is>
      </c>
      <c r="M6084" s="12" t="inlineStr">
        <is>
          <t>16</t>
        </is>
      </c>
      <c r="N6084" s="12" t="n">
        <v>20</v>
      </c>
      <c r="O6084" s="12" t="n">
        <v>1</v>
      </c>
      <c r="P6084" s="12" t="n"/>
      <c r="Q6084" s="12" t="n"/>
      <c r="R6084" s="12" t="n"/>
      <c r="S6084" s="12" t="inlineStr">
        <is>
          <t>Tray / conduit</t>
        </is>
      </c>
      <c r="T6084" s="16" t="n">
        <v>162</v>
      </c>
      <c r="U6084" s="16" t="n">
        <v>10</v>
      </c>
      <c r="V6084" s="16">
        <f>ROUNDUP((T6084+U6084+2*'Read Me'!$B$13)*(1+'Read Me'!$B$12),-1)</f>
        <v/>
      </c>
      <c r="W6084" s="16">
        <f>V6084*N6084*O6084</f>
        <v/>
      </c>
      <c r="X6084" s="12">
        <f>IF(LEFT(I6084,2)="MV",2*N6084*IF(L6084="1/C",O6084,1),0)</f>
        <v/>
      </c>
      <c r="Y6084" s="12">
        <f>IF(OR(LEFT(K6084,4)="LVAX",LEFT(K6084,6)="MV15AX",LEFT(K6084,4)="CTAX",LEFT(K6084,2)="W|"),2*N6084*O6084,0)</f>
        <v/>
      </c>
      <c r="Z6084" s="12" t="inlineStr">
        <is>
          <t>device-to-JB field wiring, one cable per device</t>
        </is>
      </c>
      <c r="AA6084" s="12">
        <f>N6084*O6084</f>
        <v/>
      </c>
    </row>
    <row r="6085">
      <c r="A6085" s="12" t="inlineStr">
        <is>
          <t>C-I-0136</t>
        </is>
      </c>
      <c r="B6085" s="12" t="inlineStr">
        <is>
          <t>C</t>
        </is>
      </c>
      <c r="C6085" s="12" t="inlineStr">
        <is>
          <t>Grid interface</t>
        </is>
      </c>
      <c r="D6085" s="12" t="inlineStr">
        <is>
          <t>Home run JB-Water treatment bu-DI03 to the control / marshalling room</t>
        </is>
      </c>
      <c r="E6085" s="12" t="inlineStr">
        <is>
          <t>R1</t>
        </is>
      </c>
      <c r="F6085" s="12" t="inlineStr">
        <is>
          <t>R1: main electrical building (64 x 180 ft)</t>
        </is>
      </c>
      <c r="G6085" s="12" t="inlineStr">
        <is>
          <t>JB-Water treatment bu-DI03</t>
        </is>
      </c>
      <c r="H6085" s="12" t="inlineStr">
        <is>
          <t>Water treatment building: rooftop HVAC, exhaust fans, vents</t>
        </is>
      </c>
      <c r="I6085" s="12" t="inlineStr">
        <is>
          <t>Instrumentation</t>
        </is>
      </c>
      <c r="J6085" s="12" t="inlineStr">
        <is>
          <t>Instrumentation PLTC / TC-ER 300 V, #18 twisted shielded pairs, overall shield</t>
        </is>
      </c>
      <c r="K6085" s="12" t="inlineStr">
        <is>
          <t>PLTC|24 pr|18</t>
        </is>
      </c>
      <c r="L6085" s="12" t="inlineStr">
        <is>
          <t>24 pr</t>
        </is>
      </c>
      <c r="M6085" s="12" t="inlineStr">
        <is>
          <t>18</t>
        </is>
      </c>
      <c r="N6085" s="12" t="n">
        <v>1</v>
      </c>
      <c r="O6085" s="12" t="n">
        <v>1</v>
      </c>
      <c r="P6085" s="12" t="n"/>
      <c r="Q6085" s="12" t="n"/>
      <c r="R6085" s="12" t="n"/>
      <c r="S6085" s="12" t="inlineStr">
        <is>
          <t>Duct bank</t>
        </is>
      </c>
      <c r="T6085" s="16" t="n">
        <v>985</v>
      </c>
      <c r="U6085" s="16" t="n">
        <v>32</v>
      </c>
      <c r="V6085" s="16">
        <f>ROUNDUP((T6085+U6085+2*'Read Me'!$B$13)*(1+'Read Me'!$B$12),-1)</f>
        <v/>
      </c>
      <c r="W6085" s="16">
        <f>V6085*N6085*O6085</f>
        <v/>
      </c>
      <c r="X6085" s="12">
        <f>IF(LEFT(I6085,2)="MV",2*N6085*IF(L6085="1/C",O6085,1),0)</f>
        <v/>
      </c>
      <c r="Y6085" s="12">
        <f>IF(OR(LEFT(K6085,4)="LVAX",LEFT(K6085,6)="MV15AX",LEFT(K6085,4)="CTAX",LEFT(K6085,2)="W|"),2*N6085*O6085,0)</f>
        <v/>
      </c>
      <c r="Z6085" s="12" t="inlineStr"/>
      <c r="AA6085" s="12">
        <f>N6085*O6085</f>
        <v/>
      </c>
    </row>
    <row r="6086">
      <c r="A6086" s="12" t="inlineStr">
        <is>
          <t>C-I-0137</t>
        </is>
      </c>
      <c r="B6086" s="12" t="inlineStr">
        <is>
          <t>C</t>
        </is>
      </c>
      <c r="C6086" s="12" t="inlineStr">
        <is>
          <t>Grid interface</t>
        </is>
      </c>
      <c r="D6086" s="12" t="inlineStr">
        <is>
          <t>Discrete device to JB JB-Water treatment bu-DI04: 20 x 1 pr (field cables)</t>
        </is>
      </c>
      <c r="E6086" s="12" t="inlineStr"/>
      <c r="F6086" s="12" t="inlineStr">
        <is>
          <t>Water treatment building: rooftop HVAC, exhaust fans, vents</t>
        </is>
      </c>
      <c r="G6086" s="12" t="inlineStr">
        <is>
          <t>JB-Water treatment bu-DI04</t>
        </is>
      </c>
      <c r="H6086" s="12" t="inlineStr">
        <is>
          <t>Water treatment building: rooftop HVAC, exhaust fans, vents</t>
        </is>
      </c>
      <c r="I6086" s="12" t="inlineStr">
        <is>
          <t>Instrumentation</t>
        </is>
      </c>
      <c r="J6086" s="12" t="inlineStr">
        <is>
          <t>Instrumentation PLTC / TC-ER 300 V, #18 twisted shielded pairs, overall shield</t>
        </is>
      </c>
      <c r="K6086" s="12" t="inlineStr">
        <is>
          <t>PLTC|1 pr|16</t>
        </is>
      </c>
      <c r="L6086" s="12" t="inlineStr">
        <is>
          <t>1 pr</t>
        </is>
      </c>
      <c r="M6086" s="12" t="inlineStr">
        <is>
          <t>16</t>
        </is>
      </c>
      <c r="N6086" s="12" t="n">
        <v>20</v>
      </c>
      <c r="O6086" s="12" t="n">
        <v>1</v>
      </c>
      <c r="P6086" s="12" t="n"/>
      <c r="Q6086" s="12" t="n"/>
      <c r="R6086" s="12" t="n"/>
      <c r="S6086" s="12" t="inlineStr">
        <is>
          <t>Tray / conduit</t>
        </is>
      </c>
      <c r="T6086" s="16" t="n">
        <v>162</v>
      </c>
      <c r="U6086" s="16" t="n">
        <v>10</v>
      </c>
      <c r="V6086" s="16">
        <f>ROUNDUP((T6086+U6086+2*'Read Me'!$B$13)*(1+'Read Me'!$B$12),-1)</f>
        <v/>
      </c>
      <c r="W6086" s="16">
        <f>V6086*N6086*O6086</f>
        <v/>
      </c>
      <c r="X6086" s="12">
        <f>IF(LEFT(I6086,2)="MV",2*N6086*IF(L6086="1/C",O6086,1),0)</f>
        <v/>
      </c>
      <c r="Y6086" s="12">
        <f>IF(OR(LEFT(K6086,4)="LVAX",LEFT(K6086,6)="MV15AX",LEFT(K6086,4)="CTAX",LEFT(K6086,2)="W|"),2*N6086*O6086,0)</f>
        <v/>
      </c>
      <c r="Z6086" s="12" t="inlineStr">
        <is>
          <t>device-to-JB field wiring, one cable per device</t>
        </is>
      </c>
      <c r="AA6086" s="12">
        <f>N6086*O6086</f>
        <v/>
      </c>
    </row>
    <row r="6087">
      <c r="A6087" s="12" t="inlineStr">
        <is>
          <t>C-I-0138</t>
        </is>
      </c>
      <c r="B6087" s="12" t="inlineStr">
        <is>
          <t>C</t>
        </is>
      </c>
      <c r="C6087" s="12" t="inlineStr">
        <is>
          <t>Grid interface</t>
        </is>
      </c>
      <c r="D6087" s="12" t="inlineStr">
        <is>
          <t>Home run JB-Water treatment bu-DI04 to the control / marshalling room</t>
        </is>
      </c>
      <c r="E6087" s="12" t="inlineStr">
        <is>
          <t>R1</t>
        </is>
      </c>
      <c r="F6087" s="12" t="inlineStr">
        <is>
          <t>R1: main electrical building (64 x 180 ft)</t>
        </is>
      </c>
      <c r="G6087" s="12" t="inlineStr">
        <is>
          <t>JB-Water treatment bu-DI04</t>
        </is>
      </c>
      <c r="H6087" s="12" t="inlineStr">
        <is>
          <t>Water treatment building: rooftop HVAC, exhaust fans, vents</t>
        </is>
      </c>
      <c r="I6087" s="12" t="inlineStr">
        <is>
          <t>Instrumentation</t>
        </is>
      </c>
      <c r="J6087" s="12" t="inlineStr">
        <is>
          <t>Instrumentation PLTC / TC-ER 300 V, #18 twisted shielded pairs, overall shield</t>
        </is>
      </c>
      <c r="K6087" s="12" t="inlineStr">
        <is>
          <t>PLTC|24 pr|18</t>
        </is>
      </c>
      <c r="L6087" s="12" t="inlineStr">
        <is>
          <t>24 pr</t>
        </is>
      </c>
      <c r="M6087" s="12" t="inlineStr">
        <is>
          <t>18</t>
        </is>
      </c>
      <c r="N6087" s="12" t="n">
        <v>1</v>
      </c>
      <c r="O6087" s="12" t="n">
        <v>1</v>
      </c>
      <c r="P6087" s="12" t="n"/>
      <c r="Q6087" s="12" t="n"/>
      <c r="R6087" s="12" t="n"/>
      <c r="S6087" s="12" t="inlineStr">
        <is>
          <t>Duct bank</t>
        </is>
      </c>
      <c r="T6087" s="16" t="n">
        <v>985</v>
      </c>
      <c r="U6087" s="16" t="n">
        <v>32</v>
      </c>
      <c r="V6087" s="16">
        <f>ROUNDUP((T6087+U6087+2*'Read Me'!$B$13)*(1+'Read Me'!$B$12),-1)</f>
        <v/>
      </c>
      <c r="W6087" s="16">
        <f>V6087*N6087*O6087</f>
        <v/>
      </c>
      <c r="X6087" s="12">
        <f>IF(LEFT(I6087,2)="MV",2*N6087*IF(L6087="1/C",O6087,1),0)</f>
        <v/>
      </c>
      <c r="Y6087" s="12">
        <f>IF(OR(LEFT(K6087,4)="LVAX",LEFT(K6087,6)="MV15AX",LEFT(K6087,4)="CTAX",LEFT(K6087,2)="W|"),2*N6087*O6087,0)</f>
        <v/>
      </c>
      <c r="Z6087" s="12" t="inlineStr"/>
      <c r="AA6087" s="12">
        <f>N6087*O6087</f>
        <v/>
      </c>
    </row>
    <row r="6088">
      <c r="A6088" s="12" t="inlineStr">
        <is>
          <t>C-P-0006</t>
        </is>
      </c>
      <c r="B6088" s="12" t="inlineStr">
        <is>
          <t>C</t>
        </is>
      </c>
      <c r="C6088" s="12" t="inlineStr">
        <is>
          <t>Grid interface</t>
        </is>
      </c>
      <c r="D6088" s="12" t="inlineStr">
        <is>
          <t>Motor 1 of 10, 30 kW</t>
        </is>
      </c>
      <c r="E6088" s="12" t="inlineStr">
        <is>
          <t>MCC-C1</t>
        </is>
      </c>
      <c r="F6088" s="12" t="inlineStr">
        <is>
          <t>R1 MCC-C1</t>
        </is>
      </c>
      <c r="G6088" s="12" t="inlineStr"/>
      <c r="H6088" s="12" t="inlineStr">
        <is>
          <t xml:space="preserve">CO2 compression 3 x ~19 MW + dehydration: rooftop HVAC, exhaust fans, </t>
        </is>
      </c>
      <c r="I6088" s="12" t="inlineStr">
        <is>
          <t>LV 600 V</t>
        </is>
      </c>
      <c r="J6088" s="12" t="inlineStr">
        <is>
          <t>Type TC-ER 600 V 3/C Cu XHHW-2 + ground, PVC jacket</t>
        </is>
      </c>
      <c r="K6088" s="12" t="inlineStr">
        <is>
          <t>LV|3/C+G|3/0</t>
        </is>
      </c>
      <c r="L6088" s="12" t="inlineStr">
        <is>
          <t>3/C+G</t>
        </is>
      </c>
      <c r="M6088" s="12" t="inlineStr">
        <is>
          <t>3/0</t>
        </is>
      </c>
      <c r="N6088" s="12" t="n">
        <v>1</v>
      </c>
      <c r="O6088" s="12" t="n">
        <v>1</v>
      </c>
      <c r="P6088" s="12" t="n">
        <v>480</v>
      </c>
      <c r="Q6088" s="12" t="n">
        <v>30</v>
      </c>
      <c r="R6088" s="12" t="n">
        <v>42.5</v>
      </c>
      <c r="S6088" s="12" t="inlineStr">
        <is>
          <t>Tray</t>
        </is>
      </c>
      <c r="T6088" s="16" t="n">
        <v>1744</v>
      </c>
      <c r="U6088" s="16" t="n">
        <v>161</v>
      </c>
      <c r="V6088" s="16">
        <f>ROUNDUP((T6088+U6088+2*'Read Me'!$B$13)*(1+'Read Me'!$B$12),-1)</f>
        <v/>
      </c>
      <c r="W6088" s="16">
        <f>V6088*N6088*O6088</f>
        <v/>
      </c>
      <c r="X6088" s="12">
        <f>IF(LEFT(I6088,2)="MV",2*N6088*IF(L6088="1/C",O6088,1),0)</f>
        <v/>
      </c>
      <c r="Y6088" s="12">
        <f>IF(OR(LEFT(K6088,4)="LVAX",LEFT(K6088,6)="MV15AX",LEFT(K6088,4)="CTAX",LEFT(K6088,2)="W|"),2*N6088*O6088,0)</f>
        <v/>
      </c>
      <c r="Z6088" s="12" t="inlineStr">
        <is>
          <t>VD 2.5 %</t>
        </is>
      </c>
      <c r="AA6088" s="12">
        <f>N6088*O6088</f>
        <v/>
      </c>
    </row>
    <row r="6089">
      <c r="A6089" s="12" t="inlineStr">
        <is>
          <t>C-P-0007</t>
        </is>
      </c>
      <c r="B6089" s="12" t="inlineStr">
        <is>
          <t>C</t>
        </is>
      </c>
      <c r="C6089" s="12" t="inlineStr">
        <is>
          <t>Grid interface</t>
        </is>
      </c>
      <c r="D6089" s="12" t="inlineStr">
        <is>
          <t>Motor 2 of 10, 30 kW</t>
        </is>
      </c>
      <c r="E6089" s="12" t="inlineStr">
        <is>
          <t>MCC-C1</t>
        </is>
      </c>
      <c r="F6089" s="12" t="inlineStr">
        <is>
          <t>R1 MCC-C1</t>
        </is>
      </c>
      <c r="G6089" s="12" t="inlineStr"/>
      <c r="H6089" s="12" t="inlineStr">
        <is>
          <t xml:space="preserve">CO2 compression 3 x ~19 MW + dehydration: rooftop HVAC, exhaust fans, </t>
        </is>
      </c>
      <c r="I6089" s="12" t="inlineStr">
        <is>
          <t>LV 600 V</t>
        </is>
      </c>
      <c r="J6089" s="12" t="inlineStr">
        <is>
          <t>Type TC-ER 600 V 3/C Cu XHHW-2 + ground, PVC jacket</t>
        </is>
      </c>
      <c r="K6089" s="12" t="inlineStr">
        <is>
          <t>LV|3/C+G|3/0</t>
        </is>
      </c>
      <c r="L6089" s="12" t="inlineStr">
        <is>
          <t>3/C+G</t>
        </is>
      </c>
      <c r="M6089" s="12" t="inlineStr">
        <is>
          <t>3/0</t>
        </is>
      </c>
      <c r="N6089" s="12" t="n">
        <v>1</v>
      </c>
      <c r="O6089" s="12" t="n">
        <v>1</v>
      </c>
      <c r="P6089" s="12" t="n">
        <v>480</v>
      </c>
      <c r="Q6089" s="12" t="n">
        <v>30</v>
      </c>
      <c r="R6089" s="12" t="n">
        <v>42.5</v>
      </c>
      <c r="S6089" s="12" t="inlineStr">
        <is>
          <t>Tray</t>
        </is>
      </c>
      <c r="T6089" s="16" t="n">
        <v>1744</v>
      </c>
      <c r="U6089" s="16" t="n">
        <v>161</v>
      </c>
      <c r="V6089" s="16">
        <f>ROUNDUP((T6089+U6089+2*'Read Me'!$B$13)*(1+'Read Me'!$B$12),-1)</f>
        <v/>
      </c>
      <c r="W6089" s="16">
        <f>V6089*N6089*O6089</f>
        <v/>
      </c>
      <c r="X6089" s="12">
        <f>IF(LEFT(I6089,2)="MV",2*N6089*IF(L6089="1/C",O6089,1),0)</f>
        <v/>
      </c>
      <c r="Y6089" s="12">
        <f>IF(OR(LEFT(K6089,4)="LVAX",LEFT(K6089,6)="MV15AX",LEFT(K6089,4)="CTAX",LEFT(K6089,2)="W|"),2*N6089*O6089,0)</f>
        <v/>
      </c>
      <c r="Z6089" s="12" t="inlineStr">
        <is>
          <t>VD 2.5 %</t>
        </is>
      </c>
      <c r="AA6089" s="12">
        <f>N6089*O6089</f>
        <v/>
      </c>
    </row>
    <row r="6090">
      <c r="A6090" s="12" t="inlineStr">
        <is>
          <t>C-P-0008</t>
        </is>
      </c>
      <c r="B6090" s="12" t="inlineStr">
        <is>
          <t>C</t>
        </is>
      </c>
      <c r="C6090" s="12" t="inlineStr">
        <is>
          <t>Grid interface</t>
        </is>
      </c>
      <c r="D6090" s="12" t="inlineStr">
        <is>
          <t>Motor 3 of 10, 30 kW</t>
        </is>
      </c>
      <c r="E6090" s="12" t="inlineStr">
        <is>
          <t>MCC-C1</t>
        </is>
      </c>
      <c r="F6090" s="12" t="inlineStr">
        <is>
          <t>R1 MCC-C1</t>
        </is>
      </c>
      <c r="G6090" s="12" t="inlineStr"/>
      <c r="H6090" s="12" t="inlineStr">
        <is>
          <t xml:space="preserve">CO2 compression 3 x ~19 MW + dehydration: rooftop HVAC, exhaust fans, </t>
        </is>
      </c>
      <c r="I6090" s="12" t="inlineStr">
        <is>
          <t>LV 600 V</t>
        </is>
      </c>
      <c r="J6090" s="12" t="inlineStr">
        <is>
          <t>Type TC-ER 600 V 3/C Cu XHHW-2 + ground, PVC jacket</t>
        </is>
      </c>
      <c r="K6090" s="12" t="inlineStr">
        <is>
          <t>LV|3/C+G|3/0</t>
        </is>
      </c>
      <c r="L6090" s="12" t="inlineStr">
        <is>
          <t>3/C+G</t>
        </is>
      </c>
      <c r="M6090" s="12" t="inlineStr">
        <is>
          <t>3/0</t>
        </is>
      </c>
      <c r="N6090" s="12" t="n">
        <v>1</v>
      </c>
      <c r="O6090" s="12" t="n">
        <v>1</v>
      </c>
      <c r="P6090" s="12" t="n">
        <v>480</v>
      </c>
      <c r="Q6090" s="12" t="n">
        <v>30</v>
      </c>
      <c r="R6090" s="12" t="n">
        <v>42.5</v>
      </c>
      <c r="S6090" s="12" t="inlineStr">
        <is>
          <t>Tray</t>
        </is>
      </c>
      <c r="T6090" s="16" t="n">
        <v>1744</v>
      </c>
      <c r="U6090" s="16" t="n">
        <v>161</v>
      </c>
      <c r="V6090" s="16">
        <f>ROUNDUP((T6090+U6090+2*'Read Me'!$B$13)*(1+'Read Me'!$B$12),-1)</f>
        <v/>
      </c>
      <c r="W6090" s="16">
        <f>V6090*N6090*O6090</f>
        <v/>
      </c>
      <c r="X6090" s="12">
        <f>IF(LEFT(I6090,2)="MV",2*N6090*IF(L6090="1/C",O6090,1),0)</f>
        <v/>
      </c>
      <c r="Y6090" s="12">
        <f>IF(OR(LEFT(K6090,4)="LVAX",LEFT(K6090,6)="MV15AX",LEFT(K6090,4)="CTAX",LEFT(K6090,2)="W|"),2*N6090*O6090,0)</f>
        <v/>
      </c>
      <c r="Z6090" s="12" t="inlineStr">
        <is>
          <t>VD 2.5 %</t>
        </is>
      </c>
      <c r="AA6090" s="12">
        <f>N6090*O6090</f>
        <v/>
      </c>
    </row>
    <row r="6091">
      <c r="A6091" s="12" t="inlineStr">
        <is>
          <t>C-P-0009</t>
        </is>
      </c>
      <c r="B6091" s="12" t="inlineStr">
        <is>
          <t>C</t>
        </is>
      </c>
      <c r="C6091" s="12" t="inlineStr">
        <is>
          <t>Grid interface</t>
        </is>
      </c>
      <c r="D6091" s="12" t="inlineStr">
        <is>
          <t>Motor 4 of 10, 30 kW</t>
        </is>
      </c>
      <c r="E6091" s="12" t="inlineStr">
        <is>
          <t>MCC-C1</t>
        </is>
      </c>
      <c r="F6091" s="12" t="inlineStr">
        <is>
          <t>R1 MCC-C1</t>
        </is>
      </c>
      <c r="G6091" s="12" t="inlineStr"/>
      <c r="H6091" s="12" t="inlineStr">
        <is>
          <t xml:space="preserve">CO2 compression 3 x ~19 MW + dehydration: rooftop HVAC, exhaust fans, </t>
        </is>
      </c>
      <c r="I6091" s="12" t="inlineStr">
        <is>
          <t>LV 600 V</t>
        </is>
      </c>
      <c r="J6091" s="12" t="inlineStr">
        <is>
          <t>Type TC-ER 600 V 3/C Cu XHHW-2 + ground, PVC jacket</t>
        </is>
      </c>
      <c r="K6091" s="12" t="inlineStr">
        <is>
          <t>LV|3/C+G|3/0</t>
        </is>
      </c>
      <c r="L6091" s="12" t="inlineStr">
        <is>
          <t>3/C+G</t>
        </is>
      </c>
      <c r="M6091" s="12" t="inlineStr">
        <is>
          <t>3/0</t>
        </is>
      </c>
      <c r="N6091" s="12" t="n">
        <v>1</v>
      </c>
      <c r="O6091" s="12" t="n">
        <v>1</v>
      </c>
      <c r="P6091" s="12" t="n">
        <v>480</v>
      </c>
      <c r="Q6091" s="12" t="n">
        <v>30</v>
      </c>
      <c r="R6091" s="12" t="n">
        <v>42.5</v>
      </c>
      <c r="S6091" s="12" t="inlineStr">
        <is>
          <t>Tray</t>
        </is>
      </c>
      <c r="T6091" s="16" t="n">
        <v>1744</v>
      </c>
      <c r="U6091" s="16" t="n">
        <v>161</v>
      </c>
      <c r="V6091" s="16">
        <f>ROUNDUP((T6091+U6091+2*'Read Me'!$B$13)*(1+'Read Me'!$B$12),-1)</f>
        <v/>
      </c>
      <c r="W6091" s="16">
        <f>V6091*N6091*O6091</f>
        <v/>
      </c>
      <c r="X6091" s="12">
        <f>IF(LEFT(I6091,2)="MV",2*N6091*IF(L6091="1/C",O6091,1),0)</f>
        <v/>
      </c>
      <c r="Y6091" s="12">
        <f>IF(OR(LEFT(K6091,4)="LVAX",LEFT(K6091,6)="MV15AX",LEFT(K6091,4)="CTAX",LEFT(K6091,2)="W|"),2*N6091*O6091,0)</f>
        <v/>
      </c>
      <c r="Z6091" s="12" t="inlineStr">
        <is>
          <t>VD 2.5 %</t>
        </is>
      </c>
      <c r="AA6091" s="12">
        <f>N6091*O6091</f>
        <v/>
      </c>
    </row>
    <row r="6092">
      <c r="A6092" s="12" t="inlineStr">
        <is>
          <t>C-P-0010</t>
        </is>
      </c>
      <c r="B6092" s="12" t="inlineStr">
        <is>
          <t>C</t>
        </is>
      </c>
      <c r="C6092" s="12" t="inlineStr">
        <is>
          <t>Grid interface</t>
        </is>
      </c>
      <c r="D6092" s="12" t="inlineStr">
        <is>
          <t>Motor 5 of 10, 30 kW</t>
        </is>
      </c>
      <c r="E6092" s="12" t="inlineStr">
        <is>
          <t>MCC-C1</t>
        </is>
      </c>
      <c r="F6092" s="12" t="inlineStr">
        <is>
          <t>R1 MCC-C1</t>
        </is>
      </c>
      <c r="G6092" s="12" t="inlineStr"/>
      <c r="H6092" s="12" t="inlineStr">
        <is>
          <t xml:space="preserve">CO2 compression 3 x ~19 MW + dehydration: rooftop HVAC, exhaust fans, </t>
        </is>
      </c>
      <c r="I6092" s="12" t="inlineStr">
        <is>
          <t>LV 600 V</t>
        </is>
      </c>
      <c r="J6092" s="12" t="inlineStr">
        <is>
          <t>Type TC-ER 600 V 3/C Cu XHHW-2 + ground, PVC jacket</t>
        </is>
      </c>
      <c r="K6092" s="12" t="inlineStr">
        <is>
          <t>LV|3/C+G|3/0</t>
        </is>
      </c>
      <c r="L6092" s="12" t="inlineStr">
        <is>
          <t>3/C+G</t>
        </is>
      </c>
      <c r="M6092" s="12" t="inlineStr">
        <is>
          <t>3/0</t>
        </is>
      </c>
      <c r="N6092" s="12" t="n">
        <v>1</v>
      </c>
      <c r="O6092" s="12" t="n">
        <v>1</v>
      </c>
      <c r="P6092" s="12" t="n">
        <v>480</v>
      </c>
      <c r="Q6092" s="12" t="n">
        <v>30</v>
      </c>
      <c r="R6092" s="12" t="n">
        <v>42.5</v>
      </c>
      <c r="S6092" s="12" t="inlineStr">
        <is>
          <t>Tray</t>
        </is>
      </c>
      <c r="T6092" s="16" t="n">
        <v>1744</v>
      </c>
      <c r="U6092" s="16" t="n">
        <v>161</v>
      </c>
      <c r="V6092" s="16">
        <f>ROUNDUP((T6092+U6092+2*'Read Me'!$B$13)*(1+'Read Me'!$B$12),-1)</f>
        <v/>
      </c>
      <c r="W6092" s="16">
        <f>V6092*N6092*O6092</f>
        <v/>
      </c>
      <c r="X6092" s="12">
        <f>IF(LEFT(I6092,2)="MV",2*N6092*IF(L6092="1/C",O6092,1),0)</f>
        <v/>
      </c>
      <c r="Y6092" s="12">
        <f>IF(OR(LEFT(K6092,4)="LVAX",LEFT(K6092,6)="MV15AX",LEFT(K6092,4)="CTAX",LEFT(K6092,2)="W|"),2*N6092*O6092,0)</f>
        <v/>
      </c>
      <c r="Z6092" s="12" t="inlineStr">
        <is>
          <t>VD 2.5 %</t>
        </is>
      </c>
      <c r="AA6092" s="12">
        <f>N6092*O6092</f>
        <v/>
      </c>
    </row>
    <row r="6093">
      <c r="A6093" s="12" t="inlineStr">
        <is>
          <t>C-P-0011</t>
        </is>
      </c>
      <c r="B6093" s="12" t="inlineStr">
        <is>
          <t>C</t>
        </is>
      </c>
      <c r="C6093" s="12" t="inlineStr">
        <is>
          <t>Grid interface</t>
        </is>
      </c>
      <c r="D6093" s="12" t="inlineStr">
        <is>
          <t>Motor 6 of 10, 30 kW</t>
        </is>
      </c>
      <c r="E6093" s="12" t="inlineStr">
        <is>
          <t>MCC-C1</t>
        </is>
      </c>
      <c r="F6093" s="12" t="inlineStr">
        <is>
          <t>R1 MCC-C1</t>
        </is>
      </c>
      <c r="G6093" s="12" t="inlineStr"/>
      <c r="H6093" s="12" t="inlineStr">
        <is>
          <t xml:space="preserve">CO2 compression 3 x ~19 MW + dehydration: rooftop HVAC, exhaust fans, </t>
        </is>
      </c>
      <c r="I6093" s="12" t="inlineStr">
        <is>
          <t>LV 600 V</t>
        </is>
      </c>
      <c r="J6093" s="12" t="inlineStr">
        <is>
          <t>Type TC-ER 600 V 3/C Cu XHHW-2 + ground, PVC jacket</t>
        </is>
      </c>
      <c r="K6093" s="12" t="inlineStr">
        <is>
          <t>LV|3/C+G|3/0</t>
        </is>
      </c>
      <c r="L6093" s="12" t="inlineStr">
        <is>
          <t>3/C+G</t>
        </is>
      </c>
      <c r="M6093" s="12" t="inlineStr">
        <is>
          <t>3/0</t>
        </is>
      </c>
      <c r="N6093" s="12" t="n">
        <v>1</v>
      </c>
      <c r="O6093" s="12" t="n">
        <v>1</v>
      </c>
      <c r="P6093" s="12" t="n">
        <v>480</v>
      </c>
      <c r="Q6093" s="12" t="n">
        <v>30</v>
      </c>
      <c r="R6093" s="12" t="n">
        <v>42.5</v>
      </c>
      <c r="S6093" s="12" t="inlineStr">
        <is>
          <t>Tray</t>
        </is>
      </c>
      <c r="T6093" s="16" t="n">
        <v>1744</v>
      </c>
      <c r="U6093" s="16" t="n">
        <v>161</v>
      </c>
      <c r="V6093" s="16">
        <f>ROUNDUP((T6093+U6093+2*'Read Me'!$B$13)*(1+'Read Me'!$B$12),-1)</f>
        <v/>
      </c>
      <c r="W6093" s="16">
        <f>V6093*N6093*O6093</f>
        <v/>
      </c>
      <c r="X6093" s="12">
        <f>IF(LEFT(I6093,2)="MV",2*N6093*IF(L6093="1/C",O6093,1),0)</f>
        <v/>
      </c>
      <c r="Y6093" s="12">
        <f>IF(OR(LEFT(K6093,4)="LVAX",LEFT(K6093,6)="MV15AX",LEFT(K6093,4)="CTAX",LEFT(K6093,2)="W|"),2*N6093*O6093,0)</f>
        <v/>
      </c>
      <c r="Z6093" s="12" t="inlineStr">
        <is>
          <t>VD 2.5 %</t>
        </is>
      </c>
      <c r="AA6093" s="12">
        <f>N6093*O6093</f>
        <v/>
      </c>
    </row>
    <row r="6094">
      <c r="A6094" s="12" t="inlineStr">
        <is>
          <t>C-P-0012</t>
        </is>
      </c>
      <c r="B6094" s="12" t="inlineStr">
        <is>
          <t>C</t>
        </is>
      </c>
      <c r="C6094" s="12" t="inlineStr">
        <is>
          <t>Grid interface</t>
        </is>
      </c>
      <c r="D6094" s="12" t="inlineStr">
        <is>
          <t>Motor 7 of 10, 30 kW</t>
        </is>
      </c>
      <c r="E6094" s="12" t="inlineStr">
        <is>
          <t>MCC-C1</t>
        </is>
      </c>
      <c r="F6094" s="12" t="inlineStr">
        <is>
          <t>R1 MCC-C1</t>
        </is>
      </c>
      <c r="G6094" s="12" t="inlineStr"/>
      <c r="H6094" s="12" t="inlineStr">
        <is>
          <t xml:space="preserve">CO2 compression 3 x ~19 MW + dehydration: rooftop HVAC, exhaust fans, </t>
        </is>
      </c>
      <c r="I6094" s="12" t="inlineStr">
        <is>
          <t>LV 600 V</t>
        </is>
      </c>
      <c r="J6094" s="12" t="inlineStr">
        <is>
          <t>Type TC-ER 600 V 3/C Cu XHHW-2 + ground, PVC jacket</t>
        </is>
      </c>
      <c r="K6094" s="12" t="inlineStr">
        <is>
          <t>LV|3/C+G|3/0</t>
        </is>
      </c>
      <c r="L6094" s="12" t="inlineStr">
        <is>
          <t>3/C+G</t>
        </is>
      </c>
      <c r="M6094" s="12" t="inlineStr">
        <is>
          <t>3/0</t>
        </is>
      </c>
      <c r="N6094" s="12" t="n">
        <v>1</v>
      </c>
      <c r="O6094" s="12" t="n">
        <v>1</v>
      </c>
      <c r="P6094" s="12" t="n">
        <v>480</v>
      </c>
      <c r="Q6094" s="12" t="n">
        <v>30</v>
      </c>
      <c r="R6094" s="12" t="n">
        <v>42.5</v>
      </c>
      <c r="S6094" s="12" t="inlineStr">
        <is>
          <t>Tray</t>
        </is>
      </c>
      <c r="T6094" s="16" t="n">
        <v>1744</v>
      </c>
      <c r="U6094" s="16" t="n">
        <v>161</v>
      </c>
      <c r="V6094" s="16">
        <f>ROUNDUP((T6094+U6094+2*'Read Me'!$B$13)*(1+'Read Me'!$B$12),-1)</f>
        <v/>
      </c>
      <c r="W6094" s="16">
        <f>V6094*N6094*O6094</f>
        <v/>
      </c>
      <c r="X6094" s="12">
        <f>IF(LEFT(I6094,2)="MV",2*N6094*IF(L6094="1/C",O6094,1),0)</f>
        <v/>
      </c>
      <c r="Y6094" s="12">
        <f>IF(OR(LEFT(K6094,4)="LVAX",LEFT(K6094,6)="MV15AX",LEFT(K6094,4)="CTAX",LEFT(K6094,2)="W|"),2*N6094*O6094,0)</f>
        <v/>
      </c>
      <c r="Z6094" s="12" t="inlineStr">
        <is>
          <t>VD 2.5 %</t>
        </is>
      </c>
      <c r="AA6094" s="12">
        <f>N6094*O6094</f>
        <v/>
      </c>
    </row>
    <row r="6095">
      <c r="A6095" s="12" t="inlineStr">
        <is>
          <t>C-P-0013</t>
        </is>
      </c>
      <c r="B6095" s="12" t="inlineStr">
        <is>
          <t>C</t>
        </is>
      </c>
      <c r="C6095" s="12" t="inlineStr">
        <is>
          <t>Grid interface</t>
        </is>
      </c>
      <c r="D6095" s="12" t="inlineStr">
        <is>
          <t>Motor 8 of 10, 30 kW</t>
        </is>
      </c>
      <c r="E6095" s="12" t="inlineStr">
        <is>
          <t>MCC-C1</t>
        </is>
      </c>
      <c r="F6095" s="12" t="inlineStr">
        <is>
          <t>R1 MCC-C1</t>
        </is>
      </c>
      <c r="G6095" s="12" t="inlineStr"/>
      <c r="H6095" s="12" t="inlineStr">
        <is>
          <t xml:space="preserve">CO2 compression 3 x ~19 MW + dehydration: rooftop HVAC, exhaust fans, </t>
        </is>
      </c>
      <c r="I6095" s="12" t="inlineStr">
        <is>
          <t>LV 600 V</t>
        </is>
      </c>
      <c r="J6095" s="12" t="inlineStr">
        <is>
          <t>Type TC-ER 600 V 3/C Cu XHHW-2 + ground, PVC jacket</t>
        </is>
      </c>
      <c r="K6095" s="12" t="inlineStr">
        <is>
          <t>LV|3/C+G|3/0</t>
        </is>
      </c>
      <c r="L6095" s="12" t="inlineStr">
        <is>
          <t>3/C+G</t>
        </is>
      </c>
      <c r="M6095" s="12" t="inlineStr">
        <is>
          <t>3/0</t>
        </is>
      </c>
      <c r="N6095" s="12" t="n">
        <v>1</v>
      </c>
      <c r="O6095" s="12" t="n">
        <v>1</v>
      </c>
      <c r="P6095" s="12" t="n">
        <v>480</v>
      </c>
      <c r="Q6095" s="12" t="n">
        <v>30</v>
      </c>
      <c r="R6095" s="12" t="n">
        <v>42.5</v>
      </c>
      <c r="S6095" s="12" t="inlineStr">
        <is>
          <t>Tray</t>
        </is>
      </c>
      <c r="T6095" s="16" t="n">
        <v>1744</v>
      </c>
      <c r="U6095" s="16" t="n">
        <v>161</v>
      </c>
      <c r="V6095" s="16">
        <f>ROUNDUP((T6095+U6095+2*'Read Me'!$B$13)*(1+'Read Me'!$B$12),-1)</f>
        <v/>
      </c>
      <c r="W6095" s="16">
        <f>V6095*N6095*O6095</f>
        <v/>
      </c>
      <c r="X6095" s="12">
        <f>IF(LEFT(I6095,2)="MV",2*N6095*IF(L6095="1/C",O6095,1),0)</f>
        <v/>
      </c>
      <c r="Y6095" s="12">
        <f>IF(OR(LEFT(K6095,4)="LVAX",LEFT(K6095,6)="MV15AX",LEFT(K6095,4)="CTAX",LEFT(K6095,2)="W|"),2*N6095*O6095,0)</f>
        <v/>
      </c>
      <c r="Z6095" s="12" t="inlineStr">
        <is>
          <t>VD 2.5 %</t>
        </is>
      </c>
      <c r="AA6095" s="12">
        <f>N6095*O6095</f>
        <v/>
      </c>
    </row>
    <row r="6096">
      <c r="A6096" s="12" t="inlineStr">
        <is>
          <t>C-P-0014</t>
        </is>
      </c>
      <c r="B6096" s="12" t="inlineStr">
        <is>
          <t>C</t>
        </is>
      </c>
      <c r="C6096" s="12" t="inlineStr">
        <is>
          <t>Grid interface</t>
        </is>
      </c>
      <c r="D6096" s="12" t="inlineStr">
        <is>
          <t>Motor 9 of 10, 30 kW</t>
        </is>
      </c>
      <c r="E6096" s="12" t="inlineStr">
        <is>
          <t>MCC-C1</t>
        </is>
      </c>
      <c r="F6096" s="12" t="inlineStr">
        <is>
          <t>R1 MCC-C1</t>
        </is>
      </c>
      <c r="G6096" s="12" t="inlineStr"/>
      <c r="H6096" s="12" t="inlineStr">
        <is>
          <t xml:space="preserve">CO2 compression 3 x ~19 MW + dehydration: rooftop HVAC, exhaust fans, </t>
        </is>
      </c>
      <c r="I6096" s="12" t="inlineStr">
        <is>
          <t>LV 600 V</t>
        </is>
      </c>
      <c r="J6096" s="12" t="inlineStr">
        <is>
          <t>Type TC-ER 600 V 3/C Cu XHHW-2 + ground, PVC jacket</t>
        </is>
      </c>
      <c r="K6096" s="12" t="inlineStr">
        <is>
          <t>LV|3/C+G|3/0</t>
        </is>
      </c>
      <c r="L6096" s="12" t="inlineStr">
        <is>
          <t>3/C+G</t>
        </is>
      </c>
      <c r="M6096" s="12" t="inlineStr">
        <is>
          <t>3/0</t>
        </is>
      </c>
      <c r="N6096" s="12" t="n">
        <v>1</v>
      </c>
      <c r="O6096" s="12" t="n">
        <v>1</v>
      </c>
      <c r="P6096" s="12" t="n">
        <v>480</v>
      </c>
      <c r="Q6096" s="12" t="n">
        <v>30</v>
      </c>
      <c r="R6096" s="12" t="n">
        <v>42.5</v>
      </c>
      <c r="S6096" s="12" t="inlineStr">
        <is>
          <t>Tray</t>
        </is>
      </c>
      <c r="T6096" s="16" t="n">
        <v>1744</v>
      </c>
      <c r="U6096" s="16" t="n">
        <v>161</v>
      </c>
      <c r="V6096" s="16">
        <f>ROUNDUP((T6096+U6096+2*'Read Me'!$B$13)*(1+'Read Me'!$B$12),-1)</f>
        <v/>
      </c>
      <c r="W6096" s="16">
        <f>V6096*N6096*O6096</f>
        <v/>
      </c>
      <c r="X6096" s="12">
        <f>IF(LEFT(I6096,2)="MV",2*N6096*IF(L6096="1/C",O6096,1),0)</f>
        <v/>
      </c>
      <c r="Y6096" s="12">
        <f>IF(OR(LEFT(K6096,4)="LVAX",LEFT(K6096,6)="MV15AX",LEFT(K6096,4)="CTAX",LEFT(K6096,2)="W|"),2*N6096*O6096,0)</f>
        <v/>
      </c>
      <c r="Z6096" s="12" t="inlineStr">
        <is>
          <t>VD 2.5 %</t>
        </is>
      </c>
      <c r="AA6096" s="12">
        <f>N6096*O6096</f>
        <v/>
      </c>
    </row>
    <row r="6097">
      <c r="A6097" s="12" t="inlineStr">
        <is>
          <t>C-P-0015</t>
        </is>
      </c>
      <c r="B6097" s="12" t="inlineStr">
        <is>
          <t>C</t>
        </is>
      </c>
      <c r="C6097" s="12" t="inlineStr">
        <is>
          <t>Grid interface</t>
        </is>
      </c>
      <c r="D6097" s="12" t="inlineStr">
        <is>
          <t>Motor 10 of 10, 30 kW</t>
        </is>
      </c>
      <c r="E6097" s="12" t="inlineStr">
        <is>
          <t>MCC-C1</t>
        </is>
      </c>
      <c r="F6097" s="12" t="inlineStr">
        <is>
          <t>R1 MCC-C1</t>
        </is>
      </c>
      <c r="G6097" s="12" t="inlineStr"/>
      <c r="H6097" s="12" t="inlineStr">
        <is>
          <t xml:space="preserve">CO2 compression 3 x ~19 MW + dehydration: rooftop HVAC, exhaust fans, </t>
        </is>
      </c>
      <c r="I6097" s="12" t="inlineStr">
        <is>
          <t>LV 600 V</t>
        </is>
      </c>
      <c r="J6097" s="12" t="inlineStr">
        <is>
          <t>Type TC-ER 600 V 3/C Cu XHHW-2 + ground, PVC jacket</t>
        </is>
      </c>
      <c r="K6097" s="12" t="inlineStr">
        <is>
          <t>LV|3/C+G|3/0</t>
        </is>
      </c>
      <c r="L6097" s="12" t="inlineStr">
        <is>
          <t>3/C+G</t>
        </is>
      </c>
      <c r="M6097" s="12" t="inlineStr">
        <is>
          <t>3/0</t>
        </is>
      </c>
      <c r="N6097" s="12" t="n">
        <v>1</v>
      </c>
      <c r="O6097" s="12" t="n">
        <v>1</v>
      </c>
      <c r="P6097" s="12" t="n">
        <v>480</v>
      </c>
      <c r="Q6097" s="12" t="n">
        <v>30</v>
      </c>
      <c r="R6097" s="12" t="n">
        <v>42.5</v>
      </c>
      <c r="S6097" s="12" t="inlineStr">
        <is>
          <t>Tray</t>
        </is>
      </c>
      <c r="T6097" s="16" t="n">
        <v>1744</v>
      </c>
      <c r="U6097" s="16" t="n">
        <v>161</v>
      </c>
      <c r="V6097" s="16">
        <f>ROUNDUP((T6097+U6097+2*'Read Me'!$B$13)*(1+'Read Me'!$B$12),-1)</f>
        <v/>
      </c>
      <c r="W6097" s="16">
        <f>V6097*N6097*O6097</f>
        <v/>
      </c>
      <c r="X6097" s="12">
        <f>IF(LEFT(I6097,2)="MV",2*N6097*IF(L6097="1/C",O6097,1),0)</f>
        <v/>
      </c>
      <c r="Y6097" s="12">
        <f>IF(OR(LEFT(K6097,4)="LVAX",LEFT(K6097,6)="MV15AX",LEFT(K6097,4)="CTAX",LEFT(K6097,2)="W|"),2*N6097*O6097,0)</f>
        <v/>
      </c>
      <c r="Z6097" s="12" t="inlineStr">
        <is>
          <t>VD 2.5 %</t>
        </is>
      </c>
      <c r="AA6097" s="12">
        <f>N6097*O6097</f>
        <v/>
      </c>
    </row>
    <row r="6098">
      <c r="A6098" s="12" t="inlineStr">
        <is>
          <t>C-P-0016</t>
        </is>
      </c>
      <c r="B6098" s="12" t="inlineStr">
        <is>
          <t>C</t>
        </is>
      </c>
      <c r="C6098" s="12" t="inlineStr">
        <is>
          <t>Grid interface</t>
        </is>
      </c>
      <c r="D6098" s="12" t="inlineStr">
        <is>
          <t>480 V welding receptacle 1</t>
        </is>
      </c>
      <c r="E6098" s="12" t="inlineStr">
        <is>
          <t>MCC-C1</t>
        </is>
      </c>
      <c r="F6098" s="12" t="inlineStr">
        <is>
          <t>R1 MCC-C1</t>
        </is>
      </c>
      <c r="G6098" s="12" t="inlineStr"/>
      <c r="H6098" s="12" t="inlineStr">
        <is>
          <t xml:space="preserve">CO2 compression 3 x ~19 MW + dehydration: rooftop HVAC, exhaust fans, </t>
        </is>
      </c>
      <c r="I6098" s="12" t="inlineStr">
        <is>
          <t>LV 600 V</t>
        </is>
      </c>
      <c r="J6098" s="12" t="inlineStr">
        <is>
          <t>Type TC-ER 600 V 3/C Cu XHHW-2 + ground, PVC jacket</t>
        </is>
      </c>
      <c r="K6098" s="12" t="inlineStr">
        <is>
          <t>LV|3/C+G|250</t>
        </is>
      </c>
      <c r="L6098" s="12" t="inlineStr">
        <is>
          <t>3/C+G</t>
        </is>
      </c>
      <c r="M6098" s="12" t="inlineStr">
        <is>
          <t>250 kcmil</t>
        </is>
      </c>
      <c r="N6098" s="12" t="n">
        <v>1</v>
      </c>
      <c r="O6098" s="12" t="n">
        <v>1</v>
      </c>
      <c r="P6098" s="12" t="n">
        <v>480</v>
      </c>
      <c r="Q6098" s="12" t="n">
        <v>60</v>
      </c>
      <c r="R6098" s="12" t="n">
        <v>76</v>
      </c>
      <c r="S6098" s="12" t="inlineStr">
        <is>
          <t>Tray</t>
        </is>
      </c>
      <c r="T6098" s="16" t="n">
        <v>1744</v>
      </c>
      <c r="U6098" s="16" t="n">
        <v>161</v>
      </c>
      <c r="V6098" s="16">
        <f>ROUNDUP((T6098+U6098+2*'Read Me'!$B$13)*(1+'Read Me'!$B$12),-1)</f>
        <v/>
      </c>
      <c r="W6098" s="16">
        <f>V6098*N6098*O6098</f>
        <v/>
      </c>
      <c r="X6098" s="12">
        <f>IF(LEFT(I6098,2)="MV",2*N6098*IF(L6098="1/C",O6098,1),0)</f>
        <v/>
      </c>
      <c r="Y6098" s="12">
        <f>IF(OR(LEFT(K6098,4)="LVAX",LEFT(K6098,6)="MV15AX",LEFT(K6098,4)="CTAX",LEFT(K6098,2)="W|"),2*N6098*O6098,0)</f>
        <v/>
      </c>
      <c r="Z6098" s="12" t="inlineStr">
        <is>
          <t>VD 3.0 %</t>
        </is>
      </c>
      <c r="AA6098" s="12">
        <f>N6098*O6098</f>
        <v/>
      </c>
    </row>
    <row r="6099">
      <c r="A6099" s="12" t="inlineStr">
        <is>
          <t>C-P-0017</t>
        </is>
      </c>
      <c r="B6099" s="12" t="inlineStr">
        <is>
          <t>C</t>
        </is>
      </c>
      <c r="C6099" s="12" t="inlineStr">
        <is>
          <t>Grid interface</t>
        </is>
      </c>
      <c r="D6099" s="12" t="inlineStr">
        <is>
          <t>480 V welding receptacle 2</t>
        </is>
      </c>
      <c r="E6099" s="12" t="inlineStr">
        <is>
          <t>MCC-C1</t>
        </is>
      </c>
      <c r="F6099" s="12" t="inlineStr">
        <is>
          <t>R1 MCC-C1</t>
        </is>
      </c>
      <c r="G6099" s="12" t="inlineStr"/>
      <c r="H6099" s="12" t="inlineStr">
        <is>
          <t xml:space="preserve">CO2 compression 3 x ~19 MW + dehydration: rooftop HVAC, exhaust fans, </t>
        </is>
      </c>
      <c r="I6099" s="12" t="inlineStr">
        <is>
          <t>LV 600 V</t>
        </is>
      </c>
      <c r="J6099" s="12" t="inlineStr">
        <is>
          <t>Type TC-ER 600 V 3/C Cu XHHW-2 + ground, PVC jacket</t>
        </is>
      </c>
      <c r="K6099" s="12" t="inlineStr">
        <is>
          <t>LV|3/C+G|250</t>
        </is>
      </c>
      <c r="L6099" s="12" t="inlineStr">
        <is>
          <t>3/C+G</t>
        </is>
      </c>
      <c r="M6099" s="12" t="inlineStr">
        <is>
          <t>250 kcmil</t>
        </is>
      </c>
      <c r="N6099" s="12" t="n">
        <v>1</v>
      </c>
      <c r="O6099" s="12" t="n">
        <v>1</v>
      </c>
      <c r="P6099" s="12" t="n">
        <v>480</v>
      </c>
      <c r="Q6099" s="12" t="n">
        <v>60</v>
      </c>
      <c r="R6099" s="12" t="n">
        <v>76</v>
      </c>
      <c r="S6099" s="12" t="inlineStr">
        <is>
          <t>Tray</t>
        </is>
      </c>
      <c r="T6099" s="16" t="n">
        <v>1744</v>
      </c>
      <c r="U6099" s="16" t="n">
        <v>161</v>
      </c>
      <c r="V6099" s="16">
        <f>ROUNDUP((T6099+U6099+2*'Read Me'!$B$13)*(1+'Read Me'!$B$12),-1)</f>
        <v/>
      </c>
      <c r="W6099" s="16">
        <f>V6099*N6099*O6099</f>
        <v/>
      </c>
      <c r="X6099" s="12">
        <f>IF(LEFT(I6099,2)="MV",2*N6099*IF(L6099="1/C",O6099,1),0)</f>
        <v/>
      </c>
      <c r="Y6099" s="12">
        <f>IF(OR(LEFT(K6099,4)="LVAX",LEFT(K6099,6)="MV15AX",LEFT(K6099,4)="CTAX",LEFT(K6099,2)="W|"),2*N6099*O6099,0)</f>
        <v/>
      </c>
      <c r="Z6099" s="12" t="inlineStr">
        <is>
          <t>VD 3.0 %</t>
        </is>
      </c>
      <c r="AA6099" s="12">
        <f>N6099*O6099</f>
        <v/>
      </c>
    </row>
    <row r="6100">
      <c r="A6100" s="12" t="inlineStr">
        <is>
          <t>C-P-0018</t>
        </is>
      </c>
      <c r="B6100" s="12" t="inlineStr">
        <is>
          <t>C</t>
        </is>
      </c>
      <c r="C6100" s="12" t="inlineStr">
        <is>
          <t>Grid interface</t>
        </is>
      </c>
      <c r="D6100" s="12" t="inlineStr">
        <is>
          <t>480 V welding receptacle 3</t>
        </is>
      </c>
      <c r="E6100" s="12" t="inlineStr">
        <is>
          <t>MCC-C1</t>
        </is>
      </c>
      <c r="F6100" s="12" t="inlineStr">
        <is>
          <t>R1 MCC-C1</t>
        </is>
      </c>
      <c r="G6100" s="12" t="inlineStr"/>
      <c r="H6100" s="12" t="inlineStr">
        <is>
          <t xml:space="preserve">CO2 compression 3 x ~19 MW + dehydration: rooftop HVAC, exhaust fans, </t>
        </is>
      </c>
      <c r="I6100" s="12" t="inlineStr">
        <is>
          <t>LV 600 V</t>
        </is>
      </c>
      <c r="J6100" s="12" t="inlineStr">
        <is>
          <t>Type TC-ER 600 V 3/C Cu XHHW-2 + ground, PVC jacket</t>
        </is>
      </c>
      <c r="K6100" s="12" t="inlineStr">
        <is>
          <t>LV|3/C+G|250</t>
        </is>
      </c>
      <c r="L6100" s="12" t="inlineStr">
        <is>
          <t>3/C+G</t>
        </is>
      </c>
      <c r="M6100" s="12" t="inlineStr">
        <is>
          <t>250 kcmil</t>
        </is>
      </c>
      <c r="N6100" s="12" t="n">
        <v>1</v>
      </c>
      <c r="O6100" s="12" t="n">
        <v>1</v>
      </c>
      <c r="P6100" s="12" t="n">
        <v>480</v>
      </c>
      <c r="Q6100" s="12" t="n">
        <v>60</v>
      </c>
      <c r="R6100" s="12" t="n">
        <v>76</v>
      </c>
      <c r="S6100" s="12" t="inlineStr">
        <is>
          <t>Tray</t>
        </is>
      </c>
      <c r="T6100" s="16" t="n">
        <v>1744</v>
      </c>
      <c r="U6100" s="16" t="n">
        <v>161</v>
      </c>
      <c r="V6100" s="16">
        <f>ROUNDUP((T6100+U6100+2*'Read Me'!$B$13)*(1+'Read Me'!$B$12),-1)</f>
        <v/>
      </c>
      <c r="W6100" s="16">
        <f>V6100*N6100*O6100</f>
        <v/>
      </c>
      <c r="X6100" s="12">
        <f>IF(LEFT(I6100,2)="MV",2*N6100*IF(L6100="1/C",O6100,1),0)</f>
        <v/>
      </c>
      <c r="Y6100" s="12">
        <f>IF(OR(LEFT(K6100,4)="LVAX",LEFT(K6100,6)="MV15AX",LEFT(K6100,4)="CTAX",LEFT(K6100,2)="W|"),2*N6100*O6100,0)</f>
        <v/>
      </c>
      <c r="Z6100" s="12" t="inlineStr">
        <is>
          <t>VD 3.0 %</t>
        </is>
      </c>
      <c r="AA6100" s="12">
        <f>N6100*O6100</f>
        <v/>
      </c>
    </row>
    <row r="6101">
      <c r="A6101" s="12" t="inlineStr">
        <is>
          <t>C-P-0019</t>
        </is>
      </c>
      <c r="B6101" s="12" t="inlineStr">
        <is>
          <t>C</t>
        </is>
      </c>
      <c r="C6101" s="12" t="inlineStr">
        <is>
          <t>Grid interface</t>
        </is>
      </c>
      <c r="D6101" s="12" t="inlineStr">
        <is>
          <t>480 V welding receptacle 4</t>
        </is>
      </c>
      <c r="E6101" s="12" t="inlineStr">
        <is>
          <t>MCC-C1</t>
        </is>
      </c>
      <c r="F6101" s="12" t="inlineStr">
        <is>
          <t>R1 MCC-C1</t>
        </is>
      </c>
      <c r="G6101" s="12" t="inlineStr"/>
      <c r="H6101" s="12" t="inlineStr">
        <is>
          <t xml:space="preserve">CO2 compression 3 x ~19 MW + dehydration: rooftop HVAC, exhaust fans, </t>
        </is>
      </c>
      <c r="I6101" s="12" t="inlineStr">
        <is>
          <t>LV 600 V</t>
        </is>
      </c>
      <c r="J6101" s="12" t="inlineStr">
        <is>
          <t>Type TC-ER 600 V 3/C Cu XHHW-2 + ground, PVC jacket</t>
        </is>
      </c>
      <c r="K6101" s="12" t="inlineStr">
        <is>
          <t>LV|3/C+G|250</t>
        </is>
      </c>
      <c r="L6101" s="12" t="inlineStr">
        <is>
          <t>3/C+G</t>
        </is>
      </c>
      <c r="M6101" s="12" t="inlineStr">
        <is>
          <t>250 kcmil</t>
        </is>
      </c>
      <c r="N6101" s="12" t="n">
        <v>1</v>
      </c>
      <c r="O6101" s="12" t="n">
        <v>1</v>
      </c>
      <c r="P6101" s="12" t="n">
        <v>480</v>
      </c>
      <c r="Q6101" s="12" t="n">
        <v>60</v>
      </c>
      <c r="R6101" s="12" t="n">
        <v>76</v>
      </c>
      <c r="S6101" s="12" t="inlineStr">
        <is>
          <t>Tray</t>
        </is>
      </c>
      <c r="T6101" s="16" t="n">
        <v>1744</v>
      </c>
      <c r="U6101" s="16" t="n">
        <v>161</v>
      </c>
      <c r="V6101" s="16">
        <f>ROUNDUP((T6101+U6101+2*'Read Me'!$B$13)*(1+'Read Me'!$B$12),-1)</f>
        <v/>
      </c>
      <c r="W6101" s="16">
        <f>V6101*N6101*O6101</f>
        <v/>
      </c>
      <c r="X6101" s="12">
        <f>IF(LEFT(I6101,2)="MV",2*N6101*IF(L6101="1/C",O6101,1),0)</f>
        <v/>
      </c>
      <c r="Y6101" s="12">
        <f>IF(OR(LEFT(K6101,4)="LVAX",LEFT(K6101,6)="MV15AX",LEFT(K6101,4)="CTAX",LEFT(K6101,2)="W|"),2*N6101*O6101,0)</f>
        <v/>
      </c>
      <c r="Z6101" s="12" t="inlineStr">
        <is>
          <t>VD 3.0 %</t>
        </is>
      </c>
      <c r="AA6101" s="12">
        <f>N6101*O6101</f>
        <v/>
      </c>
    </row>
    <row r="6102">
      <c r="A6102" s="12" t="inlineStr">
        <is>
          <t>C-P-0020</t>
        </is>
      </c>
      <c r="B6102" s="12" t="inlineStr">
        <is>
          <t>C</t>
        </is>
      </c>
      <c r="C6102" s="12" t="inlineStr">
        <is>
          <t>Grid interface</t>
        </is>
      </c>
      <c r="D6102" s="12" t="inlineStr">
        <is>
          <t>Motor 1 of 2, 250 kW</t>
        </is>
      </c>
      <c r="E6102" s="12" t="inlineStr">
        <is>
          <t>MCC-C1</t>
        </is>
      </c>
      <c r="F6102" s="12" t="inlineStr">
        <is>
          <t>R1 MCC-C1</t>
        </is>
      </c>
      <c r="G6102" s="12" t="inlineStr"/>
      <c r="H6102" s="12" t="inlineStr">
        <is>
          <t>Small-bore piping: instrument air, service water, nitrogen, HRSG drain</t>
        </is>
      </c>
      <c r="I6102" s="12" t="inlineStr">
        <is>
          <t>LV 600 V</t>
        </is>
      </c>
      <c r="J6102" s="12" t="inlineStr">
        <is>
          <t>Type TC-ER 600 V 3/C Cu XHHW-2 + ground, PVC jacket</t>
        </is>
      </c>
      <c r="K6102" s="12" t="inlineStr">
        <is>
          <t>LV|3/C+G|250</t>
        </is>
      </c>
      <c r="L6102" s="12" t="inlineStr">
        <is>
          <t>3/C+G</t>
        </is>
      </c>
      <c r="M6102" s="12" t="inlineStr">
        <is>
          <t>250 kcmil</t>
        </is>
      </c>
      <c r="N6102" s="12" t="n">
        <v>2</v>
      </c>
      <c r="O6102" s="12" t="n">
        <v>1</v>
      </c>
      <c r="P6102" s="12" t="n">
        <v>480</v>
      </c>
      <c r="Q6102" s="12" t="n">
        <v>250</v>
      </c>
      <c r="R6102" s="12" t="n">
        <v>353.8</v>
      </c>
      <c r="S6102" s="12" t="inlineStr">
        <is>
          <t>Tray</t>
        </is>
      </c>
      <c r="T6102" s="16" t="n">
        <v>614</v>
      </c>
      <c r="U6102" s="16" t="n">
        <v>145</v>
      </c>
      <c r="V6102" s="16">
        <f>ROUNDUP((T6102+U6102+2*'Read Me'!$B$13)*(1+'Read Me'!$B$12),-1)</f>
        <v/>
      </c>
      <c r="W6102" s="16">
        <f>V6102*N6102*O6102</f>
        <v/>
      </c>
      <c r="X6102" s="12">
        <f>IF(LEFT(I6102,2)="MV",2*N6102*IF(L6102="1/C",O6102,1),0)</f>
        <v/>
      </c>
      <c r="Y6102" s="12">
        <f>IF(OR(LEFT(K6102,4)="LVAX",LEFT(K6102,6)="MV15AX",LEFT(K6102,4)="CTAX",LEFT(K6102,2)="W|"),2*N6102*O6102,0)</f>
        <v/>
      </c>
      <c r="Z6102" s="12" t="inlineStr">
        <is>
          <t>VD 2.7 %</t>
        </is>
      </c>
      <c r="AA6102" s="12">
        <f>N6102*O6102</f>
        <v/>
      </c>
    </row>
    <row r="6103">
      <c r="A6103" s="12" t="inlineStr">
        <is>
          <t>C-P-0021</t>
        </is>
      </c>
      <c r="B6103" s="12" t="inlineStr">
        <is>
          <t>C</t>
        </is>
      </c>
      <c r="C6103" s="12" t="inlineStr">
        <is>
          <t>Grid interface</t>
        </is>
      </c>
      <c r="D6103" s="12" t="inlineStr">
        <is>
          <t>Motor 2 of 2, 250 kW</t>
        </is>
      </c>
      <c r="E6103" s="12" t="inlineStr">
        <is>
          <t>MCC-C1</t>
        </is>
      </c>
      <c r="F6103" s="12" t="inlineStr">
        <is>
          <t>R1 MCC-C1</t>
        </is>
      </c>
      <c r="G6103" s="12" t="inlineStr"/>
      <c r="H6103" s="12" t="inlineStr">
        <is>
          <t>Small-bore piping: instrument air, service water, nitrogen, HRSG drain</t>
        </is>
      </c>
      <c r="I6103" s="12" t="inlineStr">
        <is>
          <t>LV 600 V</t>
        </is>
      </c>
      <c r="J6103" s="12" t="inlineStr">
        <is>
          <t>Type TC-ER 600 V 3/C Cu XHHW-2 + ground, PVC jacket</t>
        </is>
      </c>
      <c r="K6103" s="12" t="inlineStr">
        <is>
          <t>LV|3/C+G|250</t>
        </is>
      </c>
      <c r="L6103" s="12" t="inlineStr">
        <is>
          <t>3/C+G</t>
        </is>
      </c>
      <c r="M6103" s="12" t="inlineStr">
        <is>
          <t>250 kcmil</t>
        </is>
      </c>
      <c r="N6103" s="12" t="n">
        <v>2</v>
      </c>
      <c r="O6103" s="12" t="n">
        <v>1</v>
      </c>
      <c r="P6103" s="12" t="n">
        <v>480</v>
      </c>
      <c r="Q6103" s="12" t="n">
        <v>250</v>
      </c>
      <c r="R6103" s="12" t="n">
        <v>353.8</v>
      </c>
      <c r="S6103" s="12" t="inlineStr">
        <is>
          <t>Tray</t>
        </is>
      </c>
      <c r="T6103" s="16" t="n">
        <v>614</v>
      </c>
      <c r="U6103" s="16" t="n">
        <v>145</v>
      </c>
      <c r="V6103" s="16">
        <f>ROUNDUP((T6103+U6103+2*'Read Me'!$B$13)*(1+'Read Me'!$B$12),-1)</f>
        <v/>
      </c>
      <c r="W6103" s="16">
        <f>V6103*N6103*O6103</f>
        <v/>
      </c>
      <c r="X6103" s="12">
        <f>IF(LEFT(I6103,2)="MV",2*N6103*IF(L6103="1/C",O6103,1),0)</f>
        <v/>
      </c>
      <c r="Y6103" s="12">
        <f>IF(OR(LEFT(K6103,4)="LVAX",LEFT(K6103,6)="MV15AX",LEFT(K6103,4)="CTAX",LEFT(K6103,2)="W|"),2*N6103*O6103,0)</f>
        <v/>
      </c>
      <c r="Z6103" s="12" t="inlineStr">
        <is>
          <t>VD 2.7 %</t>
        </is>
      </c>
      <c r="AA6103" s="12">
        <f>N6103*O6103</f>
        <v/>
      </c>
    </row>
    <row r="6104">
      <c r="A6104" s="12" t="inlineStr">
        <is>
          <t>C-P-0022</t>
        </is>
      </c>
      <c r="B6104" s="12" t="inlineStr">
        <is>
          <t>C</t>
        </is>
      </c>
      <c r="C6104" s="12" t="inlineStr">
        <is>
          <t>Grid interface</t>
        </is>
      </c>
      <c r="D6104" s="12" t="inlineStr">
        <is>
          <t>Motor 1 of 8, 15 kW</t>
        </is>
      </c>
      <c r="E6104" s="12" t="inlineStr">
        <is>
          <t>MCC-C1</t>
        </is>
      </c>
      <c r="F6104" s="12" t="inlineStr">
        <is>
          <t>R1 MCC-C1</t>
        </is>
      </c>
      <c r="G6104" s="12" t="inlineStr"/>
      <c r="H6104" s="12" t="inlineStr">
        <is>
          <t>Wastewater treatment: rooftop HVAC, exhaust fans, vents</t>
        </is>
      </c>
      <c r="I6104" s="12" t="inlineStr">
        <is>
          <t>LV 600 V</t>
        </is>
      </c>
      <c r="J6104" s="12" t="inlineStr">
        <is>
          <t>Type TC-ER 600 V 3/C Cu XHHW-2 + ground, PVC jacket</t>
        </is>
      </c>
      <c r="K6104" s="12" t="inlineStr">
        <is>
          <t>LV|3/C+G|1</t>
        </is>
      </c>
      <c r="L6104" s="12" t="inlineStr">
        <is>
          <t>3/C+G</t>
        </is>
      </c>
      <c r="M6104" s="12" t="inlineStr">
        <is>
          <t>1</t>
        </is>
      </c>
      <c r="N6104" s="12" t="n">
        <v>1</v>
      </c>
      <c r="O6104" s="12" t="n">
        <v>1</v>
      </c>
      <c r="P6104" s="12" t="n">
        <v>480</v>
      </c>
      <c r="Q6104" s="12" t="n">
        <v>15</v>
      </c>
      <c r="R6104" s="12" t="n">
        <v>21.2</v>
      </c>
      <c r="S6104" s="12" t="inlineStr">
        <is>
          <t>Duct bank</t>
        </is>
      </c>
      <c r="T6104" s="16" t="n">
        <v>1859</v>
      </c>
      <c r="U6104" s="16" t="n">
        <v>228</v>
      </c>
      <c r="V6104" s="16">
        <f>ROUNDUP((T6104+U6104+2*'Read Me'!$B$13)*(1+'Read Me'!$B$12),-1)</f>
        <v/>
      </c>
      <c r="W6104" s="16">
        <f>V6104*N6104*O6104</f>
        <v/>
      </c>
      <c r="X6104" s="12">
        <f>IF(LEFT(I6104,2)="MV",2*N6104*IF(L6104="1/C",O6104,1),0)</f>
        <v/>
      </c>
      <c r="Y6104" s="12">
        <f>IF(OR(LEFT(K6104,4)="LVAX",LEFT(K6104,6)="MV15AX",LEFT(K6104,4)="CTAX",LEFT(K6104,2)="W|"),2*N6104*O6104,0)</f>
        <v/>
      </c>
      <c r="Z6104" s="12" t="inlineStr">
        <is>
          <t>VD 2.7 %</t>
        </is>
      </c>
      <c r="AA6104" s="12">
        <f>N6104*O6104</f>
        <v/>
      </c>
    </row>
    <row r="6105">
      <c r="A6105" s="12" t="inlineStr">
        <is>
          <t>C-P-0023</t>
        </is>
      </c>
      <c r="B6105" s="12" t="inlineStr">
        <is>
          <t>C</t>
        </is>
      </c>
      <c r="C6105" s="12" t="inlineStr">
        <is>
          <t>Grid interface</t>
        </is>
      </c>
      <c r="D6105" s="12" t="inlineStr">
        <is>
          <t>Motor 2 of 8, 15 kW</t>
        </is>
      </c>
      <c r="E6105" s="12" t="inlineStr">
        <is>
          <t>MCC-C1</t>
        </is>
      </c>
      <c r="F6105" s="12" t="inlineStr">
        <is>
          <t>R1 MCC-C1</t>
        </is>
      </c>
      <c r="G6105" s="12" t="inlineStr"/>
      <c r="H6105" s="12" t="inlineStr">
        <is>
          <t>Wastewater treatment: rooftop HVAC, exhaust fans, vents</t>
        </is>
      </c>
      <c r="I6105" s="12" t="inlineStr">
        <is>
          <t>LV 600 V</t>
        </is>
      </c>
      <c r="J6105" s="12" t="inlineStr">
        <is>
          <t>Type TC-ER 600 V 3/C Cu XHHW-2 + ground, PVC jacket</t>
        </is>
      </c>
      <c r="K6105" s="12" t="inlineStr">
        <is>
          <t>LV|3/C+G|1</t>
        </is>
      </c>
      <c r="L6105" s="12" t="inlineStr">
        <is>
          <t>3/C+G</t>
        </is>
      </c>
      <c r="M6105" s="12" t="inlineStr">
        <is>
          <t>1</t>
        </is>
      </c>
      <c r="N6105" s="12" t="n">
        <v>1</v>
      </c>
      <c r="O6105" s="12" t="n">
        <v>1</v>
      </c>
      <c r="P6105" s="12" t="n">
        <v>480</v>
      </c>
      <c r="Q6105" s="12" t="n">
        <v>15</v>
      </c>
      <c r="R6105" s="12" t="n">
        <v>21.2</v>
      </c>
      <c r="S6105" s="12" t="inlineStr">
        <is>
          <t>Duct bank</t>
        </is>
      </c>
      <c r="T6105" s="16" t="n">
        <v>1859</v>
      </c>
      <c r="U6105" s="16" t="n">
        <v>228</v>
      </c>
      <c r="V6105" s="16">
        <f>ROUNDUP((T6105+U6105+2*'Read Me'!$B$13)*(1+'Read Me'!$B$12),-1)</f>
        <v/>
      </c>
      <c r="W6105" s="16">
        <f>V6105*N6105*O6105</f>
        <v/>
      </c>
      <c r="X6105" s="12">
        <f>IF(LEFT(I6105,2)="MV",2*N6105*IF(L6105="1/C",O6105,1),0)</f>
        <v/>
      </c>
      <c r="Y6105" s="12">
        <f>IF(OR(LEFT(K6105,4)="LVAX",LEFT(K6105,6)="MV15AX",LEFT(K6105,4)="CTAX",LEFT(K6105,2)="W|"),2*N6105*O6105,0)</f>
        <v/>
      </c>
      <c r="Z6105" s="12" t="inlineStr">
        <is>
          <t>VD 2.7 %</t>
        </is>
      </c>
      <c r="AA6105" s="12">
        <f>N6105*O6105</f>
        <v/>
      </c>
    </row>
    <row r="6106">
      <c r="A6106" s="12" t="inlineStr">
        <is>
          <t>C-P-0024</t>
        </is>
      </c>
      <c r="B6106" s="12" t="inlineStr">
        <is>
          <t>C</t>
        </is>
      </c>
      <c r="C6106" s="12" t="inlineStr">
        <is>
          <t>Grid interface</t>
        </is>
      </c>
      <c r="D6106" s="12" t="inlineStr">
        <is>
          <t>Motor 3 of 8, 15 kW</t>
        </is>
      </c>
      <c r="E6106" s="12" t="inlineStr">
        <is>
          <t>MCC-C1</t>
        </is>
      </c>
      <c r="F6106" s="12" t="inlineStr">
        <is>
          <t>R1 MCC-C1</t>
        </is>
      </c>
      <c r="G6106" s="12" t="inlineStr"/>
      <c r="H6106" s="12" t="inlineStr">
        <is>
          <t>Wastewater treatment: rooftop HVAC, exhaust fans, vents</t>
        </is>
      </c>
      <c r="I6106" s="12" t="inlineStr">
        <is>
          <t>LV 600 V</t>
        </is>
      </c>
      <c r="J6106" s="12" t="inlineStr">
        <is>
          <t>Type TC-ER 600 V 3/C Cu XHHW-2 + ground, PVC jacket</t>
        </is>
      </c>
      <c r="K6106" s="12" t="inlineStr">
        <is>
          <t>LV|3/C+G|1</t>
        </is>
      </c>
      <c r="L6106" s="12" t="inlineStr">
        <is>
          <t>3/C+G</t>
        </is>
      </c>
      <c r="M6106" s="12" t="inlineStr">
        <is>
          <t>1</t>
        </is>
      </c>
      <c r="N6106" s="12" t="n">
        <v>1</v>
      </c>
      <c r="O6106" s="12" t="n">
        <v>1</v>
      </c>
      <c r="P6106" s="12" t="n">
        <v>480</v>
      </c>
      <c r="Q6106" s="12" t="n">
        <v>15</v>
      </c>
      <c r="R6106" s="12" t="n">
        <v>21.2</v>
      </c>
      <c r="S6106" s="12" t="inlineStr">
        <is>
          <t>Duct bank</t>
        </is>
      </c>
      <c r="T6106" s="16" t="n">
        <v>1859</v>
      </c>
      <c r="U6106" s="16" t="n">
        <v>228</v>
      </c>
      <c r="V6106" s="16">
        <f>ROUNDUP((T6106+U6106+2*'Read Me'!$B$13)*(1+'Read Me'!$B$12),-1)</f>
        <v/>
      </c>
      <c r="W6106" s="16">
        <f>V6106*N6106*O6106</f>
        <v/>
      </c>
      <c r="X6106" s="12">
        <f>IF(LEFT(I6106,2)="MV",2*N6106*IF(L6106="1/C",O6106,1),0)</f>
        <v/>
      </c>
      <c r="Y6106" s="12">
        <f>IF(OR(LEFT(K6106,4)="LVAX",LEFT(K6106,6)="MV15AX",LEFT(K6106,4)="CTAX",LEFT(K6106,2)="W|"),2*N6106*O6106,0)</f>
        <v/>
      </c>
      <c r="Z6106" s="12" t="inlineStr">
        <is>
          <t>VD 2.7 %</t>
        </is>
      </c>
      <c r="AA6106" s="12">
        <f>N6106*O6106</f>
        <v/>
      </c>
    </row>
    <row r="6107">
      <c r="A6107" s="12" t="inlineStr">
        <is>
          <t>C-P-0025</t>
        </is>
      </c>
      <c r="B6107" s="12" t="inlineStr">
        <is>
          <t>C</t>
        </is>
      </c>
      <c r="C6107" s="12" t="inlineStr">
        <is>
          <t>Grid interface</t>
        </is>
      </c>
      <c r="D6107" s="12" t="inlineStr">
        <is>
          <t>Motor 4 of 8, 15 kW</t>
        </is>
      </c>
      <c r="E6107" s="12" t="inlineStr">
        <is>
          <t>MCC-C1</t>
        </is>
      </c>
      <c r="F6107" s="12" t="inlineStr">
        <is>
          <t>R1 MCC-C1</t>
        </is>
      </c>
      <c r="G6107" s="12" t="inlineStr"/>
      <c r="H6107" s="12" t="inlineStr">
        <is>
          <t>Wastewater treatment: rooftop HVAC, exhaust fans, vents</t>
        </is>
      </c>
      <c r="I6107" s="12" t="inlineStr">
        <is>
          <t>LV 600 V</t>
        </is>
      </c>
      <c r="J6107" s="12" t="inlineStr">
        <is>
          <t>Type TC-ER 600 V 3/C Cu XHHW-2 + ground, PVC jacket</t>
        </is>
      </c>
      <c r="K6107" s="12" t="inlineStr">
        <is>
          <t>LV|3/C+G|1</t>
        </is>
      </c>
      <c r="L6107" s="12" t="inlineStr">
        <is>
          <t>3/C+G</t>
        </is>
      </c>
      <c r="M6107" s="12" t="inlineStr">
        <is>
          <t>1</t>
        </is>
      </c>
      <c r="N6107" s="12" t="n">
        <v>1</v>
      </c>
      <c r="O6107" s="12" t="n">
        <v>1</v>
      </c>
      <c r="P6107" s="12" t="n">
        <v>480</v>
      </c>
      <c r="Q6107" s="12" t="n">
        <v>15</v>
      </c>
      <c r="R6107" s="12" t="n">
        <v>21.2</v>
      </c>
      <c r="S6107" s="12" t="inlineStr">
        <is>
          <t>Duct bank</t>
        </is>
      </c>
      <c r="T6107" s="16" t="n">
        <v>1859</v>
      </c>
      <c r="U6107" s="16" t="n">
        <v>228</v>
      </c>
      <c r="V6107" s="16">
        <f>ROUNDUP((T6107+U6107+2*'Read Me'!$B$13)*(1+'Read Me'!$B$12),-1)</f>
        <v/>
      </c>
      <c r="W6107" s="16">
        <f>V6107*N6107*O6107</f>
        <v/>
      </c>
      <c r="X6107" s="12">
        <f>IF(LEFT(I6107,2)="MV",2*N6107*IF(L6107="1/C",O6107,1),0)</f>
        <v/>
      </c>
      <c r="Y6107" s="12">
        <f>IF(OR(LEFT(K6107,4)="LVAX",LEFT(K6107,6)="MV15AX",LEFT(K6107,4)="CTAX",LEFT(K6107,2)="W|"),2*N6107*O6107,0)</f>
        <v/>
      </c>
      <c r="Z6107" s="12" t="inlineStr">
        <is>
          <t>VD 2.7 %</t>
        </is>
      </c>
      <c r="AA6107" s="12">
        <f>N6107*O6107</f>
        <v/>
      </c>
    </row>
    <row r="6108">
      <c r="A6108" s="12" t="inlineStr">
        <is>
          <t>C-P-0026</t>
        </is>
      </c>
      <c r="B6108" s="12" t="inlineStr">
        <is>
          <t>C</t>
        </is>
      </c>
      <c r="C6108" s="12" t="inlineStr">
        <is>
          <t>Grid interface</t>
        </is>
      </c>
      <c r="D6108" s="12" t="inlineStr">
        <is>
          <t>Motor 5 of 8, 15 kW</t>
        </is>
      </c>
      <c r="E6108" s="12" t="inlineStr">
        <is>
          <t>MCC-C1</t>
        </is>
      </c>
      <c r="F6108" s="12" t="inlineStr">
        <is>
          <t>R1 MCC-C1</t>
        </is>
      </c>
      <c r="G6108" s="12" t="inlineStr"/>
      <c r="H6108" s="12" t="inlineStr">
        <is>
          <t>Wastewater treatment: rooftop HVAC, exhaust fans, vents</t>
        </is>
      </c>
      <c r="I6108" s="12" t="inlineStr">
        <is>
          <t>LV 600 V</t>
        </is>
      </c>
      <c r="J6108" s="12" t="inlineStr">
        <is>
          <t>Type TC-ER 600 V 3/C Cu XHHW-2 + ground, PVC jacket</t>
        </is>
      </c>
      <c r="K6108" s="12" t="inlineStr">
        <is>
          <t>LV|3/C+G|1</t>
        </is>
      </c>
      <c r="L6108" s="12" t="inlineStr">
        <is>
          <t>3/C+G</t>
        </is>
      </c>
      <c r="M6108" s="12" t="inlineStr">
        <is>
          <t>1</t>
        </is>
      </c>
      <c r="N6108" s="12" t="n">
        <v>1</v>
      </c>
      <c r="O6108" s="12" t="n">
        <v>1</v>
      </c>
      <c r="P6108" s="12" t="n">
        <v>480</v>
      </c>
      <c r="Q6108" s="12" t="n">
        <v>15</v>
      </c>
      <c r="R6108" s="12" t="n">
        <v>21.2</v>
      </c>
      <c r="S6108" s="12" t="inlineStr">
        <is>
          <t>Duct bank</t>
        </is>
      </c>
      <c r="T6108" s="16" t="n">
        <v>1859</v>
      </c>
      <c r="U6108" s="16" t="n">
        <v>228</v>
      </c>
      <c r="V6108" s="16">
        <f>ROUNDUP((T6108+U6108+2*'Read Me'!$B$13)*(1+'Read Me'!$B$12),-1)</f>
        <v/>
      </c>
      <c r="W6108" s="16">
        <f>V6108*N6108*O6108</f>
        <v/>
      </c>
      <c r="X6108" s="12">
        <f>IF(LEFT(I6108,2)="MV",2*N6108*IF(L6108="1/C",O6108,1),0)</f>
        <v/>
      </c>
      <c r="Y6108" s="12">
        <f>IF(OR(LEFT(K6108,4)="LVAX",LEFT(K6108,6)="MV15AX",LEFT(K6108,4)="CTAX",LEFT(K6108,2)="W|"),2*N6108*O6108,0)</f>
        <v/>
      </c>
      <c r="Z6108" s="12" t="inlineStr">
        <is>
          <t>VD 2.7 %</t>
        </is>
      </c>
      <c r="AA6108" s="12">
        <f>N6108*O6108</f>
        <v/>
      </c>
    </row>
    <row r="6109">
      <c r="A6109" s="12" t="inlineStr">
        <is>
          <t>C-P-0027</t>
        </is>
      </c>
      <c r="B6109" s="12" t="inlineStr">
        <is>
          <t>C</t>
        </is>
      </c>
      <c r="C6109" s="12" t="inlineStr">
        <is>
          <t>Grid interface</t>
        </is>
      </c>
      <c r="D6109" s="12" t="inlineStr">
        <is>
          <t>Motor 6 of 8, 15 kW</t>
        </is>
      </c>
      <c r="E6109" s="12" t="inlineStr">
        <is>
          <t>MCC-C1</t>
        </is>
      </c>
      <c r="F6109" s="12" t="inlineStr">
        <is>
          <t>R1 MCC-C1</t>
        </is>
      </c>
      <c r="G6109" s="12" t="inlineStr"/>
      <c r="H6109" s="12" t="inlineStr">
        <is>
          <t>Wastewater treatment: rooftop HVAC, exhaust fans, vents</t>
        </is>
      </c>
      <c r="I6109" s="12" t="inlineStr">
        <is>
          <t>LV 600 V</t>
        </is>
      </c>
      <c r="J6109" s="12" t="inlineStr">
        <is>
          <t>Type TC-ER 600 V 3/C Cu XHHW-2 + ground, PVC jacket</t>
        </is>
      </c>
      <c r="K6109" s="12" t="inlineStr">
        <is>
          <t>LV|3/C+G|1</t>
        </is>
      </c>
      <c r="L6109" s="12" t="inlineStr">
        <is>
          <t>3/C+G</t>
        </is>
      </c>
      <c r="M6109" s="12" t="inlineStr">
        <is>
          <t>1</t>
        </is>
      </c>
      <c r="N6109" s="12" t="n">
        <v>1</v>
      </c>
      <c r="O6109" s="12" t="n">
        <v>1</v>
      </c>
      <c r="P6109" s="12" t="n">
        <v>480</v>
      </c>
      <c r="Q6109" s="12" t="n">
        <v>15</v>
      </c>
      <c r="R6109" s="12" t="n">
        <v>21.2</v>
      </c>
      <c r="S6109" s="12" t="inlineStr">
        <is>
          <t>Duct bank</t>
        </is>
      </c>
      <c r="T6109" s="16" t="n">
        <v>1859</v>
      </c>
      <c r="U6109" s="16" t="n">
        <v>228</v>
      </c>
      <c r="V6109" s="16">
        <f>ROUNDUP((T6109+U6109+2*'Read Me'!$B$13)*(1+'Read Me'!$B$12),-1)</f>
        <v/>
      </c>
      <c r="W6109" s="16">
        <f>V6109*N6109*O6109</f>
        <v/>
      </c>
      <c r="X6109" s="12">
        <f>IF(LEFT(I6109,2)="MV",2*N6109*IF(L6109="1/C",O6109,1),0)</f>
        <v/>
      </c>
      <c r="Y6109" s="12">
        <f>IF(OR(LEFT(K6109,4)="LVAX",LEFT(K6109,6)="MV15AX",LEFT(K6109,4)="CTAX",LEFT(K6109,2)="W|"),2*N6109*O6109,0)</f>
        <v/>
      </c>
      <c r="Z6109" s="12" t="inlineStr">
        <is>
          <t>VD 2.7 %</t>
        </is>
      </c>
      <c r="AA6109" s="12">
        <f>N6109*O6109</f>
        <v/>
      </c>
    </row>
    <row r="6110">
      <c r="A6110" s="12" t="inlineStr">
        <is>
          <t>C-P-0028</t>
        </is>
      </c>
      <c r="B6110" s="12" t="inlineStr">
        <is>
          <t>C</t>
        </is>
      </c>
      <c r="C6110" s="12" t="inlineStr">
        <is>
          <t>Grid interface</t>
        </is>
      </c>
      <c r="D6110" s="12" t="inlineStr">
        <is>
          <t>Motor 7 of 8, 15 kW</t>
        </is>
      </c>
      <c r="E6110" s="12" t="inlineStr">
        <is>
          <t>MCC-C1</t>
        </is>
      </c>
      <c r="F6110" s="12" t="inlineStr">
        <is>
          <t>R1 MCC-C1</t>
        </is>
      </c>
      <c r="G6110" s="12" t="inlineStr"/>
      <c r="H6110" s="12" t="inlineStr">
        <is>
          <t>Wastewater treatment: rooftop HVAC, exhaust fans, vents</t>
        </is>
      </c>
      <c r="I6110" s="12" t="inlineStr">
        <is>
          <t>LV 600 V</t>
        </is>
      </c>
      <c r="J6110" s="12" t="inlineStr">
        <is>
          <t>Type TC-ER 600 V 3/C Cu XHHW-2 + ground, PVC jacket</t>
        </is>
      </c>
      <c r="K6110" s="12" t="inlineStr">
        <is>
          <t>LV|3/C+G|1</t>
        </is>
      </c>
      <c r="L6110" s="12" t="inlineStr">
        <is>
          <t>3/C+G</t>
        </is>
      </c>
      <c r="M6110" s="12" t="inlineStr">
        <is>
          <t>1</t>
        </is>
      </c>
      <c r="N6110" s="12" t="n">
        <v>1</v>
      </c>
      <c r="O6110" s="12" t="n">
        <v>1</v>
      </c>
      <c r="P6110" s="12" t="n">
        <v>480</v>
      </c>
      <c r="Q6110" s="12" t="n">
        <v>15</v>
      </c>
      <c r="R6110" s="12" t="n">
        <v>21.2</v>
      </c>
      <c r="S6110" s="12" t="inlineStr">
        <is>
          <t>Duct bank</t>
        </is>
      </c>
      <c r="T6110" s="16" t="n">
        <v>1859</v>
      </c>
      <c r="U6110" s="16" t="n">
        <v>228</v>
      </c>
      <c r="V6110" s="16">
        <f>ROUNDUP((T6110+U6110+2*'Read Me'!$B$13)*(1+'Read Me'!$B$12),-1)</f>
        <v/>
      </c>
      <c r="W6110" s="16">
        <f>V6110*N6110*O6110</f>
        <v/>
      </c>
      <c r="X6110" s="12">
        <f>IF(LEFT(I6110,2)="MV",2*N6110*IF(L6110="1/C",O6110,1),0)</f>
        <v/>
      </c>
      <c r="Y6110" s="12">
        <f>IF(OR(LEFT(K6110,4)="LVAX",LEFT(K6110,6)="MV15AX",LEFT(K6110,4)="CTAX",LEFT(K6110,2)="W|"),2*N6110*O6110,0)</f>
        <v/>
      </c>
      <c r="Z6110" s="12" t="inlineStr">
        <is>
          <t>VD 2.7 %</t>
        </is>
      </c>
      <c r="AA6110" s="12">
        <f>N6110*O6110</f>
        <v/>
      </c>
    </row>
    <row r="6111">
      <c r="A6111" s="12" t="inlineStr">
        <is>
          <t>C-P-0029</t>
        </is>
      </c>
      <c r="B6111" s="12" t="inlineStr">
        <is>
          <t>C</t>
        </is>
      </c>
      <c r="C6111" s="12" t="inlineStr">
        <is>
          <t>Grid interface</t>
        </is>
      </c>
      <c r="D6111" s="12" t="inlineStr">
        <is>
          <t>Motor 8 of 8, 15 kW</t>
        </is>
      </c>
      <c r="E6111" s="12" t="inlineStr">
        <is>
          <t>MCC-C1</t>
        </is>
      </c>
      <c r="F6111" s="12" t="inlineStr">
        <is>
          <t>R1 MCC-C1</t>
        </is>
      </c>
      <c r="G6111" s="12" t="inlineStr"/>
      <c r="H6111" s="12" t="inlineStr">
        <is>
          <t>Wastewater treatment: rooftop HVAC, exhaust fans, vents</t>
        </is>
      </c>
      <c r="I6111" s="12" t="inlineStr">
        <is>
          <t>LV 600 V</t>
        </is>
      </c>
      <c r="J6111" s="12" t="inlineStr">
        <is>
          <t>Type TC-ER 600 V 3/C Cu XHHW-2 + ground, PVC jacket</t>
        </is>
      </c>
      <c r="K6111" s="12" t="inlineStr">
        <is>
          <t>LV|3/C+G|1</t>
        </is>
      </c>
      <c r="L6111" s="12" t="inlineStr">
        <is>
          <t>3/C+G</t>
        </is>
      </c>
      <c r="M6111" s="12" t="inlineStr">
        <is>
          <t>1</t>
        </is>
      </c>
      <c r="N6111" s="12" t="n">
        <v>1</v>
      </c>
      <c r="O6111" s="12" t="n">
        <v>1</v>
      </c>
      <c r="P6111" s="12" t="n">
        <v>480</v>
      </c>
      <c r="Q6111" s="12" t="n">
        <v>15</v>
      </c>
      <c r="R6111" s="12" t="n">
        <v>21.2</v>
      </c>
      <c r="S6111" s="12" t="inlineStr">
        <is>
          <t>Duct bank</t>
        </is>
      </c>
      <c r="T6111" s="16" t="n">
        <v>1859</v>
      </c>
      <c r="U6111" s="16" t="n">
        <v>228</v>
      </c>
      <c r="V6111" s="16">
        <f>ROUNDUP((T6111+U6111+2*'Read Me'!$B$13)*(1+'Read Me'!$B$12),-1)</f>
        <v/>
      </c>
      <c r="W6111" s="16">
        <f>V6111*N6111*O6111</f>
        <v/>
      </c>
      <c r="X6111" s="12">
        <f>IF(LEFT(I6111,2)="MV",2*N6111*IF(L6111="1/C",O6111,1),0)</f>
        <v/>
      </c>
      <c r="Y6111" s="12">
        <f>IF(OR(LEFT(K6111,4)="LVAX",LEFT(K6111,6)="MV15AX",LEFT(K6111,4)="CTAX",LEFT(K6111,2)="W|"),2*N6111*O6111,0)</f>
        <v/>
      </c>
      <c r="Z6111" s="12" t="inlineStr">
        <is>
          <t>VD 2.7 %</t>
        </is>
      </c>
      <c r="AA6111" s="12">
        <f>N6111*O6111</f>
        <v/>
      </c>
    </row>
    <row r="6112">
      <c r="A6112" s="12" t="inlineStr">
        <is>
          <t>C-P-0030</t>
        </is>
      </c>
      <c r="B6112" s="12" t="inlineStr">
        <is>
          <t>C</t>
        </is>
      </c>
      <c r="C6112" s="12" t="inlineStr">
        <is>
          <t>Grid interface</t>
        </is>
      </c>
      <c r="D6112" s="12" t="inlineStr">
        <is>
          <t>Motor 1 of 20, 15 kW</t>
        </is>
      </c>
      <c r="E6112" s="12" t="inlineStr">
        <is>
          <t>MCC-C1</t>
        </is>
      </c>
      <c r="F6112" s="12" t="inlineStr">
        <is>
          <t>R1 MCC-C1</t>
        </is>
      </c>
      <c r="G6112" s="12" t="inlineStr"/>
      <c r="H6112" s="12" t="inlineStr">
        <is>
          <t>Water treatment building: rooftop HVAC, exhaust fans, vents</t>
        </is>
      </c>
      <c r="I6112" s="12" t="inlineStr">
        <is>
          <t>LV 600 V</t>
        </is>
      </c>
      <c r="J6112" s="12" t="inlineStr">
        <is>
          <t>Type TC-ER 600 V 3/C Cu XHHW-2 + ground, PVC jacket</t>
        </is>
      </c>
      <c r="K6112" s="12" t="inlineStr">
        <is>
          <t>LV|3/C+G|2</t>
        </is>
      </c>
      <c r="L6112" s="12" t="inlineStr">
        <is>
          <t>3/C+G</t>
        </is>
      </c>
      <c r="M6112" s="12" t="inlineStr">
        <is>
          <t>2</t>
        </is>
      </c>
      <c r="N6112" s="12" t="n">
        <v>1</v>
      </c>
      <c r="O6112" s="12" t="n">
        <v>1</v>
      </c>
      <c r="P6112" s="12" t="n">
        <v>480</v>
      </c>
      <c r="Q6112" s="12" t="n">
        <v>15</v>
      </c>
      <c r="R6112" s="12" t="n">
        <v>21.2</v>
      </c>
      <c r="S6112" s="12" t="inlineStr">
        <is>
          <t>Duct bank</t>
        </is>
      </c>
      <c r="T6112" s="16" t="n">
        <v>1629</v>
      </c>
      <c r="U6112" s="16" t="n">
        <v>161</v>
      </c>
      <c r="V6112" s="16">
        <f>ROUNDUP((T6112+U6112+2*'Read Me'!$B$13)*(1+'Read Me'!$B$12),-1)</f>
        <v/>
      </c>
      <c r="W6112" s="16">
        <f>V6112*N6112*O6112</f>
        <v/>
      </c>
      <c r="X6112" s="12">
        <f>IF(LEFT(I6112,2)="MV",2*N6112*IF(L6112="1/C",O6112,1),0)</f>
        <v/>
      </c>
      <c r="Y6112" s="12">
        <f>IF(OR(LEFT(K6112,4)="LVAX",LEFT(K6112,6)="MV15AX",LEFT(K6112,4)="CTAX",LEFT(K6112,2)="W|"),2*N6112*O6112,0)</f>
        <v/>
      </c>
      <c r="Z6112" s="12" t="inlineStr">
        <is>
          <t>VD 2.9 %</t>
        </is>
      </c>
      <c r="AA6112" s="12">
        <f>N6112*O6112</f>
        <v/>
      </c>
    </row>
    <row r="6113">
      <c r="A6113" s="12" t="inlineStr">
        <is>
          <t>C-P-0031</t>
        </is>
      </c>
      <c r="B6113" s="12" t="inlineStr">
        <is>
          <t>C</t>
        </is>
      </c>
      <c r="C6113" s="12" t="inlineStr">
        <is>
          <t>Grid interface</t>
        </is>
      </c>
      <c r="D6113" s="12" t="inlineStr">
        <is>
          <t>Motor 2 of 20, 15 kW</t>
        </is>
      </c>
      <c r="E6113" s="12" t="inlineStr">
        <is>
          <t>MCC-C1</t>
        </is>
      </c>
      <c r="F6113" s="12" t="inlineStr">
        <is>
          <t>R1 MCC-C1</t>
        </is>
      </c>
      <c r="G6113" s="12" t="inlineStr"/>
      <c r="H6113" s="12" t="inlineStr">
        <is>
          <t>Water treatment building: rooftop HVAC, exhaust fans, vents</t>
        </is>
      </c>
      <c r="I6113" s="12" t="inlineStr">
        <is>
          <t>LV 600 V</t>
        </is>
      </c>
      <c r="J6113" s="12" t="inlineStr">
        <is>
          <t>Type TC-ER 600 V 3/C Cu XHHW-2 + ground, PVC jacket</t>
        </is>
      </c>
      <c r="K6113" s="12" t="inlineStr">
        <is>
          <t>LV|3/C+G|2</t>
        </is>
      </c>
      <c r="L6113" s="12" t="inlineStr">
        <is>
          <t>3/C+G</t>
        </is>
      </c>
      <c r="M6113" s="12" t="inlineStr">
        <is>
          <t>2</t>
        </is>
      </c>
      <c r="N6113" s="12" t="n">
        <v>1</v>
      </c>
      <c r="O6113" s="12" t="n">
        <v>1</v>
      </c>
      <c r="P6113" s="12" t="n">
        <v>480</v>
      </c>
      <c r="Q6113" s="12" t="n">
        <v>15</v>
      </c>
      <c r="R6113" s="12" t="n">
        <v>21.2</v>
      </c>
      <c r="S6113" s="12" t="inlineStr">
        <is>
          <t>Duct bank</t>
        </is>
      </c>
      <c r="T6113" s="16" t="n">
        <v>1629</v>
      </c>
      <c r="U6113" s="16" t="n">
        <v>161</v>
      </c>
      <c r="V6113" s="16">
        <f>ROUNDUP((T6113+U6113+2*'Read Me'!$B$13)*(1+'Read Me'!$B$12),-1)</f>
        <v/>
      </c>
      <c r="W6113" s="16">
        <f>V6113*N6113*O6113</f>
        <v/>
      </c>
      <c r="X6113" s="12">
        <f>IF(LEFT(I6113,2)="MV",2*N6113*IF(L6113="1/C",O6113,1),0)</f>
        <v/>
      </c>
      <c r="Y6113" s="12">
        <f>IF(OR(LEFT(K6113,4)="LVAX",LEFT(K6113,6)="MV15AX",LEFT(K6113,4)="CTAX",LEFT(K6113,2)="W|"),2*N6113*O6113,0)</f>
        <v/>
      </c>
      <c r="Z6113" s="12" t="inlineStr">
        <is>
          <t>VD 2.9 %</t>
        </is>
      </c>
      <c r="AA6113" s="12">
        <f>N6113*O6113</f>
        <v/>
      </c>
    </row>
    <row r="6114">
      <c r="A6114" s="12" t="inlineStr">
        <is>
          <t>C-P-0032</t>
        </is>
      </c>
      <c r="B6114" s="12" t="inlineStr">
        <is>
          <t>C</t>
        </is>
      </c>
      <c r="C6114" s="12" t="inlineStr">
        <is>
          <t>Grid interface</t>
        </is>
      </c>
      <c r="D6114" s="12" t="inlineStr">
        <is>
          <t>Motor 3 of 20, 15 kW</t>
        </is>
      </c>
      <c r="E6114" s="12" t="inlineStr">
        <is>
          <t>MCC-C1</t>
        </is>
      </c>
      <c r="F6114" s="12" t="inlineStr">
        <is>
          <t>R1 MCC-C1</t>
        </is>
      </c>
      <c r="G6114" s="12" t="inlineStr"/>
      <c r="H6114" s="12" t="inlineStr">
        <is>
          <t>Water treatment building: rooftop HVAC, exhaust fans, vents</t>
        </is>
      </c>
      <c r="I6114" s="12" t="inlineStr">
        <is>
          <t>LV 600 V</t>
        </is>
      </c>
      <c r="J6114" s="12" t="inlineStr">
        <is>
          <t>Type TC-ER 600 V 3/C Cu XHHW-2 + ground, PVC jacket</t>
        </is>
      </c>
      <c r="K6114" s="12" t="inlineStr">
        <is>
          <t>LV|3/C+G|2</t>
        </is>
      </c>
      <c r="L6114" s="12" t="inlineStr">
        <is>
          <t>3/C+G</t>
        </is>
      </c>
      <c r="M6114" s="12" t="inlineStr">
        <is>
          <t>2</t>
        </is>
      </c>
      <c r="N6114" s="12" t="n">
        <v>1</v>
      </c>
      <c r="O6114" s="12" t="n">
        <v>1</v>
      </c>
      <c r="P6114" s="12" t="n">
        <v>480</v>
      </c>
      <c r="Q6114" s="12" t="n">
        <v>15</v>
      </c>
      <c r="R6114" s="12" t="n">
        <v>21.2</v>
      </c>
      <c r="S6114" s="12" t="inlineStr">
        <is>
          <t>Duct bank</t>
        </is>
      </c>
      <c r="T6114" s="16" t="n">
        <v>1629</v>
      </c>
      <c r="U6114" s="16" t="n">
        <v>161</v>
      </c>
      <c r="V6114" s="16">
        <f>ROUNDUP((T6114+U6114+2*'Read Me'!$B$13)*(1+'Read Me'!$B$12),-1)</f>
        <v/>
      </c>
      <c r="W6114" s="16">
        <f>V6114*N6114*O6114</f>
        <v/>
      </c>
      <c r="X6114" s="12">
        <f>IF(LEFT(I6114,2)="MV",2*N6114*IF(L6114="1/C",O6114,1),0)</f>
        <v/>
      </c>
      <c r="Y6114" s="12">
        <f>IF(OR(LEFT(K6114,4)="LVAX",LEFT(K6114,6)="MV15AX",LEFT(K6114,4)="CTAX",LEFT(K6114,2)="W|"),2*N6114*O6114,0)</f>
        <v/>
      </c>
      <c r="Z6114" s="12" t="inlineStr">
        <is>
          <t>VD 2.9 %</t>
        </is>
      </c>
      <c r="AA6114" s="12">
        <f>N6114*O6114</f>
        <v/>
      </c>
    </row>
    <row r="6115">
      <c r="A6115" s="12" t="inlineStr">
        <is>
          <t>C-P-0033</t>
        </is>
      </c>
      <c r="B6115" s="12" t="inlineStr">
        <is>
          <t>C</t>
        </is>
      </c>
      <c r="C6115" s="12" t="inlineStr">
        <is>
          <t>Grid interface</t>
        </is>
      </c>
      <c r="D6115" s="12" t="inlineStr">
        <is>
          <t>Motor 4 of 20, 15 kW</t>
        </is>
      </c>
      <c r="E6115" s="12" t="inlineStr">
        <is>
          <t>MCC-C1</t>
        </is>
      </c>
      <c r="F6115" s="12" t="inlineStr">
        <is>
          <t>R1 MCC-C1</t>
        </is>
      </c>
      <c r="G6115" s="12" t="inlineStr"/>
      <c r="H6115" s="12" t="inlineStr">
        <is>
          <t>Water treatment building: rooftop HVAC, exhaust fans, vents</t>
        </is>
      </c>
      <c r="I6115" s="12" t="inlineStr">
        <is>
          <t>LV 600 V</t>
        </is>
      </c>
      <c r="J6115" s="12" t="inlineStr">
        <is>
          <t>Type TC-ER 600 V 3/C Cu XHHW-2 + ground, PVC jacket</t>
        </is>
      </c>
      <c r="K6115" s="12" t="inlineStr">
        <is>
          <t>LV|3/C+G|2</t>
        </is>
      </c>
      <c r="L6115" s="12" t="inlineStr">
        <is>
          <t>3/C+G</t>
        </is>
      </c>
      <c r="M6115" s="12" t="inlineStr">
        <is>
          <t>2</t>
        </is>
      </c>
      <c r="N6115" s="12" t="n">
        <v>1</v>
      </c>
      <c r="O6115" s="12" t="n">
        <v>1</v>
      </c>
      <c r="P6115" s="12" t="n">
        <v>480</v>
      </c>
      <c r="Q6115" s="12" t="n">
        <v>15</v>
      </c>
      <c r="R6115" s="12" t="n">
        <v>21.2</v>
      </c>
      <c r="S6115" s="12" t="inlineStr">
        <is>
          <t>Duct bank</t>
        </is>
      </c>
      <c r="T6115" s="16" t="n">
        <v>1629</v>
      </c>
      <c r="U6115" s="16" t="n">
        <v>161</v>
      </c>
      <c r="V6115" s="16">
        <f>ROUNDUP((T6115+U6115+2*'Read Me'!$B$13)*(1+'Read Me'!$B$12),-1)</f>
        <v/>
      </c>
      <c r="W6115" s="16">
        <f>V6115*N6115*O6115</f>
        <v/>
      </c>
      <c r="X6115" s="12">
        <f>IF(LEFT(I6115,2)="MV",2*N6115*IF(L6115="1/C",O6115,1),0)</f>
        <v/>
      </c>
      <c r="Y6115" s="12">
        <f>IF(OR(LEFT(K6115,4)="LVAX",LEFT(K6115,6)="MV15AX",LEFT(K6115,4)="CTAX",LEFT(K6115,2)="W|"),2*N6115*O6115,0)</f>
        <v/>
      </c>
      <c r="Z6115" s="12" t="inlineStr">
        <is>
          <t>VD 2.9 %</t>
        </is>
      </c>
      <c r="AA6115" s="12">
        <f>N6115*O6115</f>
        <v/>
      </c>
    </row>
    <row r="6116">
      <c r="A6116" s="12" t="inlineStr">
        <is>
          <t>C-P-0034</t>
        </is>
      </c>
      <c r="B6116" s="12" t="inlineStr">
        <is>
          <t>C</t>
        </is>
      </c>
      <c r="C6116" s="12" t="inlineStr">
        <is>
          <t>Grid interface</t>
        </is>
      </c>
      <c r="D6116" s="12" t="inlineStr">
        <is>
          <t>Motor 5 of 20, 15 kW</t>
        </is>
      </c>
      <c r="E6116" s="12" t="inlineStr">
        <is>
          <t>MCC-C1</t>
        </is>
      </c>
      <c r="F6116" s="12" t="inlineStr">
        <is>
          <t>R1 MCC-C1</t>
        </is>
      </c>
      <c r="G6116" s="12" t="inlineStr"/>
      <c r="H6116" s="12" t="inlineStr">
        <is>
          <t>Water treatment building: rooftop HVAC, exhaust fans, vents</t>
        </is>
      </c>
      <c r="I6116" s="12" t="inlineStr">
        <is>
          <t>LV 600 V</t>
        </is>
      </c>
      <c r="J6116" s="12" t="inlineStr">
        <is>
          <t>Type TC-ER 600 V 3/C Cu XHHW-2 + ground, PVC jacket</t>
        </is>
      </c>
      <c r="K6116" s="12" t="inlineStr">
        <is>
          <t>LV|3/C+G|2</t>
        </is>
      </c>
      <c r="L6116" s="12" t="inlineStr">
        <is>
          <t>3/C+G</t>
        </is>
      </c>
      <c r="M6116" s="12" t="inlineStr">
        <is>
          <t>2</t>
        </is>
      </c>
      <c r="N6116" s="12" t="n">
        <v>1</v>
      </c>
      <c r="O6116" s="12" t="n">
        <v>1</v>
      </c>
      <c r="P6116" s="12" t="n">
        <v>480</v>
      </c>
      <c r="Q6116" s="12" t="n">
        <v>15</v>
      </c>
      <c r="R6116" s="12" t="n">
        <v>21.2</v>
      </c>
      <c r="S6116" s="12" t="inlineStr">
        <is>
          <t>Duct bank</t>
        </is>
      </c>
      <c r="T6116" s="16" t="n">
        <v>1629</v>
      </c>
      <c r="U6116" s="16" t="n">
        <v>161</v>
      </c>
      <c r="V6116" s="16">
        <f>ROUNDUP((T6116+U6116+2*'Read Me'!$B$13)*(1+'Read Me'!$B$12),-1)</f>
        <v/>
      </c>
      <c r="W6116" s="16">
        <f>V6116*N6116*O6116</f>
        <v/>
      </c>
      <c r="X6116" s="12">
        <f>IF(LEFT(I6116,2)="MV",2*N6116*IF(L6116="1/C",O6116,1),0)</f>
        <v/>
      </c>
      <c r="Y6116" s="12">
        <f>IF(OR(LEFT(K6116,4)="LVAX",LEFT(K6116,6)="MV15AX",LEFT(K6116,4)="CTAX",LEFT(K6116,2)="W|"),2*N6116*O6116,0)</f>
        <v/>
      </c>
      <c r="Z6116" s="12" t="inlineStr">
        <is>
          <t>VD 2.9 %</t>
        </is>
      </c>
      <c r="AA6116" s="12">
        <f>N6116*O6116</f>
        <v/>
      </c>
    </row>
    <row r="6117">
      <c r="A6117" s="12" t="inlineStr">
        <is>
          <t>C-P-0035</t>
        </is>
      </c>
      <c r="B6117" s="12" t="inlineStr">
        <is>
          <t>C</t>
        </is>
      </c>
      <c r="C6117" s="12" t="inlineStr">
        <is>
          <t>Grid interface</t>
        </is>
      </c>
      <c r="D6117" s="12" t="inlineStr">
        <is>
          <t>Motor 6 of 20, 15 kW</t>
        </is>
      </c>
      <c r="E6117" s="12" t="inlineStr">
        <is>
          <t>MCC-C1</t>
        </is>
      </c>
      <c r="F6117" s="12" t="inlineStr">
        <is>
          <t>R1 MCC-C1</t>
        </is>
      </c>
      <c r="G6117" s="12" t="inlineStr"/>
      <c r="H6117" s="12" t="inlineStr">
        <is>
          <t>Water treatment building: rooftop HVAC, exhaust fans, vents</t>
        </is>
      </c>
      <c r="I6117" s="12" t="inlineStr">
        <is>
          <t>LV 600 V</t>
        </is>
      </c>
      <c r="J6117" s="12" t="inlineStr">
        <is>
          <t>Type TC-ER 600 V 3/C Cu XHHW-2 + ground, PVC jacket</t>
        </is>
      </c>
      <c r="K6117" s="12" t="inlineStr">
        <is>
          <t>LV|3/C+G|2</t>
        </is>
      </c>
      <c r="L6117" s="12" t="inlineStr">
        <is>
          <t>3/C+G</t>
        </is>
      </c>
      <c r="M6117" s="12" t="inlineStr">
        <is>
          <t>2</t>
        </is>
      </c>
      <c r="N6117" s="12" t="n">
        <v>1</v>
      </c>
      <c r="O6117" s="12" t="n">
        <v>1</v>
      </c>
      <c r="P6117" s="12" t="n">
        <v>480</v>
      </c>
      <c r="Q6117" s="12" t="n">
        <v>15</v>
      </c>
      <c r="R6117" s="12" t="n">
        <v>21.2</v>
      </c>
      <c r="S6117" s="12" t="inlineStr">
        <is>
          <t>Duct bank</t>
        </is>
      </c>
      <c r="T6117" s="16" t="n">
        <v>1629</v>
      </c>
      <c r="U6117" s="16" t="n">
        <v>161</v>
      </c>
      <c r="V6117" s="16">
        <f>ROUNDUP((T6117+U6117+2*'Read Me'!$B$13)*(1+'Read Me'!$B$12),-1)</f>
        <v/>
      </c>
      <c r="W6117" s="16">
        <f>V6117*N6117*O6117</f>
        <v/>
      </c>
      <c r="X6117" s="12">
        <f>IF(LEFT(I6117,2)="MV",2*N6117*IF(L6117="1/C",O6117,1),0)</f>
        <v/>
      </c>
      <c r="Y6117" s="12">
        <f>IF(OR(LEFT(K6117,4)="LVAX",LEFT(K6117,6)="MV15AX",LEFT(K6117,4)="CTAX",LEFT(K6117,2)="W|"),2*N6117*O6117,0)</f>
        <v/>
      </c>
      <c r="Z6117" s="12" t="inlineStr">
        <is>
          <t>VD 2.9 %</t>
        </is>
      </c>
      <c r="AA6117" s="12">
        <f>N6117*O6117</f>
        <v/>
      </c>
    </row>
    <row r="6118">
      <c r="A6118" s="12" t="inlineStr">
        <is>
          <t>C-P-0036</t>
        </is>
      </c>
      <c r="B6118" s="12" t="inlineStr">
        <is>
          <t>C</t>
        </is>
      </c>
      <c r="C6118" s="12" t="inlineStr">
        <is>
          <t>Grid interface</t>
        </is>
      </c>
      <c r="D6118" s="12" t="inlineStr">
        <is>
          <t>Motor 7 of 20, 15 kW</t>
        </is>
      </c>
      <c r="E6118" s="12" t="inlineStr">
        <is>
          <t>MCC-C1</t>
        </is>
      </c>
      <c r="F6118" s="12" t="inlineStr">
        <is>
          <t>R1 MCC-C1</t>
        </is>
      </c>
      <c r="G6118" s="12" t="inlineStr"/>
      <c r="H6118" s="12" t="inlineStr">
        <is>
          <t>Water treatment building: rooftop HVAC, exhaust fans, vents</t>
        </is>
      </c>
      <c r="I6118" s="12" t="inlineStr">
        <is>
          <t>LV 600 V</t>
        </is>
      </c>
      <c r="J6118" s="12" t="inlineStr">
        <is>
          <t>Type TC-ER 600 V 3/C Cu XHHW-2 + ground, PVC jacket</t>
        </is>
      </c>
      <c r="K6118" s="12" t="inlineStr">
        <is>
          <t>LV|3/C+G|2</t>
        </is>
      </c>
      <c r="L6118" s="12" t="inlineStr">
        <is>
          <t>3/C+G</t>
        </is>
      </c>
      <c r="M6118" s="12" t="inlineStr">
        <is>
          <t>2</t>
        </is>
      </c>
      <c r="N6118" s="12" t="n">
        <v>1</v>
      </c>
      <c r="O6118" s="12" t="n">
        <v>1</v>
      </c>
      <c r="P6118" s="12" t="n">
        <v>480</v>
      </c>
      <c r="Q6118" s="12" t="n">
        <v>15</v>
      </c>
      <c r="R6118" s="12" t="n">
        <v>21.2</v>
      </c>
      <c r="S6118" s="12" t="inlineStr">
        <is>
          <t>Duct bank</t>
        </is>
      </c>
      <c r="T6118" s="16" t="n">
        <v>1629</v>
      </c>
      <c r="U6118" s="16" t="n">
        <v>161</v>
      </c>
      <c r="V6118" s="16">
        <f>ROUNDUP((T6118+U6118+2*'Read Me'!$B$13)*(1+'Read Me'!$B$12),-1)</f>
        <v/>
      </c>
      <c r="W6118" s="16">
        <f>V6118*N6118*O6118</f>
        <v/>
      </c>
      <c r="X6118" s="12">
        <f>IF(LEFT(I6118,2)="MV",2*N6118*IF(L6118="1/C",O6118,1),0)</f>
        <v/>
      </c>
      <c r="Y6118" s="12">
        <f>IF(OR(LEFT(K6118,4)="LVAX",LEFT(K6118,6)="MV15AX",LEFT(K6118,4)="CTAX",LEFT(K6118,2)="W|"),2*N6118*O6118,0)</f>
        <v/>
      </c>
      <c r="Z6118" s="12" t="inlineStr">
        <is>
          <t>VD 2.9 %</t>
        </is>
      </c>
      <c r="AA6118" s="12">
        <f>N6118*O6118</f>
        <v/>
      </c>
    </row>
    <row r="6119">
      <c r="A6119" s="12" t="inlineStr">
        <is>
          <t>C-P-0037</t>
        </is>
      </c>
      <c r="B6119" s="12" t="inlineStr">
        <is>
          <t>C</t>
        </is>
      </c>
      <c r="C6119" s="12" t="inlineStr">
        <is>
          <t>Grid interface</t>
        </is>
      </c>
      <c r="D6119" s="12" t="inlineStr">
        <is>
          <t>Motor 8 of 20, 15 kW</t>
        </is>
      </c>
      <c r="E6119" s="12" t="inlineStr">
        <is>
          <t>MCC-C1</t>
        </is>
      </c>
      <c r="F6119" s="12" t="inlineStr">
        <is>
          <t>R1 MCC-C1</t>
        </is>
      </c>
      <c r="G6119" s="12" t="inlineStr"/>
      <c r="H6119" s="12" t="inlineStr">
        <is>
          <t>Water treatment building: rooftop HVAC, exhaust fans, vents</t>
        </is>
      </c>
      <c r="I6119" s="12" t="inlineStr">
        <is>
          <t>LV 600 V</t>
        </is>
      </c>
      <c r="J6119" s="12" t="inlineStr">
        <is>
          <t>Type TC-ER 600 V 3/C Cu XHHW-2 + ground, PVC jacket</t>
        </is>
      </c>
      <c r="K6119" s="12" t="inlineStr">
        <is>
          <t>LV|3/C+G|2</t>
        </is>
      </c>
      <c r="L6119" s="12" t="inlineStr">
        <is>
          <t>3/C+G</t>
        </is>
      </c>
      <c r="M6119" s="12" t="inlineStr">
        <is>
          <t>2</t>
        </is>
      </c>
      <c r="N6119" s="12" t="n">
        <v>1</v>
      </c>
      <c r="O6119" s="12" t="n">
        <v>1</v>
      </c>
      <c r="P6119" s="12" t="n">
        <v>480</v>
      </c>
      <c r="Q6119" s="12" t="n">
        <v>15</v>
      </c>
      <c r="R6119" s="12" t="n">
        <v>21.2</v>
      </c>
      <c r="S6119" s="12" t="inlineStr">
        <is>
          <t>Duct bank</t>
        </is>
      </c>
      <c r="T6119" s="16" t="n">
        <v>1629</v>
      </c>
      <c r="U6119" s="16" t="n">
        <v>161</v>
      </c>
      <c r="V6119" s="16">
        <f>ROUNDUP((T6119+U6119+2*'Read Me'!$B$13)*(1+'Read Me'!$B$12),-1)</f>
        <v/>
      </c>
      <c r="W6119" s="16">
        <f>V6119*N6119*O6119</f>
        <v/>
      </c>
      <c r="X6119" s="12">
        <f>IF(LEFT(I6119,2)="MV",2*N6119*IF(L6119="1/C",O6119,1),0)</f>
        <v/>
      </c>
      <c r="Y6119" s="12">
        <f>IF(OR(LEFT(K6119,4)="LVAX",LEFT(K6119,6)="MV15AX",LEFT(K6119,4)="CTAX",LEFT(K6119,2)="W|"),2*N6119*O6119,0)</f>
        <v/>
      </c>
      <c r="Z6119" s="12" t="inlineStr">
        <is>
          <t>VD 2.9 %</t>
        </is>
      </c>
      <c r="AA6119" s="12">
        <f>N6119*O6119</f>
        <v/>
      </c>
    </row>
    <row r="6120">
      <c r="A6120" s="12" t="inlineStr">
        <is>
          <t>C-P-0038</t>
        </is>
      </c>
      <c r="B6120" s="12" t="inlineStr">
        <is>
          <t>C</t>
        </is>
      </c>
      <c r="C6120" s="12" t="inlineStr">
        <is>
          <t>Grid interface</t>
        </is>
      </c>
      <c r="D6120" s="12" t="inlineStr">
        <is>
          <t>Motor 9 of 20, 15 kW</t>
        </is>
      </c>
      <c r="E6120" s="12" t="inlineStr">
        <is>
          <t>MCC-C1</t>
        </is>
      </c>
      <c r="F6120" s="12" t="inlineStr">
        <is>
          <t>R1 MCC-C1</t>
        </is>
      </c>
      <c r="G6120" s="12" t="inlineStr"/>
      <c r="H6120" s="12" t="inlineStr">
        <is>
          <t>Water treatment building: rooftop HVAC, exhaust fans, vents</t>
        </is>
      </c>
      <c r="I6120" s="12" t="inlineStr">
        <is>
          <t>LV 600 V</t>
        </is>
      </c>
      <c r="J6120" s="12" t="inlineStr">
        <is>
          <t>Type TC-ER 600 V 3/C Cu XHHW-2 + ground, PVC jacket</t>
        </is>
      </c>
      <c r="K6120" s="12" t="inlineStr">
        <is>
          <t>LV|3/C+G|2</t>
        </is>
      </c>
      <c r="L6120" s="12" t="inlineStr">
        <is>
          <t>3/C+G</t>
        </is>
      </c>
      <c r="M6120" s="12" t="inlineStr">
        <is>
          <t>2</t>
        </is>
      </c>
      <c r="N6120" s="12" t="n">
        <v>1</v>
      </c>
      <c r="O6120" s="12" t="n">
        <v>1</v>
      </c>
      <c r="P6120" s="12" t="n">
        <v>480</v>
      </c>
      <c r="Q6120" s="12" t="n">
        <v>15</v>
      </c>
      <c r="R6120" s="12" t="n">
        <v>21.2</v>
      </c>
      <c r="S6120" s="12" t="inlineStr">
        <is>
          <t>Duct bank</t>
        </is>
      </c>
      <c r="T6120" s="16" t="n">
        <v>1629</v>
      </c>
      <c r="U6120" s="16" t="n">
        <v>161</v>
      </c>
      <c r="V6120" s="16">
        <f>ROUNDUP((T6120+U6120+2*'Read Me'!$B$13)*(1+'Read Me'!$B$12),-1)</f>
        <v/>
      </c>
      <c r="W6120" s="16">
        <f>V6120*N6120*O6120</f>
        <v/>
      </c>
      <c r="X6120" s="12">
        <f>IF(LEFT(I6120,2)="MV",2*N6120*IF(L6120="1/C",O6120,1),0)</f>
        <v/>
      </c>
      <c r="Y6120" s="12">
        <f>IF(OR(LEFT(K6120,4)="LVAX",LEFT(K6120,6)="MV15AX",LEFT(K6120,4)="CTAX",LEFT(K6120,2)="W|"),2*N6120*O6120,0)</f>
        <v/>
      </c>
      <c r="Z6120" s="12" t="inlineStr">
        <is>
          <t>VD 2.9 %</t>
        </is>
      </c>
      <c r="AA6120" s="12">
        <f>N6120*O6120</f>
        <v/>
      </c>
    </row>
    <row r="6121">
      <c r="A6121" s="12" t="inlineStr">
        <is>
          <t>C-P-0039</t>
        </is>
      </c>
      <c r="B6121" s="12" t="inlineStr">
        <is>
          <t>C</t>
        </is>
      </c>
      <c r="C6121" s="12" t="inlineStr">
        <is>
          <t>Grid interface</t>
        </is>
      </c>
      <c r="D6121" s="12" t="inlineStr">
        <is>
          <t>Motor 10 of 20, 15 kW</t>
        </is>
      </c>
      <c r="E6121" s="12" t="inlineStr">
        <is>
          <t>MCC-C1</t>
        </is>
      </c>
      <c r="F6121" s="12" t="inlineStr">
        <is>
          <t>R1 MCC-C1</t>
        </is>
      </c>
      <c r="G6121" s="12" t="inlineStr"/>
      <c r="H6121" s="12" t="inlineStr">
        <is>
          <t>Water treatment building: rooftop HVAC, exhaust fans, vents</t>
        </is>
      </c>
      <c r="I6121" s="12" t="inlineStr">
        <is>
          <t>LV 600 V</t>
        </is>
      </c>
      <c r="J6121" s="12" t="inlineStr">
        <is>
          <t>Type TC-ER 600 V 3/C Cu XHHW-2 + ground, PVC jacket</t>
        </is>
      </c>
      <c r="K6121" s="12" t="inlineStr">
        <is>
          <t>LV|3/C+G|2</t>
        </is>
      </c>
      <c r="L6121" s="12" t="inlineStr">
        <is>
          <t>3/C+G</t>
        </is>
      </c>
      <c r="M6121" s="12" t="inlineStr">
        <is>
          <t>2</t>
        </is>
      </c>
      <c r="N6121" s="12" t="n">
        <v>1</v>
      </c>
      <c r="O6121" s="12" t="n">
        <v>1</v>
      </c>
      <c r="P6121" s="12" t="n">
        <v>480</v>
      </c>
      <c r="Q6121" s="12" t="n">
        <v>15</v>
      </c>
      <c r="R6121" s="12" t="n">
        <v>21.2</v>
      </c>
      <c r="S6121" s="12" t="inlineStr">
        <is>
          <t>Duct bank</t>
        </is>
      </c>
      <c r="T6121" s="16" t="n">
        <v>1629</v>
      </c>
      <c r="U6121" s="16" t="n">
        <v>161</v>
      </c>
      <c r="V6121" s="16">
        <f>ROUNDUP((T6121+U6121+2*'Read Me'!$B$13)*(1+'Read Me'!$B$12),-1)</f>
        <v/>
      </c>
      <c r="W6121" s="16">
        <f>V6121*N6121*O6121</f>
        <v/>
      </c>
      <c r="X6121" s="12">
        <f>IF(LEFT(I6121,2)="MV",2*N6121*IF(L6121="1/C",O6121,1),0)</f>
        <v/>
      </c>
      <c r="Y6121" s="12">
        <f>IF(OR(LEFT(K6121,4)="LVAX",LEFT(K6121,6)="MV15AX",LEFT(K6121,4)="CTAX",LEFT(K6121,2)="W|"),2*N6121*O6121,0)</f>
        <v/>
      </c>
      <c r="Z6121" s="12" t="inlineStr">
        <is>
          <t>VD 2.9 %</t>
        </is>
      </c>
      <c r="AA6121" s="12">
        <f>N6121*O6121</f>
        <v/>
      </c>
    </row>
    <row r="6122">
      <c r="A6122" s="12" t="inlineStr">
        <is>
          <t>C-P-0040</t>
        </is>
      </c>
      <c r="B6122" s="12" t="inlineStr">
        <is>
          <t>C</t>
        </is>
      </c>
      <c r="C6122" s="12" t="inlineStr">
        <is>
          <t>Grid interface</t>
        </is>
      </c>
      <c r="D6122" s="12" t="inlineStr">
        <is>
          <t>Motor 11 of 20, 15 kW</t>
        </is>
      </c>
      <c r="E6122" s="12" t="inlineStr">
        <is>
          <t>MCC-C1</t>
        </is>
      </c>
      <c r="F6122" s="12" t="inlineStr">
        <is>
          <t>R1 MCC-C1</t>
        </is>
      </c>
      <c r="G6122" s="12" t="inlineStr"/>
      <c r="H6122" s="12" t="inlineStr">
        <is>
          <t>Water treatment building: rooftop HVAC, exhaust fans, vents</t>
        </is>
      </c>
      <c r="I6122" s="12" t="inlineStr">
        <is>
          <t>LV 600 V</t>
        </is>
      </c>
      <c r="J6122" s="12" t="inlineStr">
        <is>
          <t>Type TC-ER 600 V 3/C Cu XHHW-2 + ground, PVC jacket</t>
        </is>
      </c>
      <c r="K6122" s="12" t="inlineStr">
        <is>
          <t>LV|3/C+G|2</t>
        </is>
      </c>
      <c r="L6122" s="12" t="inlineStr">
        <is>
          <t>3/C+G</t>
        </is>
      </c>
      <c r="M6122" s="12" t="inlineStr">
        <is>
          <t>2</t>
        </is>
      </c>
      <c r="N6122" s="12" t="n">
        <v>1</v>
      </c>
      <c r="O6122" s="12" t="n">
        <v>1</v>
      </c>
      <c r="P6122" s="12" t="n">
        <v>480</v>
      </c>
      <c r="Q6122" s="12" t="n">
        <v>15</v>
      </c>
      <c r="R6122" s="12" t="n">
        <v>21.2</v>
      </c>
      <c r="S6122" s="12" t="inlineStr">
        <is>
          <t>Duct bank</t>
        </is>
      </c>
      <c r="T6122" s="16" t="n">
        <v>1629</v>
      </c>
      <c r="U6122" s="16" t="n">
        <v>161</v>
      </c>
      <c r="V6122" s="16">
        <f>ROUNDUP((T6122+U6122+2*'Read Me'!$B$13)*(1+'Read Me'!$B$12),-1)</f>
        <v/>
      </c>
      <c r="W6122" s="16">
        <f>V6122*N6122*O6122</f>
        <v/>
      </c>
      <c r="X6122" s="12">
        <f>IF(LEFT(I6122,2)="MV",2*N6122*IF(L6122="1/C",O6122,1),0)</f>
        <v/>
      </c>
      <c r="Y6122" s="12">
        <f>IF(OR(LEFT(K6122,4)="LVAX",LEFT(K6122,6)="MV15AX",LEFT(K6122,4)="CTAX",LEFT(K6122,2)="W|"),2*N6122*O6122,0)</f>
        <v/>
      </c>
      <c r="Z6122" s="12" t="inlineStr">
        <is>
          <t>VD 2.9 %</t>
        </is>
      </c>
      <c r="AA6122" s="12">
        <f>N6122*O6122</f>
        <v/>
      </c>
    </row>
    <row r="6123">
      <c r="A6123" s="12" t="inlineStr">
        <is>
          <t>C-P-0041</t>
        </is>
      </c>
      <c r="B6123" s="12" t="inlineStr">
        <is>
          <t>C</t>
        </is>
      </c>
      <c r="C6123" s="12" t="inlineStr">
        <is>
          <t>Grid interface</t>
        </is>
      </c>
      <c r="D6123" s="12" t="inlineStr">
        <is>
          <t>Motor 12 of 20, 15 kW</t>
        </is>
      </c>
      <c r="E6123" s="12" t="inlineStr">
        <is>
          <t>MCC-C1</t>
        </is>
      </c>
      <c r="F6123" s="12" t="inlineStr">
        <is>
          <t>R1 MCC-C1</t>
        </is>
      </c>
      <c r="G6123" s="12" t="inlineStr"/>
      <c r="H6123" s="12" t="inlineStr">
        <is>
          <t>Water treatment building: rooftop HVAC, exhaust fans, vents</t>
        </is>
      </c>
      <c r="I6123" s="12" t="inlineStr">
        <is>
          <t>LV 600 V</t>
        </is>
      </c>
      <c r="J6123" s="12" t="inlineStr">
        <is>
          <t>Type TC-ER 600 V 3/C Cu XHHW-2 + ground, PVC jacket</t>
        </is>
      </c>
      <c r="K6123" s="12" t="inlineStr">
        <is>
          <t>LV|3/C+G|2</t>
        </is>
      </c>
      <c r="L6123" s="12" t="inlineStr">
        <is>
          <t>3/C+G</t>
        </is>
      </c>
      <c r="M6123" s="12" t="inlineStr">
        <is>
          <t>2</t>
        </is>
      </c>
      <c r="N6123" s="12" t="n">
        <v>1</v>
      </c>
      <c r="O6123" s="12" t="n">
        <v>1</v>
      </c>
      <c r="P6123" s="12" t="n">
        <v>480</v>
      </c>
      <c r="Q6123" s="12" t="n">
        <v>15</v>
      </c>
      <c r="R6123" s="12" t="n">
        <v>21.2</v>
      </c>
      <c r="S6123" s="12" t="inlineStr">
        <is>
          <t>Duct bank</t>
        </is>
      </c>
      <c r="T6123" s="16" t="n">
        <v>1629</v>
      </c>
      <c r="U6123" s="16" t="n">
        <v>161</v>
      </c>
      <c r="V6123" s="16">
        <f>ROUNDUP((T6123+U6123+2*'Read Me'!$B$13)*(1+'Read Me'!$B$12),-1)</f>
        <v/>
      </c>
      <c r="W6123" s="16">
        <f>V6123*N6123*O6123</f>
        <v/>
      </c>
      <c r="X6123" s="12">
        <f>IF(LEFT(I6123,2)="MV",2*N6123*IF(L6123="1/C",O6123,1),0)</f>
        <v/>
      </c>
      <c r="Y6123" s="12">
        <f>IF(OR(LEFT(K6123,4)="LVAX",LEFT(K6123,6)="MV15AX",LEFT(K6123,4)="CTAX",LEFT(K6123,2)="W|"),2*N6123*O6123,0)</f>
        <v/>
      </c>
      <c r="Z6123" s="12" t="inlineStr">
        <is>
          <t>VD 2.9 %</t>
        </is>
      </c>
      <c r="AA6123" s="12">
        <f>N6123*O6123</f>
        <v/>
      </c>
    </row>
    <row r="6124">
      <c r="A6124" s="12" t="inlineStr">
        <is>
          <t>C-P-0042</t>
        </is>
      </c>
      <c r="B6124" s="12" t="inlineStr">
        <is>
          <t>C</t>
        </is>
      </c>
      <c r="C6124" s="12" t="inlineStr">
        <is>
          <t>Grid interface</t>
        </is>
      </c>
      <c r="D6124" s="12" t="inlineStr">
        <is>
          <t>Motor 13 of 20, 15 kW</t>
        </is>
      </c>
      <c r="E6124" s="12" t="inlineStr">
        <is>
          <t>MCC-C1</t>
        </is>
      </c>
      <c r="F6124" s="12" t="inlineStr">
        <is>
          <t>R1 MCC-C1</t>
        </is>
      </c>
      <c r="G6124" s="12" t="inlineStr"/>
      <c r="H6124" s="12" t="inlineStr">
        <is>
          <t>Water treatment building: rooftop HVAC, exhaust fans, vents</t>
        </is>
      </c>
      <c r="I6124" s="12" t="inlineStr">
        <is>
          <t>LV 600 V</t>
        </is>
      </c>
      <c r="J6124" s="12" t="inlineStr">
        <is>
          <t>Type TC-ER 600 V 3/C Cu XHHW-2 + ground, PVC jacket</t>
        </is>
      </c>
      <c r="K6124" s="12" t="inlineStr">
        <is>
          <t>LV|3/C+G|2</t>
        </is>
      </c>
      <c r="L6124" s="12" t="inlineStr">
        <is>
          <t>3/C+G</t>
        </is>
      </c>
      <c r="M6124" s="12" t="inlineStr">
        <is>
          <t>2</t>
        </is>
      </c>
      <c r="N6124" s="12" t="n">
        <v>1</v>
      </c>
      <c r="O6124" s="12" t="n">
        <v>1</v>
      </c>
      <c r="P6124" s="12" t="n">
        <v>480</v>
      </c>
      <c r="Q6124" s="12" t="n">
        <v>15</v>
      </c>
      <c r="R6124" s="12" t="n">
        <v>21.2</v>
      </c>
      <c r="S6124" s="12" t="inlineStr">
        <is>
          <t>Duct bank</t>
        </is>
      </c>
      <c r="T6124" s="16" t="n">
        <v>1629</v>
      </c>
      <c r="U6124" s="16" t="n">
        <v>161</v>
      </c>
      <c r="V6124" s="16">
        <f>ROUNDUP((T6124+U6124+2*'Read Me'!$B$13)*(1+'Read Me'!$B$12),-1)</f>
        <v/>
      </c>
      <c r="W6124" s="16">
        <f>V6124*N6124*O6124</f>
        <v/>
      </c>
      <c r="X6124" s="12">
        <f>IF(LEFT(I6124,2)="MV",2*N6124*IF(L6124="1/C",O6124,1),0)</f>
        <v/>
      </c>
      <c r="Y6124" s="12">
        <f>IF(OR(LEFT(K6124,4)="LVAX",LEFT(K6124,6)="MV15AX",LEFT(K6124,4)="CTAX",LEFT(K6124,2)="W|"),2*N6124*O6124,0)</f>
        <v/>
      </c>
      <c r="Z6124" s="12" t="inlineStr">
        <is>
          <t>VD 2.9 %</t>
        </is>
      </c>
      <c r="AA6124" s="12">
        <f>N6124*O6124</f>
        <v/>
      </c>
    </row>
    <row r="6125">
      <c r="A6125" s="12" t="inlineStr">
        <is>
          <t>C-P-0043</t>
        </is>
      </c>
      <c r="B6125" s="12" t="inlineStr">
        <is>
          <t>C</t>
        </is>
      </c>
      <c r="C6125" s="12" t="inlineStr">
        <is>
          <t>Grid interface</t>
        </is>
      </c>
      <c r="D6125" s="12" t="inlineStr">
        <is>
          <t>Motor 14 of 20, 15 kW</t>
        </is>
      </c>
      <c r="E6125" s="12" t="inlineStr">
        <is>
          <t>MCC-C1</t>
        </is>
      </c>
      <c r="F6125" s="12" t="inlineStr">
        <is>
          <t>R1 MCC-C1</t>
        </is>
      </c>
      <c r="G6125" s="12" t="inlineStr"/>
      <c r="H6125" s="12" t="inlineStr">
        <is>
          <t>Water treatment building: rooftop HVAC, exhaust fans, vents</t>
        </is>
      </c>
      <c r="I6125" s="12" t="inlineStr">
        <is>
          <t>LV 600 V</t>
        </is>
      </c>
      <c r="J6125" s="12" t="inlineStr">
        <is>
          <t>Type TC-ER 600 V 3/C Cu XHHW-2 + ground, PVC jacket</t>
        </is>
      </c>
      <c r="K6125" s="12" t="inlineStr">
        <is>
          <t>LV|3/C+G|2</t>
        </is>
      </c>
      <c r="L6125" s="12" t="inlineStr">
        <is>
          <t>3/C+G</t>
        </is>
      </c>
      <c r="M6125" s="12" t="inlineStr">
        <is>
          <t>2</t>
        </is>
      </c>
      <c r="N6125" s="12" t="n">
        <v>1</v>
      </c>
      <c r="O6125" s="12" t="n">
        <v>1</v>
      </c>
      <c r="P6125" s="12" t="n">
        <v>480</v>
      </c>
      <c r="Q6125" s="12" t="n">
        <v>15</v>
      </c>
      <c r="R6125" s="12" t="n">
        <v>21.2</v>
      </c>
      <c r="S6125" s="12" t="inlineStr">
        <is>
          <t>Duct bank</t>
        </is>
      </c>
      <c r="T6125" s="16" t="n">
        <v>1629</v>
      </c>
      <c r="U6125" s="16" t="n">
        <v>161</v>
      </c>
      <c r="V6125" s="16">
        <f>ROUNDUP((T6125+U6125+2*'Read Me'!$B$13)*(1+'Read Me'!$B$12),-1)</f>
        <v/>
      </c>
      <c r="W6125" s="16">
        <f>V6125*N6125*O6125</f>
        <v/>
      </c>
      <c r="X6125" s="12">
        <f>IF(LEFT(I6125,2)="MV",2*N6125*IF(L6125="1/C",O6125,1),0)</f>
        <v/>
      </c>
      <c r="Y6125" s="12">
        <f>IF(OR(LEFT(K6125,4)="LVAX",LEFT(K6125,6)="MV15AX",LEFT(K6125,4)="CTAX",LEFT(K6125,2)="W|"),2*N6125*O6125,0)</f>
        <v/>
      </c>
      <c r="Z6125" s="12" t="inlineStr">
        <is>
          <t>VD 2.9 %</t>
        </is>
      </c>
      <c r="AA6125" s="12">
        <f>N6125*O6125</f>
        <v/>
      </c>
    </row>
    <row r="6126">
      <c r="A6126" s="12" t="inlineStr">
        <is>
          <t>C-P-0044</t>
        </is>
      </c>
      <c r="B6126" s="12" t="inlineStr">
        <is>
          <t>C</t>
        </is>
      </c>
      <c r="C6126" s="12" t="inlineStr">
        <is>
          <t>Grid interface</t>
        </is>
      </c>
      <c r="D6126" s="12" t="inlineStr">
        <is>
          <t>Motor 15 of 20, 15 kW</t>
        </is>
      </c>
      <c r="E6126" s="12" t="inlineStr">
        <is>
          <t>MCC-C1</t>
        </is>
      </c>
      <c r="F6126" s="12" t="inlineStr">
        <is>
          <t>R1 MCC-C1</t>
        </is>
      </c>
      <c r="G6126" s="12" t="inlineStr"/>
      <c r="H6126" s="12" t="inlineStr">
        <is>
          <t>Water treatment building: rooftop HVAC, exhaust fans, vents</t>
        </is>
      </c>
      <c r="I6126" s="12" t="inlineStr">
        <is>
          <t>LV 600 V</t>
        </is>
      </c>
      <c r="J6126" s="12" t="inlineStr">
        <is>
          <t>Type TC-ER 600 V 3/C Cu XHHW-2 + ground, PVC jacket</t>
        </is>
      </c>
      <c r="K6126" s="12" t="inlineStr">
        <is>
          <t>LV|3/C+G|2</t>
        </is>
      </c>
      <c r="L6126" s="12" t="inlineStr">
        <is>
          <t>3/C+G</t>
        </is>
      </c>
      <c r="M6126" s="12" t="inlineStr">
        <is>
          <t>2</t>
        </is>
      </c>
      <c r="N6126" s="12" t="n">
        <v>1</v>
      </c>
      <c r="O6126" s="12" t="n">
        <v>1</v>
      </c>
      <c r="P6126" s="12" t="n">
        <v>480</v>
      </c>
      <c r="Q6126" s="12" t="n">
        <v>15</v>
      </c>
      <c r="R6126" s="12" t="n">
        <v>21.2</v>
      </c>
      <c r="S6126" s="12" t="inlineStr">
        <is>
          <t>Duct bank</t>
        </is>
      </c>
      <c r="T6126" s="16" t="n">
        <v>1629</v>
      </c>
      <c r="U6126" s="16" t="n">
        <v>161</v>
      </c>
      <c r="V6126" s="16">
        <f>ROUNDUP((T6126+U6126+2*'Read Me'!$B$13)*(1+'Read Me'!$B$12),-1)</f>
        <v/>
      </c>
      <c r="W6126" s="16">
        <f>V6126*N6126*O6126</f>
        <v/>
      </c>
      <c r="X6126" s="12">
        <f>IF(LEFT(I6126,2)="MV",2*N6126*IF(L6126="1/C",O6126,1),0)</f>
        <v/>
      </c>
      <c r="Y6126" s="12">
        <f>IF(OR(LEFT(K6126,4)="LVAX",LEFT(K6126,6)="MV15AX",LEFT(K6126,4)="CTAX",LEFT(K6126,2)="W|"),2*N6126*O6126,0)</f>
        <v/>
      </c>
      <c r="Z6126" s="12" t="inlineStr">
        <is>
          <t>VD 2.9 %</t>
        </is>
      </c>
      <c r="AA6126" s="12">
        <f>N6126*O6126</f>
        <v/>
      </c>
    </row>
    <row r="6127">
      <c r="A6127" s="12" t="inlineStr">
        <is>
          <t>C-P-0045</t>
        </is>
      </c>
      <c r="B6127" s="12" t="inlineStr">
        <is>
          <t>C</t>
        </is>
      </c>
      <c r="C6127" s="12" t="inlineStr">
        <is>
          <t>Grid interface</t>
        </is>
      </c>
      <c r="D6127" s="12" t="inlineStr">
        <is>
          <t>Motor 16 of 20, 15 kW</t>
        </is>
      </c>
      <c r="E6127" s="12" t="inlineStr">
        <is>
          <t>MCC-C1</t>
        </is>
      </c>
      <c r="F6127" s="12" t="inlineStr">
        <is>
          <t>R1 MCC-C1</t>
        </is>
      </c>
      <c r="G6127" s="12" t="inlineStr"/>
      <c r="H6127" s="12" t="inlineStr">
        <is>
          <t>Water treatment building: rooftop HVAC, exhaust fans, vents</t>
        </is>
      </c>
      <c r="I6127" s="12" t="inlineStr">
        <is>
          <t>LV 600 V</t>
        </is>
      </c>
      <c r="J6127" s="12" t="inlineStr">
        <is>
          <t>Type TC-ER 600 V 3/C Cu XHHW-2 + ground, PVC jacket</t>
        </is>
      </c>
      <c r="K6127" s="12" t="inlineStr">
        <is>
          <t>LV|3/C+G|2</t>
        </is>
      </c>
      <c r="L6127" s="12" t="inlineStr">
        <is>
          <t>3/C+G</t>
        </is>
      </c>
      <c r="M6127" s="12" t="inlineStr">
        <is>
          <t>2</t>
        </is>
      </c>
      <c r="N6127" s="12" t="n">
        <v>1</v>
      </c>
      <c r="O6127" s="12" t="n">
        <v>1</v>
      </c>
      <c r="P6127" s="12" t="n">
        <v>480</v>
      </c>
      <c r="Q6127" s="12" t="n">
        <v>15</v>
      </c>
      <c r="R6127" s="12" t="n">
        <v>21.2</v>
      </c>
      <c r="S6127" s="12" t="inlineStr">
        <is>
          <t>Duct bank</t>
        </is>
      </c>
      <c r="T6127" s="16" t="n">
        <v>1629</v>
      </c>
      <c r="U6127" s="16" t="n">
        <v>161</v>
      </c>
      <c r="V6127" s="16">
        <f>ROUNDUP((T6127+U6127+2*'Read Me'!$B$13)*(1+'Read Me'!$B$12),-1)</f>
        <v/>
      </c>
      <c r="W6127" s="16">
        <f>V6127*N6127*O6127</f>
        <v/>
      </c>
      <c r="X6127" s="12">
        <f>IF(LEFT(I6127,2)="MV",2*N6127*IF(L6127="1/C",O6127,1),0)</f>
        <v/>
      </c>
      <c r="Y6127" s="12">
        <f>IF(OR(LEFT(K6127,4)="LVAX",LEFT(K6127,6)="MV15AX",LEFT(K6127,4)="CTAX",LEFT(K6127,2)="W|"),2*N6127*O6127,0)</f>
        <v/>
      </c>
      <c r="Z6127" s="12" t="inlineStr">
        <is>
          <t>VD 2.9 %</t>
        </is>
      </c>
      <c r="AA6127" s="12">
        <f>N6127*O6127</f>
        <v/>
      </c>
    </row>
    <row r="6128">
      <c r="A6128" s="12" t="inlineStr">
        <is>
          <t>C-P-0046</t>
        </is>
      </c>
      <c r="B6128" s="12" t="inlineStr">
        <is>
          <t>C</t>
        </is>
      </c>
      <c r="C6128" s="12" t="inlineStr">
        <is>
          <t>Grid interface</t>
        </is>
      </c>
      <c r="D6128" s="12" t="inlineStr">
        <is>
          <t>Motor 17 of 20, 15 kW</t>
        </is>
      </c>
      <c r="E6128" s="12" t="inlineStr">
        <is>
          <t>MCC-C1</t>
        </is>
      </c>
      <c r="F6128" s="12" t="inlineStr">
        <is>
          <t>R1 MCC-C1</t>
        </is>
      </c>
      <c r="G6128" s="12" t="inlineStr"/>
      <c r="H6128" s="12" t="inlineStr">
        <is>
          <t>Water treatment building: rooftop HVAC, exhaust fans, vents</t>
        </is>
      </c>
      <c r="I6128" s="12" t="inlineStr">
        <is>
          <t>LV 600 V</t>
        </is>
      </c>
      <c r="J6128" s="12" t="inlineStr">
        <is>
          <t>Type TC-ER 600 V 3/C Cu XHHW-2 + ground, PVC jacket</t>
        </is>
      </c>
      <c r="K6128" s="12" t="inlineStr">
        <is>
          <t>LV|3/C+G|2</t>
        </is>
      </c>
      <c r="L6128" s="12" t="inlineStr">
        <is>
          <t>3/C+G</t>
        </is>
      </c>
      <c r="M6128" s="12" t="inlineStr">
        <is>
          <t>2</t>
        </is>
      </c>
      <c r="N6128" s="12" t="n">
        <v>1</v>
      </c>
      <c r="O6128" s="12" t="n">
        <v>1</v>
      </c>
      <c r="P6128" s="12" t="n">
        <v>480</v>
      </c>
      <c r="Q6128" s="12" t="n">
        <v>15</v>
      </c>
      <c r="R6128" s="12" t="n">
        <v>21.2</v>
      </c>
      <c r="S6128" s="12" t="inlineStr">
        <is>
          <t>Duct bank</t>
        </is>
      </c>
      <c r="T6128" s="16" t="n">
        <v>1629</v>
      </c>
      <c r="U6128" s="16" t="n">
        <v>161</v>
      </c>
      <c r="V6128" s="16">
        <f>ROUNDUP((T6128+U6128+2*'Read Me'!$B$13)*(1+'Read Me'!$B$12),-1)</f>
        <v/>
      </c>
      <c r="W6128" s="16">
        <f>V6128*N6128*O6128</f>
        <v/>
      </c>
      <c r="X6128" s="12">
        <f>IF(LEFT(I6128,2)="MV",2*N6128*IF(L6128="1/C",O6128,1),0)</f>
        <v/>
      </c>
      <c r="Y6128" s="12">
        <f>IF(OR(LEFT(K6128,4)="LVAX",LEFT(K6128,6)="MV15AX",LEFT(K6128,4)="CTAX",LEFT(K6128,2)="W|"),2*N6128*O6128,0)</f>
        <v/>
      </c>
      <c r="Z6128" s="12" t="inlineStr">
        <is>
          <t>VD 2.9 %</t>
        </is>
      </c>
      <c r="AA6128" s="12">
        <f>N6128*O6128</f>
        <v/>
      </c>
    </row>
    <row r="6129">
      <c r="A6129" s="12" t="inlineStr">
        <is>
          <t>C-P-0047</t>
        </is>
      </c>
      <c r="B6129" s="12" t="inlineStr">
        <is>
          <t>C</t>
        </is>
      </c>
      <c r="C6129" s="12" t="inlineStr">
        <is>
          <t>Grid interface</t>
        </is>
      </c>
      <c r="D6129" s="12" t="inlineStr">
        <is>
          <t>Motor 18 of 20, 15 kW</t>
        </is>
      </c>
      <c r="E6129" s="12" t="inlineStr">
        <is>
          <t>MCC-C1</t>
        </is>
      </c>
      <c r="F6129" s="12" t="inlineStr">
        <is>
          <t>R1 MCC-C1</t>
        </is>
      </c>
      <c r="G6129" s="12" t="inlineStr"/>
      <c r="H6129" s="12" t="inlineStr">
        <is>
          <t>Water treatment building: rooftop HVAC, exhaust fans, vents</t>
        </is>
      </c>
      <c r="I6129" s="12" t="inlineStr">
        <is>
          <t>LV 600 V</t>
        </is>
      </c>
      <c r="J6129" s="12" t="inlineStr">
        <is>
          <t>Type TC-ER 600 V 3/C Cu XHHW-2 + ground, PVC jacket</t>
        </is>
      </c>
      <c r="K6129" s="12" t="inlineStr">
        <is>
          <t>LV|3/C+G|2</t>
        </is>
      </c>
      <c r="L6129" s="12" t="inlineStr">
        <is>
          <t>3/C+G</t>
        </is>
      </c>
      <c r="M6129" s="12" t="inlineStr">
        <is>
          <t>2</t>
        </is>
      </c>
      <c r="N6129" s="12" t="n">
        <v>1</v>
      </c>
      <c r="O6129" s="12" t="n">
        <v>1</v>
      </c>
      <c r="P6129" s="12" t="n">
        <v>480</v>
      </c>
      <c r="Q6129" s="12" t="n">
        <v>15</v>
      </c>
      <c r="R6129" s="12" t="n">
        <v>21.2</v>
      </c>
      <c r="S6129" s="12" t="inlineStr">
        <is>
          <t>Duct bank</t>
        </is>
      </c>
      <c r="T6129" s="16" t="n">
        <v>1629</v>
      </c>
      <c r="U6129" s="16" t="n">
        <v>161</v>
      </c>
      <c r="V6129" s="16">
        <f>ROUNDUP((T6129+U6129+2*'Read Me'!$B$13)*(1+'Read Me'!$B$12),-1)</f>
        <v/>
      </c>
      <c r="W6129" s="16">
        <f>V6129*N6129*O6129</f>
        <v/>
      </c>
      <c r="X6129" s="12">
        <f>IF(LEFT(I6129,2)="MV",2*N6129*IF(L6129="1/C",O6129,1),0)</f>
        <v/>
      </c>
      <c r="Y6129" s="12">
        <f>IF(OR(LEFT(K6129,4)="LVAX",LEFT(K6129,6)="MV15AX",LEFT(K6129,4)="CTAX",LEFT(K6129,2)="W|"),2*N6129*O6129,0)</f>
        <v/>
      </c>
      <c r="Z6129" s="12" t="inlineStr">
        <is>
          <t>VD 2.9 %</t>
        </is>
      </c>
      <c r="AA6129" s="12">
        <f>N6129*O6129</f>
        <v/>
      </c>
    </row>
    <row r="6130">
      <c r="A6130" s="12" t="inlineStr">
        <is>
          <t>C-P-0048</t>
        </is>
      </c>
      <c r="B6130" s="12" t="inlineStr">
        <is>
          <t>C</t>
        </is>
      </c>
      <c r="C6130" s="12" t="inlineStr">
        <is>
          <t>Grid interface</t>
        </is>
      </c>
      <c r="D6130" s="12" t="inlineStr">
        <is>
          <t>Motor 19 of 20, 15 kW</t>
        </is>
      </c>
      <c r="E6130" s="12" t="inlineStr">
        <is>
          <t>MCC-C1</t>
        </is>
      </c>
      <c r="F6130" s="12" t="inlineStr">
        <is>
          <t>R1 MCC-C1</t>
        </is>
      </c>
      <c r="G6130" s="12" t="inlineStr"/>
      <c r="H6130" s="12" t="inlineStr">
        <is>
          <t>Water treatment building: rooftop HVAC, exhaust fans, vents</t>
        </is>
      </c>
      <c r="I6130" s="12" t="inlineStr">
        <is>
          <t>LV 600 V</t>
        </is>
      </c>
      <c r="J6130" s="12" t="inlineStr">
        <is>
          <t>Type TC-ER 600 V 3/C Cu XHHW-2 + ground, PVC jacket</t>
        </is>
      </c>
      <c r="K6130" s="12" t="inlineStr">
        <is>
          <t>LV|3/C+G|2</t>
        </is>
      </c>
      <c r="L6130" s="12" t="inlineStr">
        <is>
          <t>3/C+G</t>
        </is>
      </c>
      <c r="M6130" s="12" t="inlineStr">
        <is>
          <t>2</t>
        </is>
      </c>
      <c r="N6130" s="12" t="n">
        <v>1</v>
      </c>
      <c r="O6130" s="12" t="n">
        <v>1</v>
      </c>
      <c r="P6130" s="12" t="n">
        <v>480</v>
      </c>
      <c r="Q6130" s="12" t="n">
        <v>15</v>
      </c>
      <c r="R6130" s="12" t="n">
        <v>21.2</v>
      </c>
      <c r="S6130" s="12" t="inlineStr">
        <is>
          <t>Duct bank</t>
        </is>
      </c>
      <c r="T6130" s="16" t="n">
        <v>1629</v>
      </c>
      <c r="U6130" s="16" t="n">
        <v>161</v>
      </c>
      <c r="V6130" s="16">
        <f>ROUNDUP((T6130+U6130+2*'Read Me'!$B$13)*(1+'Read Me'!$B$12),-1)</f>
        <v/>
      </c>
      <c r="W6130" s="16">
        <f>V6130*N6130*O6130</f>
        <v/>
      </c>
      <c r="X6130" s="12">
        <f>IF(LEFT(I6130,2)="MV",2*N6130*IF(L6130="1/C",O6130,1),0)</f>
        <v/>
      </c>
      <c r="Y6130" s="12">
        <f>IF(OR(LEFT(K6130,4)="LVAX",LEFT(K6130,6)="MV15AX",LEFT(K6130,4)="CTAX",LEFT(K6130,2)="W|"),2*N6130*O6130,0)</f>
        <v/>
      </c>
      <c r="Z6130" s="12" t="inlineStr">
        <is>
          <t>VD 2.9 %</t>
        </is>
      </c>
      <c r="AA6130" s="12">
        <f>N6130*O6130</f>
        <v/>
      </c>
    </row>
    <row r="6131">
      <c r="A6131" s="12" t="inlineStr">
        <is>
          <t>C-P-0049</t>
        </is>
      </c>
      <c r="B6131" s="12" t="inlineStr">
        <is>
          <t>C</t>
        </is>
      </c>
      <c r="C6131" s="12" t="inlineStr">
        <is>
          <t>Grid interface</t>
        </is>
      </c>
      <c r="D6131" s="12" t="inlineStr">
        <is>
          <t>Motor 20 of 20, 15 kW</t>
        </is>
      </c>
      <c r="E6131" s="12" t="inlineStr">
        <is>
          <t>MCC-C1</t>
        </is>
      </c>
      <c r="F6131" s="12" t="inlineStr">
        <is>
          <t>R1 MCC-C1</t>
        </is>
      </c>
      <c r="G6131" s="12" t="inlineStr"/>
      <c r="H6131" s="12" t="inlineStr">
        <is>
          <t>Water treatment building: rooftop HVAC, exhaust fans, vents</t>
        </is>
      </c>
      <c r="I6131" s="12" t="inlineStr">
        <is>
          <t>LV 600 V</t>
        </is>
      </c>
      <c r="J6131" s="12" t="inlineStr">
        <is>
          <t>Type TC-ER 600 V 3/C Cu XHHW-2 + ground, PVC jacket</t>
        </is>
      </c>
      <c r="K6131" s="12" t="inlineStr">
        <is>
          <t>LV|3/C+G|2</t>
        </is>
      </c>
      <c r="L6131" s="12" t="inlineStr">
        <is>
          <t>3/C+G</t>
        </is>
      </c>
      <c r="M6131" s="12" t="inlineStr">
        <is>
          <t>2</t>
        </is>
      </c>
      <c r="N6131" s="12" t="n">
        <v>1</v>
      </c>
      <c r="O6131" s="12" t="n">
        <v>1</v>
      </c>
      <c r="P6131" s="12" t="n">
        <v>480</v>
      </c>
      <c r="Q6131" s="12" t="n">
        <v>15</v>
      </c>
      <c r="R6131" s="12" t="n">
        <v>21.2</v>
      </c>
      <c r="S6131" s="12" t="inlineStr">
        <is>
          <t>Duct bank</t>
        </is>
      </c>
      <c r="T6131" s="16" t="n">
        <v>1629</v>
      </c>
      <c r="U6131" s="16" t="n">
        <v>161</v>
      </c>
      <c r="V6131" s="16">
        <f>ROUNDUP((T6131+U6131+2*'Read Me'!$B$13)*(1+'Read Me'!$B$12),-1)</f>
        <v/>
      </c>
      <c r="W6131" s="16">
        <f>V6131*N6131*O6131</f>
        <v/>
      </c>
      <c r="X6131" s="12">
        <f>IF(LEFT(I6131,2)="MV",2*N6131*IF(L6131="1/C",O6131,1),0)</f>
        <v/>
      </c>
      <c r="Y6131" s="12">
        <f>IF(OR(LEFT(K6131,4)="LVAX",LEFT(K6131,6)="MV15AX",LEFT(K6131,4)="CTAX",LEFT(K6131,2)="W|"),2*N6131*O6131,0)</f>
        <v/>
      </c>
      <c r="Z6131" s="12" t="inlineStr">
        <is>
          <t>VD 2.9 %</t>
        </is>
      </c>
      <c r="AA6131" s="12">
        <f>N6131*O6131</f>
        <v/>
      </c>
    </row>
  </sheetData>
  <autoFilter ref="A1:AA61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Schedule'!$AA$2:$AA$6131,'Cable Schedule'!$K$2:$K$6131,A2)</f>
        <v/>
      </c>
      <c r="G2" s="18">
        <f>SUMIFS('Cable Schedule'!$W$2:$W$6131,'Cable Schedule'!$K$2:$K$6131,A2)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Schedule'!$AA$2:$AA$6131,'Cable Schedule'!$K$2:$K$6131,A3)</f>
        <v/>
      </c>
      <c r="G3" s="18">
        <f>SUMIFS('Cable Schedule'!$W$2:$W$6131,'Cable Schedule'!$K$2:$K$6131,A3)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Schedule'!$AA$2:$AA$6131,'Cable Schedule'!$K$2:$K$6131,A4)</f>
        <v/>
      </c>
      <c r="G4" s="18">
        <f>SUMIFS('Cable Schedule'!$W$2:$W$6131,'Cable Schedule'!$K$2:$K$6131,A4)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Schedule'!$AA$2:$AA$6131,'Cable Schedule'!$K$2:$K$6131,A5)</f>
        <v/>
      </c>
      <c r="G5" s="18">
        <f>SUMIFS('Cable Schedule'!$W$2:$W$6131,'Cable Schedule'!$K$2:$K$6131,A5)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Schedule'!$AA$2:$AA$6131,'Cable Schedule'!$K$2:$K$6131,A6)</f>
        <v/>
      </c>
      <c r="G6" s="18">
        <f>SUMIFS('Cable Schedule'!$W$2:$W$6131,'Cable Schedule'!$K$2:$K$6131,A6)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Schedule'!$AA$2:$AA$6131,'Cable Schedule'!$K$2:$K$6131,A7)</f>
        <v/>
      </c>
      <c r="G7" s="18">
        <f>SUMIFS('Cable Schedule'!$W$2:$W$6131,'Cable Schedule'!$K$2:$K$6131,A7)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Schedule'!$AA$2:$AA$6131,'Cable Schedule'!$K$2:$K$6131,A8)</f>
        <v/>
      </c>
      <c r="G8" s="18">
        <f>SUMIFS('Cable Schedule'!$W$2:$W$6131,'Cable Schedule'!$K$2:$K$6131,A8)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Schedule'!$AA$2:$AA$6131,'Cable Schedule'!$K$2:$K$6131,A9)</f>
        <v/>
      </c>
      <c r="G9" s="18">
        <f>SUMIFS('Cable Schedule'!$W$2:$W$6131,'Cable Schedule'!$K$2:$K$6131,A9)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Schedule'!$AA$2:$AA$6131,'Cable Schedule'!$K$2:$K$6131,A10)</f>
        <v/>
      </c>
      <c r="G10" s="18">
        <f>SUMIFS('Cable Schedule'!$W$2:$W$6131,'Cable Schedule'!$K$2:$K$6131,A10)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Schedule'!$AA$2:$AA$6131,'Cable Schedule'!$K$2:$K$6131,A11)</f>
        <v/>
      </c>
      <c r="G11" s="18">
        <f>SUMIFS('Cable Schedule'!$W$2:$W$6131,'Cable Schedule'!$K$2:$K$6131,A11)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Schedule'!$AA$2:$AA$6131,'Cable Schedule'!$K$2:$K$6131,A12)</f>
        <v/>
      </c>
      <c r="G12" s="18">
        <f>SUMIFS('Cable Schedule'!$W$2:$W$6131,'Cable Schedule'!$K$2:$K$6131,A12)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Schedule'!$AA$2:$AA$6131,'Cable Schedule'!$K$2:$K$6131,A13)</f>
        <v/>
      </c>
      <c r="G13" s="18">
        <f>SUMIFS('Cable Schedule'!$W$2:$W$6131,'Cable Schedule'!$K$2:$K$6131,A13)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Schedule'!$AA$2:$AA$6131,'Cable Schedule'!$K$2:$K$6131,A14)</f>
        <v/>
      </c>
      <c r="G14" s="18">
        <f>SUMIFS('Cable Schedule'!$W$2:$W$6131,'Cable Schedule'!$K$2:$K$6131,A14)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Schedule'!$AA$2:$AA$6131,'Cable Schedule'!$K$2:$K$6131,A15)</f>
        <v/>
      </c>
      <c r="G15" s="18">
        <f>SUMIFS('Cable Schedule'!$W$2:$W$6131,'Cable Schedule'!$K$2:$K$6131,A15)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Schedule'!$AA$2:$AA$6131,'Cable Schedule'!$K$2:$K$6131,A16)</f>
        <v/>
      </c>
      <c r="G16" s="18">
        <f>SUMIFS('Cable Schedule'!$W$2:$W$6131,'Cable Schedule'!$K$2:$K$6131,A16)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Schedule'!$AA$2:$AA$6131,'Cable Schedule'!$K$2:$K$6131,A17)</f>
        <v/>
      </c>
      <c r="G17" s="18">
        <f>SUMIFS('Cable Schedule'!$W$2:$W$6131,'Cable Schedule'!$K$2:$K$6131,A17)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Schedule'!$AA$2:$AA$6131,'Cable Schedule'!$K$2:$K$6131,A18)</f>
        <v/>
      </c>
      <c r="G18" s="18">
        <f>SUMIFS('Cable Schedule'!$W$2:$W$6131,'Cable Schedule'!$K$2:$K$6131,A18)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Schedule'!$AA$2:$AA$6131,'Cable Schedule'!$K$2:$K$6131,A19)</f>
        <v/>
      </c>
      <c r="G19" s="18">
        <f>SUMIFS('Cable Schedule'!$W$2:$W$6131,'Cable Schedule'!$K$2:$K$6131,A19)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Schedule'!$AA$2:$AA$6131,'Cable Schedule'!$K$2:$K$6131,A20)</f>
        <v/>
      </c>
      <c r="G20" s="18">
        <f>SUMIFS('Cable Schedule'!$W$2:$W$6131,'Cable Schedule'!$K$2:$K$6131,A20)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Schedule'!$AA$2:$AA$6131,'Cable Schedule'!$K$2:$K$6131,A21)</f>
        <v/>
      </c>
      <c r="G21" s="18">
        <f>SUMIFS('Cable Schedule'!$W$2:$W$6131,'Cable Schedule'!$K$2:$K$6131,A21)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Schedule'!$AA$2:$AA$6131,'Cable Schedule'!$K$2:$K$6131,A22)</f>
        <v/>
      </c>
      <c r="G22" s="18">
        <f>SUMIFS('Cable Schedule'!$W$2:$W$6131,'Cable Schedule'!$K$2:$K$6131,A22)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Schedule'!$AA$2:$AA$6131,'Cable Schedule'!$K$2:$K$6131,A23)</f>
        <v/>
      </c>
      <c r="G23" s="18">
        <f>SUMIFS('Cable Schedule'!$W$2:$W$6131,'Cable Schedule'!$K$2:$K$6131,A23)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Schedule'!$AA$2:$AA$6131,'Cable Schedule'!$K$2:$K$6131,A24)</f>
        <v/>
      </c>
      <c r="G24" s="18">
        <f>SUMIFS('Cable Schedule'!$W$2:$W$6131,'Cable Schedule'!$K$2:$K$6131,A24)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Schedule'!$AA$2:$AA$6131,'Cable Schedule'!$K$2:$K$6131,A25)</f>
        <v/>
      </c>
      <c r="G25" s="18">
        <f>SUMIFS('Cable Schedule'!$W$2:$W$6131,'Cable Schedule'!$K$2:$K$6131,A25)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Schedule'!$AA$2:$AA$6131,'Cable Schedule'!$K$2:$K$6131,A26)</f>
        <v/>
      </c>
      <c r="G26" s="18">
        <f>SUMIFS('Cable Schedule'!$W$2:$W$6131,'Cable Schedule'!$K$2:$K$6131,A26)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Schedule'!$AA$2:$AA$6131,'Cable Schedule'!$K$2:$K$6131,A27)</f>
        <v/>
      </c>
      <c r="G27" s="18">
        <f>SUMIFS('Cable Schedule'!$W$2:$W$6131,'Cable Schedule'!$K$2:$K$6131,A27)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Schedule'!$AA$2:$AA$6131,'Cable Schedule'!$K$2:$K$6131,A28)</f>
        <v/>
      </c>
      <c r="G28" s="18">
        <f>SUMIFS('Cable Schedule'!$W$2:$W$6131,'Cable Schedule'!$K$2:$K$6131,A28)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Schedule'!$AA$2:$AA$6131,'Cable Schedule'!$K$2:$K$6131,A29)</f>
        <v/>
      </c>
      <c r="G29" s="18">
        <f>SUMIFS('Cable Schedule'!$W$2:$W$6131,'Cable Schedule'!$K$2:$K$6131,A29)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Schedule'!$AA$2:$AA$6131,'Cable Schedule'!$K$2:$K$6131,A30)</f>
        <v/>
      </c>
      <c r="G30" s="18">
        <f>SUMIFS('Cable Schedule'!$W$2:$W$6131,'Cable Schedule'!$K$2:$K$6131,A30)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Schedule'!$AA$2:$AA$6131,'Cable Schedule'!$K$2:$K$6131,A31)</f>
        <v/>
      </c>
      <c r="G31" s="18">
        <f>SUMIFS('Cable Schedule'!$W$2:$W$6131,'Cable Schedule'!$K$2:$K$6131,A31)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Schedule'!$AA$2:$AA$6131,'Cable Schedule'!$K$2:$K$6131,A32)</f>
        <v/>
      </c>
      <c r="G32" s="18">
        <f>SUMIFS('Cable Schedule'!$W$2:$W$6131,'Cable Schedule'!$K$2:$K$6131,A32)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Schedule'!$AA$2:$AA$6131,'Cable Schedule'!$K$2:$K$6131,A33)</f>
        <v/>
      </c>
      <c r="G33" s="18">
        <f>SUMIFS('Cable Schedule'!$W$2:$W$6131,'Cable Schedule'!$K$2:$K$6131,A33)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Schedule'!$AA$2:$AA$6131,'Cable Schedule'!$K$2:$K$6131,A34)</f>
        <v/>
      </c>
      <c r="G34" s="18">
        <f>SUMIFS('Cable Schedule'!$W$2:$W$6131,'Cable Schedule'!$K$2:$K$6131,A34)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Schedule'!$AA$2:$AA$6131,'Cable Schedule'!$K$2:$K$6131,A35)</f>
        <v/>
      </c>
      <c r="G35" s="18">
        <f>SUMIFS('Cable Schedule'!$W$2:$W$6131,'Cable Schedule'!$K$2:$K$6131,A35)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Schedule'!$AA$2:$AA$6131,'Cable Schedule'!$K$2:$K$6131,A36)</f>
        <v/>
      </c>
      <c r="G36" s="18">
        <f>SUMIFS('Cable Schedule'!$W$2:$W$6131,'Cable Schedule'!$K$2:$K$6131,A36)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Schedule'!$AA$2:$AA$6131,'Cable Schedule'!$K$2:$K$6131,A37)</f>
        <v/>
      </c>
      <c r="G37" s="18">
        <f>SUMIFS('Cable Schedule'!$W$2:$W$6131,'Cable Schedule'!$K$2:$K$6131,A37)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Schedule'!$AA$2:$AA$6131,'Cable Schedule'!$K$2:$K$6131,A38)</f>
        <v/>
      </c>
      <c r="G38" s="18">
        <f>SUMIFS('Cable Schedule'!$W$2:$W$6131,'Cable Schedule'!$K$2:$K$6131,A38)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Schedule'!$AA$2:$AA$6131,'Cable Schedule'!$K$2:$K$6131,A39)</f>
        <v/>
      </c>
      <c r="G39" s="18">
        <f>SUMIFS('Cable Schedule'!$W$2:$W$6131,'Cable Schedule'!$K$2:$K$6131,A39)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Schedule'!$AA$2:$AA$6131,'Cable Schedule'!$K$2:$K$6131,A40)</f>
        <v/>
      </c>
      <c r="G40" s="18">
        <f>SUMIFS('Cable Schedule'!$W$2:$W$6131,'Cable Schedule'!$K$2:$K$6131,A40)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Schedule'!$AA$2:$AA$6131,'Cable Schedule'!$K$2:$K$6131,A41)</f>
        <v/>
      </c>
      <c r="G41" s="18">
        <f>SUMIFS('Cable Schedule'!$W$2:$W$6131,'Cable Schedule'!$K$2:$K$6131,A41)</f>
        <v/>
      </c>
      <c r="H41" s="19">
        <f>'Read Me'!$B$14</f>
        <v/>
      </c>
      <c r="I41" s="16">
        <f>ROUNDUP(G41*(1+H41),-2)</f>
        <v/>
      </c>
      <c r="J41" s="20" t="n">
        <v>2500</v>
      </c>
      <c r="K41" s="12">
        <f>IF(J41&gt;0,ROUNDUP(I41/J41,0),0)</f>
        <v/>
      </c>
      <c r="L41" s="21">
        <f>I41*0.3048/1000</f>
        <v/>
      </c>
    </row>
    <row r="42">
      <c r="A42" s="12" t="inlineStr">
        <is>
          <t>LV1C|1/C|600</t>
        </is>
      </c>
      <c r="B42" s="12" t="inlineStr">
        <is>
          <t>LV 600 V</t>
        </is>
      </c>
      <c r="C42" s="12" t="inlineStr">
        <is>
          <t>XHHW-2 600 V 1/C Cu (feeder sets in tray / duct)</t>
        </is>
      </c>
      <c r="D42" s="12" t="inlineStr">
        <is>
          <t>1/C</t>
        </is>
      </c>
      <c r="E42" s="12" t="inlineStr">
        <is>
          <t>600 kcmil</t>
        </is>
      </c>
      <c r="F42" s="17">
        <f>SUMIFS('Cable Schedule'!$AA$2:$AA$6131,'Cable Schedule'!$K$2:$K$6131,A42)</f>
        <v/>
      </c>
      <c r="G42" s="18">
        <f>SUMIFS('Cable Schedule'!$W$2:$W$6131,'Cable Schedule'!$K$2:$K$6131,A42)</f>
        <v/>
      </c>
      <c r="H42" s="19">
        <f>'Read Me'!$B$14</f>
        <v/>
      </c>
      <c r="I42" s="16">
        <f>ROUNDUP(G42*(1+H42),-2)</f>
        <v/>
      </c>
      <c r="J42" s="20" t="n">
        <v>2500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Schedule'!$AA$2:$AA$6131,'Cable Schedule'!$K$2:$K$6131,A43)</f>
        <v/>
      </c>
      <c r="G43" s="18">
        <f>SUMIFS('Cable Schedule'!$W$2:$W$6131,'Cable Schedule'!$K$2:$K$6131,A43)</f>
        <v/>
      </c>
      <c r="H43" s="19">
        <f>'Read Me'!$B$14</f>
        <v/>
      </c>
      <c r="I43" s="16">
        <f>ROUNDUP(G43*(1+H43),-2)</f>
        <v/>
      </c>
      <c r="J43" s="20" t="n">
        <v>2000</v>
      </c>
      <c r="K43" s="12">
        <f>IF(J43&gt;0,ROUNDUP(I43/J43,0),0)</f>
        <v/>
      </c>
      <c r="L43" s="21">
        <f>I43*0.3048/1000</f>
        <v/>
      </c>
    </row>
    <row r="44">
      <c r="A44" s="12" t="inlineStr">
        <is>
          <t>LVAX|3/C+G|8</t>
        </is>
      </c>
      <c r="B44" s="12" t="inlineStr">
        <is>
          <t>LV 600 V</t>
        </is>
      </c>
      <c r="C44" s="12" t="inlineStr">
        <is>
          <t>ARMOR-X MC-HL 600 V 3/C Cu XHHW-2 + ground, CWA, black PVC (Class I Div 2)</t>
        </is>
      </c>
      <c r="D44" s="12" t="inlineStr">
        <is>
          <t>3/C+G</t>
        </is>
      </c>
      <c r="E44" s="12" t="inlineStr">
        <is>
          <t>8</t>
        </is>
      </c>
      <c r="F44" s="17">
        <f>SUMIFS('Cable Schedule'!$AA$2:$AA$6131,'Cable Schedule'!$K$2:$K$6131,A44)</f>
        <v/>
      </c>
      <c r="G44" s="18">
        <f>SUMIFS('Cable Schedule'!$W$2:$W$6131,'Cable Schedule'!$K$2:$K$6131,A44)</f>
        <v/>
      </c>
      <c r="H44" s="19">
        <f>'Read Me'!$B$14</f>
        <v/>
      </c>
      <c r="I44" s="16">
        <f>ROUNDUP(G44*(1+H44),-2)</f>
        <v/>
      </c>
      <c r="J44" s="20" t="n">
        <v>2000</v>
      </c>
      <c r="K44" s="12">
        <f>IF(J44&gt;0,ROUNDUP(I44/J44,0),0)</f>
        <v/>
      </c>
      <c r="L44" s="21">
        <f>I44*0.3048/1000</f>
        <v/>
      </c>
    </row>
    <row r="45">
      <c r="A45" s="12" t="inlineStr">
        <is>
          <t>LVAX|3/C+G|6</t>
        </is>
      </c>
      <c r="B45" s="12" t="inlineStr">
        <is>
          <t>LV 600 V</t>
        </is>
      </c>
      <c r="C45" s="12" t="inlineStr">
        <is>
          <t>ARMOR-X MC-HL 600 V 3/C Cu XHHW-2 + ground, CWA, black PVC (Class I Div 2)</t>
        </is>
      </c>
      <c r="D45" s="12" t="inlineStr">
        <is>
          <t>3/C+G</t>
        </is>
      </c>
      <c r="E45" s="12" t="inlineStr">
        <is>
          <t>6</t>
        </is>
      </c>
      <c r="F45" s="17">
        <f>SUMIFS('Cable Schedule'!$AA$2:$AA$6131,'Cable Schedule'!$K$2:$K$6131,A45)</f>
        <v/>
      </c>
      <c r="G45" s="18">
        <f>SUMIFS('Cable Schedule'!$W$2:$W$6131,'Cable Schedule'!$K$2:$K$6131,A45)</f>
        <v/>
      </c>
      <c r="H45" s="19">
        <f>'Read Me'!$B$14</f>
        <v/>
      </c>
      <c r="I45" s="16">
        <f>ROUNDUP(G45*(1+H45),-2)</f>
        <v/>
      </c>
      <c r="J45" s="20" t="n">
        <v>2000</v>
      </c>
      <c r="K45" s="12">
        <f>IF(J45&gt;0,ROUNDUP(I45/J45,0),0)</f>
        <v/>
      </c>
      <c r="L45" s="21">
        <f>I45*0.3048/1000</f>
        <v/>
      </c>
    </row>
    <row r="46">
      <c r="A46" s="12" t="inlineStr">
        <is>
          <t>LVAX|3/C+G|4</t>
        </is>
      </c>
      <c r="B46" s="12" t="inlineStr">
        <is>
          <t>LV 600 V</t>
        </is>
      </c>
      <c r="C46" s="12" t="inlineStr">
        <is>
          <t>ARMOR-X MC-HL 600 V 3/C Cu XHHW-2 + ground, CWA, black PVC (Class I Div 2)</t>
        </is>
      </c>
      <c r="D46" s="12" t="inlineStr">
        <is>
          <t>3/C+G</t>
        </is>
      </c>
      <c r="E46" s="12" t="inlineStr">
        <is>
          <t>4</t>
        </is>
      </c>
      <c r="F46" s="17">
        <f>SUMIFS('Cable Schedule'!$AA$2:$AA$6131,'Cable Schedule'!$K$2:$K$6131,A46)</f>
        <v/>
      </c>
      <c r="G46" s="18">
        <f>SUMIFS('Cable Schedule'!$W$2:$W$6131,'Cable Schedule'!$K$2:$K$6131,A46)</f>
        <v/>
      </c>
      <c r="H46" s="19">
        <f>'Read Me'!$B$14</f>
        <v/>
      </c>
      <c r="I46" s="16">
        <f>ROUNDUP(G46*(1+H46),-2)</f>
        <v/>
      </c>
      <c r="J46" s="20" t="n">
        <v>2000</v>
      </c>
      <c r="K46" s="12">
        <f>IF(J46&gt;0,ROUNDUP(I46/J46,0),0)</f>
        <v/>
      </c>
      <c r="L46" s="21">
        <f>I46*0.3048/1000</f>
        <v/>
      </c>
    </row>
    <row r="47">
      <c r="A47" s="12" t="inlineStr">
        <is>
          <t>LVAX|3/C+G|2</t>
        </is>
      </c>
      <c r="B47" s="12" t="inlineStr">
        <is>
          <t>LV 600 V</t>
        </is>
      </c>
      <c r="C47" s="12" t="inlineStr">
        <is>
          <t>ARMOR-X MC-HL 600 V 3/C Cu XHHW-2 + ground, CWA, black PVC (Class I Div 2)</t>
        </is>
      </c>
      <c r="D47" s="12" t="inlineStr">
        <is>
          <t>3/C+G</t>
        </is>
      </c>
      <c r="E47" s="12" t="inlineStr">
        <is>
          <t>2</t>
        </is>
      </c>
      <c r="F47" s="17">
        <f>SUMIFS('Cable Schedule'!$AA$2:$AA$6131,'Cable Schedule'!$K$2:$K$6131,A47)</f>
        <v/>
      </c>
      <c r="G47" s="18">
        <f>SUMIFS('Cable Schedule'!$W$2:$W$6131,'Cable Schedule'!$K$2:$K$6131,A47)</f>
        <v/>
      </c>
      <c r="H47" s="19">
        <f>'Read Me'!$B$14</f>
        <v/>
      </c>
      <c r="I47" s="16">
        <f>ROUNDUP(G47*(1+H47),-2)</f>
        <v/>
      </c>
      <c r="J47" s="20" t="n">
        <v>2000</v>
      </c>
      <c r="K47" s="12">
        <f>IF(J47&gt;0,ROUNDUP(I47/J47,0),0)</f>
        <v/>
      </c>
      <c r="L47" s="21">
        <f>I47*0.3048/1000</f>
        <v/>
      </c>
    </row>
    <row r="48">
      <c r="A48" s="12" t="inlineStr">
        <is>
          <t>LVAX|3/C+G|1</t>
        </is>
      </c>
      <c r="B48" s="12" t="inlineStr">
        <is>
          <t>LV 600 V</t>
        </is>
      </c>
      <c r="C48" s="12" t="inlineStr">
        <is>
          <t>ARMOR-X MC-HL 600 V 3/C Cu XHHW-2 + ground, CWA, black PVC (Class I Div 2)</t>
        </is>
      </c>
      <c r="D48" s="12" t="inlineStr">
        <is>
          <t>3/C+G</t>
        </is>
      </c>
      <c r="E48" s="12" t="inlineStr">
        <is>
          <t>1</t>
        </is>
      </c>
      <c r="F48" s="17">
        <f>SUMIFS('Cable Schedule'!$AA$2:$AA$6131,'Cable Schedule'!$K$2:$K$6131,A48)</f>
        <v/>
      </c>
      <c r="G48" s="18">
        <f>SUMIFS('Cable Schedule'!$W$2:$W$6131,'Cable Schedule'!$K$2:$K$6131,A48)</f>
        <v/>
      </c>
      <c r="H48" s="19">
        <f>'Read Me'!$B$14</f>
        <v/>
      </c>
      <c r="I48" s="16">
        <f>ROUNDUP(G48*(1+H48),-2)</f>
        <v/>
      </c>
      <c r="J48" s="20" t="n">
        <v>2000</v>
      </c>
      <c r="K48" s="12">
        <f>IF(J48&gt;0,ROUNDUP(I48/J48,0),0)</f>
        <v/>
      </c>
      <c r="L48" s="21">
        <f>I48*0.3048/1000</f>
        <v/>
      </c>
    </row>
    <row r="49">
      <c r="A49" s="12" t="inlineStr">
        <is>
          <t>LVAX|3/C+G|1/0</t>
        </is>
      </c>
      <c r="B49" s="12" t="inlineStr">
        <is>
          <t>LV 600 V</t>
        </is>
      </c>
      <c r="C49" s="12" t="inlineStr">
        <is>
          <t>ARMOR-X MC-HL 600 V 3/C Cu XHHW-2 + ground, CWA, black PVC (Class I Div 2)</t>
        </is>
      </c>
      <c r="D49" s="12" t="inlineStr">
        <is>
          <t>3/C+G</t>
        </is>
      </c>
      <c r="E49" s="12" t="inlineStr">
        <is>
          <t>1/0</t>
        </is>
      </c>
      <c r="F49" s="17">
        <f>SUMIFS('Cable Schedule'!$AA$2:$AA$6131,'Cable Schedule'!$K$2:$K$6131,A49)</f>
        <v/>
      </c>
      <c r="G49" s="18">
        <f>SUMIFS('Cable Schedule'!$W$2:$W$6131,'Cable Schedule'!$K$2:$K$6131,A49)</f>
        <v/>
      </c>
      <c r="H49" s="19">
        <f>'Read Me'!$B$14</f>
        <v/>
      </c>
      <c r="I49" s="16">
        <f>ROUNDUP(G49*(1+H49),-2)</f>
        <v/>
      </c>
      <c r="J49" s="20" t="n">
        <v>2000</v>
      </c>
      <c r="K49" s="12">
        <f>IF(J49&gt;0,ROUNDUP(I49/J49,0),0)</f>
        <v/>
      </c>
      <c r="L49" s="21">
        <f>I49*0.3048/1000</f>
        <v/>
      </c>
    </row>
    <row r="50">
      <c r="A50" s="12" t="inlineStr">
        <is>
          <t>LVAX|3/C+G|4/0</t>
        </is>
      </c>
      <c r="B50" s="12" t="inlineStr">
        <is>
          <t>LV 600 V</t>
        </is>
      </c>
      <c r="C50" s="12" t="inlineStr">
        <is>
          <t>ARMOR-X MC-HL 600 V 3/C Cu XHHW-2 + ground, CWA, black PVC (Class I Div 2)</t>
        </is>
      </c>
      <c r="D50" s="12" t="inlineStr">
        <is>
          <t>3/C+G</t>
        </is>
      </c>
      <c r="E50" s="12" t="inlineStr">
        <is>
          <t>4/0</t>
        </is>
      </c>
      <c r="F50" s="17">
        <f>SUMIFS('Cable Schedule'!$AA$2:$AA$6131,'Cable Schedule'!$K$2:$K$6131,A50)</f>
        <v/>
      </c>
      <c r="G50" s="18">
        <f>SUMIFS('Cable Schedule'!$W$2:$W$6131,'Cable Schedule'!$K$2:$K$6131,A50)</f>
        <v/>
      </c>
      <c r="H50" s="19">
        <f>'Read Me'!$B$14</f>
        <v/>
      </c>
      <c r="I50" s="16">
        <f>ROUNDUP(G50*(1+H50),-2)</f>
        <v/>
      </c>
      <c r="J50" s="20" t="n">
        <v>2000</v>
      </c>
      <c r="K50" s="12">
        <f>IF(J50&gt;0,ROUNDUP(I50/J50,0),0)</f>
        <v/>
      </c>
      <c r="L50" s="21">
        <f>I50*0.3048/1000</f>
        <v/>
      </c>
    </row>
    <row r="51">
      <c r="A51" s="12" t="inlineStr">
        <is>
          <t>LVAX|3/C+G|350</t>
        </is>
      </c>
      <c r="B51" s="12" t="inlineStr">
        <is>
          <t>LV 600 V</t>
        </is>
      </c>
      <c r="C51" s="12" t="inlineStr">
        <is>
          <t>ARMOR-X MC-HL 600 V 3/C Cu XHHW-2 + ground, CWA, black PVC (Class I Div 2)</t>
        </is>
      </c>
      <c r="D51" s="12" t="inlineStr">
        <is>
          <t>3/C+G</t>
        </is>
      </c>
      <c r="E51" s="12" t="inlineStr">
        <is>
          <t>350 kcmil</t>
        </is>
      </c>
      <c r="F51" s="17">
        <f>SUMIFS('Cable Schedule'!$AA$2:$AA$6131,'Cable Schedule'!$K$2:$K$6131,A51)</f>
        <v/>
      </c>
      <c r="G51" s="18">
        <f>SUMIFS('Cable Schedule'!$W$2:$W$6131,'Cable Schedule'!$K$2:$K$6131,A51)</f>
        <v/>
      </c>
      <c r="H51" s="19">
        <f>'Read Me'!$B$14</f>
        <v/>
      </c>
      <c r="I51" s="16">
        <f>ROUNDUP(G51*(1+H51),-2)</f>
        <v/>
      </c>
      <c r="J51" s="20" t="n">
        <v>2000</v>
      </c>
      <c r="K51" s="12">
        <f>IF(J51&gt;0,ROUNDUP(I51/J51,0),0)</f>
        <v/>
      </c>
      <c r="L51" s="21">
        <f>I51*0.3048/1000</f>
        <v/>
      </c>
    </row>
    <row r="52">
      <c r="A52" s="12" t="inlineStr">
        <is>
          <t>VFD|3/C+3G|6</t>
        </is>
      </c>
      <c r="B52" s="12" t="inlineStr">
        <is>
          <t>LV 600 V</t>
        </is>
      </c>
      <c r="C52" s="12" t="inlineStr">
        <is>
          <t>VFD cable 600 V 3/C Cu XHHW-2, 3 symmetrical grounds, overall Cu tape shield, TC-ER</t>
        </is>
      </c>
      <c r="D52" s="12" t="inlineStr">
        <is>
          <t>3/C+3G</t>
        </is>
      </c>
      <c r="E52" s="12" t="inlineStr">
        <is>
          <t>6</t>
        </is>
      </c>
      <c r="F52" s="17">
        <f>SUMIFS('Cable Schedule'!$AA$2:$AA$6131,'Cable Schedule'!$K$2:$K$6131,A52)</f>
        <v/>
      </c>
      <c r="G52" s="18">
        <f>SUMIFS('Cable Schedule'!$W$2:$W$6131,'Cable Schedule'!$K$2:$K$6131,A52)</f>
        <v/>
      </c>
      <c r="H52" s="19">
        <f>'Read Me'!$B$14</f>
        <v/>
      </c>
      <c r="I52" s="16">
        <f>ROUNDUP(G52*(1+H52),-2)</f>
        <v/>
      </c>
      <c r="J52" s="20" t="n">
        <v>2500</v>
      </c>
      <c r="K52" s="12">
        <f>IF(J52&gt;0,ROUNDUP(I52/J52,0),0)</f>
        <v/>
      </c>
      <c r="L52" s="21">
        <f>I52*0.3048/1000</f>
        <v/>
      </c>
    </row>
    <row r="53">
      <c r="A53" s="12" t="inlineStr">
        <is>
          <t>VFD|3/C+3G|2</t>
        </is>
      </c>
      <c r="B53" s="12" t="inlineStr">
        <is>
          <t>LV 600 V</t>
        </is>
      </c>
      <c r="C53" s="12" t="inlineStr">
        <is>
          <t>VFD cable 600 V 3/C Cu XHHW-2, 3 symmetrical grounds, overall Cu tape shield, TC-ER</t>
        </is>
      </c>
      <c r="D53" s="12" t="inlineStr">
        <is>
          <t>3/C+3G</t>
        </is>
      </c>
      <c r="E53" s="12" t="inlineStr">
        <is>
          <t>2</t>
        </is>
      </c>
      <c r="F53" s="17">
        <f>SUMIFS('Cable Schedule'!$AA$2:$AA$6131,'Cable Schedule'!$K$2:$K$6131,A53)</f>
        <v/>
      </c>
      <c r="G53" s="18">
        <f>SUMIFS('Cable Schedule'!$W$2:$W$6131,'Cable Schedule'!$K$2:$K$6131,A53)</f>
        <v/>
      </c>
      <c r="H53" s="19">
        <f>'Read Me'!$B$14</f>
        <v/>
      </c>
      <c r="I53" s="16">
        <f>ROUNDUP(G53*(1+H53),-2)</f>
        <v/>
      </c>
      <c r="J53" s="20" t="n">
        <v>2500</v>
      </c>
      <c r="K53" s="12">
        <f>IF(J53&gt;0,ROUNDUP(I53/J53,0),0)</f>
        <v/>
      </c>
      <c r="L53" s="21">
        <f>I53*0.3048/1000</f>
        <v/>
      </c>
    </row>
    <row r="54">
      <c r="A54" s="12" t="inlineStr">
        <is>
          <t>VFD|3/C+3G|1</t>
        </is>
      </c>
      <c r="B54" s="12" t="inlineStr">
        <is>
          <t>LV 600 V</t>
        </is>
      </c>
      <c r="C54" s="12" t="inlineStr">
        <is>
          <t>VFD cable 600 V 3/C Cu XHHW-2, 3 symmetrical grounds, overall Cu tape shield, TC-ER</t>
        </is>
      </c>
      <c r="D54" s="12" t="inlineStr">
        <is>
          <t>3/C+3G</t>
        </is>
      </c>
      <c r="E54" s="12" t="inlineStr">
        <is>
          <t>1</t>
        </is>
      </c>
      <c r="F54" s="17">
        <f>SUMIFS('Cable Schedule'!$AA$2:$AA$6131,'Cable Schedule'!$K$2:$K$6131,A54)</f>
        <v/>
      </c>
      <c r="G54" s="18">
        <f>SUMIFS('Cable Schedule'!$W$2:$W$6131,'Cable Schedule'!$K$2:$K$6131,A54)</f>
        <v/>
      </c>
      <c r="H54" s="19">
        <f>'Read Me'!$B$14</f>
        <v/>
      </c>
      <c r="I54" s="16">
        <f>ROUNDUP(G54*(1+H54),-2)</f>
        <v/>
      </c>
      <c r="J54" s="20" t="n">
        <v>2500</v>
      </c>
      <c r="K54" s="12">
        <f>IF(J54&gt;0,ROUNDUP(I54/J54,0),0)</f>
        <v/>
      </c>
      <c r="L54" s="21">
        <f>I54*0.3048/1000</f>
        <v/>
      </c>
    </row>
    <row r="55">
      <c r="A55" s="12" t="inlineStr">
        <is>
          <t>VFD|3/C+3G|2/0</t>
        </is>
      </c>
      <c r="B55" s="12" t="inlineStr">
        <is>
          <t>LV 600 V</t>
        </is>
      </c>
      <c r="C55" s="12" t="inlineStr">
        <is>
          <t>VFD cable 600 V 3/C Cu XHHW-2, 3 symmetrical grounds, overall Cu tape shield, TC-ER</t>
        </is>
      </c>
      <c r="D55" s="12" t="inlineStr">
        <is>
          <t>3/C+3G</t>
        </is>
      </c>
      <c r="E55" s="12" t="inlineStr">
        <is>
          <t>2/0</t>
        </is>
      </c>
      <c r="F55" s="17">
        <f>SUMIFS('Cable Schedule'!$AA$2:$AA$6131,'Cable Schedule'!$K$2:$K$6131,A55)</f>
        <v/>
      </c>
      <c r="G55" s="18">
        <f>SUMIFS('Cable Schedule'!$W$2:$W$6131,'Cable Schedule'!$K$2:$K$6131,A55)</f>
        <v/>
      </c>
      <c r="H55" s="19">
        <f>'Read Me'!$B$14</f>
        <v/>
      </c>
      <c r="I55" s="16">
        <f>ROUNDUP(G55*(1+H55),-2)</f>
        <v/>
      </c>
      <c r="J55" s="20" t="n">
        <v>2500</v>
      </c>
      <c r="K55" s="12">
        <f>IF(J55&gt;0,ROUNDUP(I55/J55,0),0)</f>
        <v/>
      </c>
      <c r="L55" s="21">
        <f>I55*0.3048/1000</f>
        <v/>
      </c>
    </row>
    <row r="56">
      <c r="A56" s="12" t="inlineStr">
        <is>
          <t>VFD|3/C+3G|3/0</t>
        </is>
      </c>
      <c r="B56" s="12" t="inlineStr">
        <is>
          <t>LV 600 V</t>
        </is>
      </c>
      <c r="C56" s="12" t="inlineStr">
        <is>
          <t>VFD cable 600 V 3/C Cu XHHW-2, 3 symmetrical grounds, overall Cu tape shield, TC-ER</t>
        </is>
      </c>
      <c r="D56" s="12" t="inlineStr">
        <is>
          <t>3/C+3G</t>
        </is>
      </c>
      <c r="E56" s="12" t="inlineStr">
        <is>
          <t>3/0</t>
        </is>
      </c>
      <c r="F56" s="17">
        <f>SUMIFS('Cable Schedule'!$AA$2:$AA$6131,'Cable Schedule'!$K$2:$K$6131,A56)</f>
        <v/>
      </c>
      <c r="G56" s="18">
        <f>SUMIFS('Cable Schedule'!$W$2:$W$6131,'Cable Schedule'!$K$2:$K$6131,A56)</f>
        <v/>
      </c>
      <c r="H56" s="19">
        <f>'Read Me'!$B$14</f>
        <v/>
      </c>
      <c r="I56" s="16">
        <f>ROUNDUP(G56*(1+H56),-2)</f>
        <v/>
      </c>
      <c r="J56" s="20" t="n">
        <v>2500</v>
      </c>
      <c r="K56" s="12">
        <f>IF(J56&gt;0,ROUNDUP(I56/J56,0),0)</f>
        <v/>
      </c>
      <c r="L56" s="21">
        <f>I56*0.3048/1000</f>
        <v/>
      </c>
    </row>
    <row r="57">
      <c r="A57" s="12" t="inlineStr">
        <is>
          <t>VFD|3/C+3G|350</t>
        </is>
      </c>
      <c r="B57" s="12" t="inlineStr">
        <is>
          <t>LV 600 V</t>
        </is>
      </c>
      <c r="C57" s="12" t="inlineStr">
        <is>
          <t>VFD cable 600 V 3/C Cu XHHW-2, 3 symmetrical grounds, overall Cu tape shield, TC-ER</t>
        </is>
      </c>
      <c r="D57" s="12" t="inlineStr">
        <is>
          <t>3/C+3G</t>
        </is>
      </c>
      <c r="E57" s="12" t="inlineStr">
        <is>
          <t>350 kcmil</t>
        </is>
      </c>
      <c r="F57" s="17">
        <f>SUMIFS('Cable Schedule'!$AA$2:$AA$6131,'Cable Schedule'!$K$2:$K$6131,A57)</f>
        <v/>
      </c>
      <c r="G57" s="18">
        <f>SUMIFS('Cable Schedule'!$W$2:$W$6131,'Cable Schedule'!$K$2:$K$6131,A57)</f>
        <v/>
      </c>
      <c r="H57" s="19">
        <f>'Read Me'!$B$14</f>
        <v/>
      </c>
      <c r="I57" s="16">
        <f>ROUNDUP(G57*(1+H57),-2)</f>
        <v/>
      </c>
      <c r="J57" s="20" t="n">
        <v>2500</v>
      </c>
      <c r="K57" s="12">
        <f>IF(J57&gt;0,ROUNDUP(I57/J57,0),0)</f>
        <v/>
      </c>
      <c r="L57" s="21">
        <f>I57*0.3048/1000</f>
        <v/>
      </c>
    </row>
    <row r="58">
      <c r="A58" s="12" t="inlineStr">
        <is>
          <t>CT|12/C|14</t>
        </is>
      </c>
      <c r="B58" s="12" t="inlineStr">
        <is>
          <t>Control</t>
        </is>
      </c>
      <c r="C58" s="12" t="inlineStr">
        <is>
          <t>Control cable 600 V Type TC-ER, Cu #14 AWG, PVC jacket</t>
        </is>
      </c>
      <c r="D58" s="12" t="inlineStr">
        <is>
          <t>12/C</t>
        </is>
      </c>
      <c r="E58" s="12" t="inlineStr">
        <is>
          <t>14</t>
        </is>
      </c>
      <c r="F58" s="17">
        <f>SUMIFS('Cable Schedule'!$AA$2:$AA$6131,'Cable Schedule'!$K$2:$K$6131,A58)</f>
        <v/>
      </c>
      <c r="G58" s="18">
        <f>SUMIFS('Cable Schedule'!$W$2:$W$6131,'Cable Schedule'!$K$2:$K$6131,A58)</f>
        <v/>
      </c>
      <c r="H58" s="19">
        <f>'Read Me'!$B$14</f>
        <v/>
      </c>
      <c r="I58" s="16">
        <f>ROUNDUP(G58*(1+H58),-2)</f>
        <v/>
      </c>
      <c r="J58" s="20" t="n">
        <v>5000</v>
      </c>
      <c r="K58" s="12">
        <f>IF(J58&gt;0,ROUNDUP(I58/J58,0),0)</f>
        <v/>
      </c>
      <c r="L58" s="21">
        <f>I58*0.3048/1000</f>
        <v/>
      </c>
    </row>
    <row r="59">
      <c r="A59" s="12" t="inlineStr">
        <is>
          <t>CT|2/C|14</t>
        </is>
      </c>
      <c r="B59" s="12" t="inlineStr">
        <is>
          <t>Control</t>
        </is>
      </c>
      <c r="C59" s="12" t="inlineStr">
        <is>
          <t>Control cable 600 V Type TC-ER, Cu #14 AWG, PVC jacket</t>
        </is>
      </c>
      <c r="D59" s="12" t="inlineStr">
        <is>
          <t>2/C</t>
        </is>
      </c>
      <c r="E59" s="12" t="inlineStr">
        <is>
          <t>14</t>
        </is>
      </c>
      <c r="F59" s="17">
        <f>SUMIFS('Cable Schedule'!$AA$2:$AA$6131,'Cable Schedule'!$K$2:$K$6131,A59)</f>
        <v/>
      </c>
      <c r="G59" s="18">
        <f>SUMIFS('Cable Schedule'!$W$2:$W$6131,'Cable Schedule'!$K$2:$K$6131,A59)</f>
        <v/>
      </c>
      <c r="H59" s="19">
        <f>'Read Me'!$B$14</f>
        <v/>
      </c>
      <c r="I59" s="16">
        <f>ROUNDUP(G59*(1+H59),-2)</f>
        <v/>
      </c>
      <c r="J59" s="20" t="n">
        <v>5000</v>
      </c>
      <c r="K59" s="12">
        <f>IF(J59&gt;0,ROUNDUP(I59/J59,0),0)</f>
        <v/>
      </c>
      <c r="L59" s="21">
        <f>I59*0.3048/1000</f>
        <v/>
      </c>
    </row>
    <row r="60">
      <c r="A60" s="12" t="inlineStr">
        <is>
          <t>CT|25/C|14</t>
        </is>
      </c>
      <c r="B60" s="12" t="inlineStr">
        <is>
          <t>Control</t>
        </is>
      </c>
      <c r="C60" s="12" t="inlineStr">
        <is>
          <t>Control cable 600 V Type TC-ER, Cu #14 AWG, PVC jacket</t>
        </is>
      </c>
      <c r="D60" s="12" t="inlineStr">
        <is>
          <t>25/C</t>
        </is>
      </c>
      <c r="E60" s="12" t="inlineStr">
        <is>
          <t>14</t>
        </is>
      </c>
      <c r="F60" s="17">
        <f>SUMIFS('Cable Schedule'!$AA$2:$AA$6131,'Cable Schedule'!$K$2:$K$6131,A60)</f>
        <v/>
      </c>
      <c r="G60" s="18">
        <f>SUMIFS('Cable Schedule'!$W$2:$W$6131,'Cable Schedule'!$K$2:$K$6131,A60)</f>
        <v/>
      </c>
      <c r="H60" s="19">
        <f>'Read Me'!$B$14</f>
        <v/>
      </c>
      <c r="I60" s="16">
        <f>ROUNDUP(G60*(1+H60),-2)</f>
        <v/>
      </c>
      <c r="J60" s="20" t="n">
        <v>5000</v>
      </c>
      <c r="K60" s="12">
        <f>IF(J60&gt;0,ROUNDUP(I60/J60,0),0)</f>
        <v/>
      </c>
      <c r="L60" s="21">
        <f>I60*0.3048/1000</f>
        <v/>
      </c>
    </row>
    <row r="61">
      <c r="A61" s="12" t="inlineStr">
        <is>
          <t>CT|7/C|14</t>
        </is>
      </c>
      <c r="B61" s="12" t="inlineStr">
        <is>
          <t>Control</t>
        </is>
      </c>
      <c r="C61" s="12" t="inlineStr">
        <is>
          <t>Control cable 600 V Type TC-ER, Cu #14 AWG, PVC jacket</t>
        </is>
      </c>
      <c r="D61" s="12" t="inlineStr">
        <is>
          <t>7/C</t>
        </is>
      </c>
      <c r="E61" s="12" t="inlineStr">
        <is>
          <t>14</t>
        </is>
      </c>
      <c r="F61" s="17">
        <f>SUMIFS('Cable Schedule'!$AA$2:$AA$6131,'Cable Schedule'!$K$2:$K$6131,A61)</f>
        <v/>
      </c>
      <c r="G61" s="18">
        <f>SUMIFS('Cable Schedule'!$W$2:$W$6131,'Cable Schedule'!$K$2:$K$6131,A61)</f>
        <v/>
      </c>
      <c r="H61" s="19">
        <f>'Read Me'!$B$14</f>
        <v/>
      </c>
      <c r="I61" s="16">
        <f>ROUNDUP(G61*(1+H61),-2)</f>
        <v/>
      </c>
      <c r="J61" s="20" t="n">
        <v>5000</v>
      </c>
      <c r="K61" s="12">
        <f>IF(J61&gt;0,ROUNDUP(I61/J61,0),0)</f>
        <v/>
      </c>
      <c r="L61" s="21">
        <f>I61*0.3048/1000</f>
        <v/>
      </c>
    </row>
    <row r="62">
      <c r="A62" s="12" t="inlineStr">
        <is>
          <t>CTAX|12/C|14</t>
        </is>
      </c>
      <c r="B62" s="12" t="inlineStr">
        <is>
          <t>Control</t>
        </is>
      </c>
      <c r="C62" s="12" t="inlineStr">
        <is>
          <t>ARMOR-X MC-HL 600 V control, Cu #14 AWG (Class I Div 2)</t>
        </is>
      </c>
      <c r="D62" s="12" t="inlineStr">
        <is>
          <t>12/C</t>
        </is>
      </c>
      <c r="E62" s="12" t="inlineStr">
        <is>
          <t>14</t>
        </is>
      </c>
      <c r="F62" s="17">
        <f>SUMIFS('Cable Schedule'!$AA$2:$AA$6131,'Cable Schedule'!$K$2:$K$6131,A62)</f>
        <v/>
      </c>
      <c r="G62" s="18">
        <f>SUMIFS('Cable Schedule'!$W$2:$W$6131,'Cable Schedule'!$K$2:$K$6131,A62)</f>
        <v/>
      </c>
      <c r="H62" s="19">
        <f>'Read Me'!$B$14</f>
        <v/>
      </c>
      <c r="I62" s="16">
        <f>ROUNDUP(G62*(1+H62),-2)</f>
        <v/>
      </c>
      <c r="J62" s="20" t="n">
        <v>3000</v>
      </c>
      <c r="K62" s="12">
        <f>IF(J62&gt;0,ROUNDUP(I62/J62,0),0)</f>
        <v/>
      </c>
      <c r="L62" s="21">
        <f>I62*0.3048/1000</f>
        <v/>
      </c>
    </row>
    <row r="63">
      <c r="A63" s="12" t="inlineStr">
        <is>
          <t>CTAX|2/C|14</t>
        </is>
      </c>
      <c r="B63" s="12" t="inlineStr">
        <is>
          <t>Control</t>
        </is>
      </c>
      <c r="C63" s="12" t="inlineStr">
        <is>
          <t>ARMOR-X MC-HL 600 V control, Cu #14 AWG (Class I Div 2)</t>
        </is>
      </c>
      <c r="D63" s="12" t="inlineStr">
        <is>
          <t>2/C</t>
        </is>
      </c>
      <c r="E63" s="12" t="inlineStr">
        <is>
          <t>14</t>
        </is>
      </c>
      <c r="F63" s="17">
        <f>SUMIFS('Cable Schedule'!$AA$2:$AA$6131,'Cable Schedule'!$K$2:$K$6131,A63)</f>
        <v/>
      </c>
      <c r="G63" s="18">
        <f>SUMIFS('Cable Schedule'!$W$2:$W$6131,'Cable Schedule'!$K$2:$K$6131,A63)</f>
        <v/>
      </c>
      <c r="H63" s="19">
        <f>'Read Me'!$B$14</f>
        <v/>
      </c>
      <c r="I63" s="16">
        <f>ROUNDUP(G63*(1+H63),-2)</f>
        <v/>
      </c>
      <c r="J63" s="20" t="n">
        <v>3000</v>
      </c>
      <c r="K63" s="12">
        <f>IF(J63&gt;0,ROUNDUP(I63/J63,0),0)</f>
        <v/>
      </c>
      <c r="L63" s="21">
        <f>I63*0.3048/1000</f>
        <v/>
      </c>
    </row>
    <row r="64">
      <c r="A64" s="12" t="inlineStr">
        <is>
          <t>CTAX|25/C|14</t>
        </is>
      </c>
      <c r="B64" s="12" t="inlineStr">
        <is>
          <t>Control</t>
        </is>
      </c>
      <c r="C64" s="12" t="inlineStr">
        <is>
          <t>ARMOR-X MC-HL 600 V control, Cu #14 AWG (Class I Div 2)</t>
        </is>
      </c>
      <c r="D64" s="12" t="inlineStr">
        <is>
          <t>25/C</t>
        </is>
      </c>
      <c r="E64" s="12" t="inlineStr">
        <is>
          <t>14</t>
        </is>
      </c>
      <c r="F64" s="17">
        <f>SUMIFS('Cable Schedule'!$AA$2:$AA$6131,'Cable Schedule'!$K$2:$K$6131,A64)</f>
        <v/>
      </c>
      <c r="G64" s="18">
        <f>SUMIFS('Cable Schedule'!$W$2:$W$6131,'Cable Schedule'!$K$2:$K$6131,A64)</f>
        <v/>
      </c>
      <c r="H64" s="19">
        <f>'Read Me'!$B$14</f>
        <v/>
      </c>
      <c r="I64" s="16">
        <f>ROUNDUP(G64*(1+H64),-2)</f>
        <v/>
      </c>
      <c r="J64" s="20" t="n">
        <v>3000</v>
      </c>
      <c r="K64" s="12">
        <f>IF(J64&gt;0,ROUNDUP(I64/J64,0),0)</f>
        <v/>
      </c>
      <c r="L64" s="21">
        <f>I64*0.3048/1000</f>
        <v/>
      </c>
    </row>
    <row r="65">
      <c r="A65" s="12" t="inlineStr">
        <is>
          <t>CTAX|7/C|14</t>
        </is>
      </c>
      <c r="B65" s="12" t="inlineStr">
        <is>
          <t>Control</t>
        </is>
      </c>
      <c r="C65" s="12" t="inlineStr">
        <is>
          <t>ARMOR-X MC-HL 600 V control, Cu #14 AWG (Class I Div 2)</t>
        </is>
      </c>
      <c r="D65" s="12" t="inlineStr">
        <is>
          <t>7/C</t>
        </is>
      </c>
      <c r="E65" s="12" t="inlineStr">
        <is>
          <t>14</t>
        </is>
      </c>
      <c r="F65" s="17">
        <f>SUMIFS('Cable Schedule'!$AA$2:$AA$6131,'Cable Schedule'!$K$2:$K$6131,A65)</f>
        <v/>
      </c>
      <c r="G65" s="18">
        <f>SUMIFS('Cable Schedule'!$W$2:$W$6131,'Cable Schedule'!$K$2:$K$6131,A65)</f>
        <v/>
      </c>
      <c r="H65" s="19">
        <f>'Read Me'!$B$14</f>
        <v/>
      </c>
      <c r="I65" s="16">
        <f>ROUNDUP(G65*(1+H65),-2)</f>
        <v/>
      </c>
      <c r="J65" s="20" t="n">
        <v>3000</v>
      </c>
      <c r="K65" s="12">
        <f>IF(J65&gt;0,ROUNDUP(I65/J65,0),0)</f>
        <v/>
      </c>
      <c r="L65" s="21">
        <f>I65*0.3048/1000</f>
        <v/>
      </c>
    </row>
    <row r="66">
      <c r="A66" s="12" t="inlineStr">
        <is>
          <t>CTCT|12/C|10</t>
        </is>
      </c>
      <c r="B66" s="12" t="inlineStr">
        <is>
          <t>Control</t>
        </is>
      </c>
      <c r="C66" s="12" t="inlineStr">
        <is>
          <t>Control cable 600 V Type TC-ER, Cu #10 AWG (CT / VT circuits)</t>
        </is>
      </c>
      <c r="D66" s="12" t="inlineStr">
        <is>
          <t>12/C</t>
        </is>
      </c>
      <c r="E66" s="12" t="inlineStr">
        <is>
          <t>10</t>
        </is>
      </c>
      <c r="F66" s="17">
        <f>SUMIFS('Cable Schedule'!$AA$2:$AA$6131,'Cable Schedule'!$K$2:$K$6131,A66)</f>
        <v/>
      </c>
      <c r="G66" s="18">
        <f>SUMIFS('Cable Schedule'!$W$2:$W$6131,'Cable Schedule'!$K$2:$K$6131,A66)</f>
        <v/>
      </c>
      <c r="H66" s="19">
        <f>'Read Me'!$B$14</f>
        <v/>
      </c>
      <c r="I66" s="16">
        <f>ROUNDUP(G66*(1+H66),-2)</f>
        <v/>
      </c>
      <c r="J66" s="20" t="n">
        <v>5000</v>
      </c>
      <c r="K66" s="12">
        <f>IF(J66&gt;0,ROUNDUP(I66/J66,0),0)</f>
        <v/>
      </c>
      <c r="L66" s="21">
        <f>I66*0.3048/1000</f>
        <v/>
      </c>
    </row>
    <row r="67">
      <c r="A67" s="12" t="inlineStr">
        <is>
          <t>CTCT|4/C|10</t>
        </is>
      </c>
      <c r="B67" s="12" t="inlineStr">
        <is>
          <t>Control</t>
        </is>
      </c>
      <c r="C67" s="12" t="inlineStr">
        <is>
          <t>Control cable 600 V Type TC-ER, Cu #10 AWG (CT / VT circuits)</t>
        </is>
      </c>
      <c r="D67" s="12" t="inlineStr">
        <is>
          <t>4/C</t>
        </is>
      </c>
      <c r="E67" s="12" t="inlineStr">
        <is>
          <t>10</t>
        </is>
      </c>
      <c r="F67" s="17">
        <f>SUMIFS('Cable Schedule'!$AA$2:$AA$6131,'Cable Schedule'!$K$2:$K$6131,A67)</f>
        <v/>
      </c>
      <c r="G67" s="18">
        <f>SUMIFS('Cable Schedule'!$W$2:$W$6131,'Cable Schedule'!$K$2:$K$6131,A67)</f>
        <v/>
      </c>
      <c r="H67" s="19">
        <f>'Read Me'!$B$14</f>
        <v/>
      </c>
      <c r="I67" s="16">
        <f>ROUNDUP(G67*(1+H67),-2)</f>
        <v/>
      </c>
      <c r="J67" s="20" t="n">
        <v>5000</v>
      </c>
      <c r="K67" s="12">
        <f>IF(J67&gt;0,ROUNDUP(I67/J67,0),0)</f>
        <v/>
      </c>
      <c r="L67" s="21">
        <f>I67*0.3048/1000</f>
        <v/>
      </c>
    </row>
    <row r="68">
      <c r="A68" s="12" t="inlineStr">
        <is>
          <t>ITC|1 pr|16</t>
        </is>
      </c>
      <c r="B68" s="12" t="inlineStr">
        <is>
          <t>Instrumentation</t>
        </is>
      </c>
      <c r="C68" s="12" t="inlineStr">
        <is>
          <t>Instrumentation ITC / PLTC, IS, #18 shielded pairs, blue jacket</t>
        </is>
      </c>
      <c r="D68" s="12" t="inlineStr">
        <is>
          <t>1 pr</t>
        </is>
      </c>
      <c r="E68" s="12" t="inlineStr">
        <is>
          <t>16</t>
        </is>
      </c>
      <c r="F68" s="17">
        <f>SUMIFS('Cable Schedule'!$AA$2:$AA$6131,'Cable Schedule'!$K$2:$K$6131,A68)</f>
        <v/>
      </c>
      <c r="G68" s="18">
        <f>SUMIFS('Cable Schedule'!$W$2:$W$6131,'Cable Schedule'!$K$2:$K$6131,A68)</f>
        <v/>
      </c>
      <c r="H68" s="19">
        <f>'Read Me'!$B$14</f>
        <v/>
      </c>
      <c r="I68" s="16">
        <f>ROUNDUP(G68*(1+H68),-2)</f>
        <v/>
      </c>
      <c r="J68" s="20" t="n">
        <v>5000</v>
      </c>
      <c r="K68" s="12">
        <f>IF(J68&gt;0,ROUNDUP(I68/J68,0),0)</f>
        <v/>
      </c>
      <c r="L68" s="21">
        <f>I68*0.3048/1000</f>
        <v/>
      </c>
    </row>
    <row r="69">
      <c r="A69" s="12" t="inlineStr">
        <is>
          <t>ITC|12 pr|18</t>
        </is>
      </c>
      <c r="B69" s="12" t="inlineStr">
        <is>
          <t>Instrumentation</t>
        </is>
      </c>
      <c r="C69" s="12" t="inlineStr">
        <is>
          <t>Instrumentation ITC / PLTC, IS, #18 shielded pairs, blue jacket</t>
        </is>
      </c>
      <c r="D69" s="12" t="inlineStr">
        <is>
          <t>12 pr</t>
        </is>
      </c>
      <c r="E69" s="12" t="inlineStr">
        <is>
          <t>18</t>
        </is>
      </c>
      <c r="F69" s="17">
        <f>SUMIFS('Cable Schedule'!$AA$2:$AA$6131,'Cable Schedule'!$K$2:$K$6131,A69)</f>
        <v/>
      </c>
      <c r="G69" s="18">
        <f>SUMIFS('Cable Schedule'!$W$2:$W$6131,'Cable Schedule'!$K$2:$K$6131,A69)</f>
        <v/>
      </c>
      <c r="H69" s="19">
        <f>'Read Me'!$B$14</f>
        <v/>
      </c>
      <c r="I69" s="16">
        <f>ROUNDUP(G69*(1+H69),-2)</f>
        <v/>
      </c>
      <c r="J69" s="20" t="n">
        <v>5000</v>
      </c>
      <c r="K69" s="12">
        <f>IF(J69&gt;0,ROUNDUP(I69/J69,0),0)</f>
        <v/>
      </c>
      <c r="L69" s="21">
        <f>I69*0.3048/1000</f>
        <v/>
      </c>
    </row>
    <row r="70">
      <c r="A70" s="12" t="inlineStr">
        <is>
          <t>ITC|24 pr|18</t>
        </is>
      </c>
      <c r="B70" s="12" t="inlineStr">
        <is>
          <t>Instrumentation</t>
        </is>
      </c>
      <c r="C70" s="12" t="inlineStr">
        <is>
          <t>Instrumentation ITC / PLTC, IS, #18 shielded pairs, blue jacket</t>
        </is>
      </c>
      <c r="D70" s="12" t="inlineStr">
        <is>
          <t>24 pr</t>
        </is>
      </c>
      <c r="E70" s="12" t="inlineStr">
        <is>
          <t>18</t>
        </is>
      </c>
      <c r="F70" s="17">
        <f>SUMIFS('Cable Schedule'!$AA$2:$AA$6131,'Cable Schedule'!$K$2:$K$6131,A70)</f>
        <v/>
      </c>
      <c r="G70" s="18">
        <f>SUMIFS('Cable Schedule'!$W$2:$W$6131,'Cable Schedule'!$K$2:$K$6131,A70)</f>
        <v/>
      </c>
      <c r="H70" s="19">
        <f>'Read Me'!$B$14</f>
        <v/>
      </c>
      <c r="I70" s="16">
        <f>ROUNDUP(G70*(1+H70),-2)</f>
        <v/>
      </c>
      <c r="J70" s="20" t="n">
        <v>5000</v>
      </c>
      <c r="K70" s="12">
        <f>IF(J70&gt;0,ROUNDUP(I70/J70,0),0)</f>
        <v/>
      </c>
      <c r="L70" s="21">
        <f>I70*0.3048/1000</f>
        <v/>
      </c>
    </row>
    <row r="71">
      <c r="A71" s="12" t="inlineStr">
        <is>
          <t>ITC|4 pr|18</t>
        </is>
      </c>
      <c r="B71" s="12" t="inlineStr">
        <is>
          <t>Instrumentation</t>
        </is>
      </c>
      <c r="C71" s="12" t="inlineStr">
        <is>
          <t>Instrumentation ITC / PLTC, IS, #18 shielded pairs, blue jacket</t>
        </is>
      </c>
      <c r="D71" s="12" t="inlineStr">
        <is>
          <t>4 pr</t>
        </is>
      </c>
      <c r="E71" s="12" t="inlineStr">
        <is>
          <t>18</t>
        </is>
      </c>
      <c r="F71" s="17">
        <f>SUMIFS('Cable Schedule'!$AA$2:$AA$6131,'Cable Schedule'!$K$2:$K$6131,A71)</f>
        <v/>
      </c>
      <c r="G71" s="18">
        <f>SUMIFS('Cable Schedule'!$W$2:$W$6131,'Cable Schedule'!$K$2:$K$6131,A71)</f>
        <v/>
      </c>
      <c r="H71" s="19">
        <f>'Read Me'!$B$14</f>
        <v/>
      </c>
      <c r="I71" s="16">
        <f>ROUNDUP(G71*(1+H71),-2)</f>
        <v/>
      </c>
      <c r="J71" s="20" t="n">
        <v>5000</v>
      </c>
      <c r="K71" s="12">
        <f>IF(J71&gt;0,ROUNDUP(I71/J71,0),0)</f>
        <v/>
      </c>
      <c r="L71" s="21">
        <f>I71*0.3048/1000</f>
        <v/>
      </c>
    </row>
    <row r="72">
      <c r="A72" s="12" t="inlineStr">
        <is>
          <t>PLTC|1 pr|16</t>
        </is>
      </c>
      <c r="B72" s="12" t="inlineStr">
        <is>
          <t>Instrumentation</t>
        </is>
      </c>
      <c r="C72" s="12" t="inlineStr">
        <is>
          <t>Instrumentation PLTC / TC-ER 300 V, #18 twisted shielded pairs, overall shield</t>
        </is>
      </c>
      <c r="D72" s="12" t="inlineStr">
        <is>
          <t>1 pr</t>
        </is>
      </c>
      <c r="E72" s="12" t="inlineStr">
        <is>
          <t>16</t>
        </is>
      </c>
      <c r="F72" s="17">
        <f>SUMIFS('Cable Schedule'!$AA$2:$AA$6131,'Cable Schedule'!$K$2:$K$6131,A72)</f>
        <v/>
      </c>
      <c r="G72" s="18">
        <f>SUMIFS('Cable Schedule'!$W$2:$W$6131,'Cable Schedule'!$K$2:$K$6131,A72)</f>
        <v/>
      </c>
      <c r="H72" s="19">
        <f>'Read Me'!$B$14</f>
        <v/>
      </c>
      <c r="I72" s="16">
        <f>ROUNDUP(G72*(1+H72),-2)</f>
        <v/>
      </c>
      <c r="J72" s="20" t="n">
        <v>5000</v>
      </c>
      <c r="K72" s="12">
        <f>IF(J72&gt;0,ROUNDUP(I72/J72,0),0)</f>
        <v/>
      </c>
      <c r="L72" s="21">
        <f>I72*0.3048/1000</f>
        <v/>
      </c>
    </row>
    <row r="73">
      <c r="A73" s="12" t="inlineStr">
        <is>
          <t>PLTC|12 pr|18</t>
        </is>
      </c>
      <c r="B73" s="12" t="inlineStr">
        <is>
          <t>Instrumentation</t>
        </is>
      </c>
      <c r="C73" s="12" t="inlineStr">
        <is>
          <t>Instrumentation PLTC / TC-ER 300 V, #18 twisted shielded pairs, overall shield</t>
        </is>
      </c>
      <c r="D73" s="12" t="inlineStr">
        <is>
          <t>12 pr</t>
        </is>
      </c>
      <c r="E73" s="12" t="inlineStr">
        <is>
          <t>18</t>
        </is>
      </c>
      <c r="F73" s="17">
        <f>SUMIFS('Cable Schedule'!$AA$2:$AA$6131,'Cable Schedule'!$K$2:$K$6131,A73)</f>
        <v/>
      </c>
      <c r="G73" s="18">
        <f>SUMIFS('Cable Schedule'!$W$2:$W$6131,'Cable Schedule'!$K$2:$K$6131,A73)</f>
        <v/>
      </c>
      <c r="H73" s="19">
        <f>'Read Me'!$B$14</f>
        <v/>
      </c>
      <c r="I73" s="16">
        <f>ROUNDUP(G73*(1+H73),-2)</f>
        <v/>
      </c>
      <c r="J73" s="20" t="n">
        <v>5000</v>
      </c>
      <c r="K73" s="12">
        <f>IF(J73&gt;0,ROUNDUP(I73/J73,0),0)</f>
        <v/>
      </c>
      <c r="L73" s="21">
        <f>I73*0.3048/1000</f>
        <v/>
      </c>
    </row>
    <row r="74">
      <c r="A74" s="12" t="inlineStr">
        <is>
          <t>PLTC|24 pr|18</t>
        </is>
      </c>
      <c r="B74" s="12" t="inlineStr">
        <is>
          <t>Instrumentation</t>
        </is>
      </c>
      <c r="C74" s="12" t="inlineStr">
        <is>
          <t>Instrumentation PLTC / TC-ER 300 V, #18 twisted shielded pairs, overall shield</t>
        </is>
      </c>
      <c r="D74" s="12" t="inlineStr">
        <is>
          <t>24 pr</t>
        </is>
      </c>
      <c r="E74" s="12" t="inlineStr">
        <is>
          <t>18</t>
        </is>
      </c>
      <c r="F74" s="17">
        <f>SUMIFS('Cable Schedule'!$AA$2:$AA$6131,'Cable Schedule'!$K$2:$K$6131,A74)</f>
        <v/>
      </c>
      <c r="G74" s="18">
        <f>SUMIFS('Cable Schedule'!$W$2:$W$6131,'Cable Schedule'!$K$2:$K$6131,A74)</f>
        <v/>
      </c>
      <c r="H74" s="19">
        <f>'Read Me'!$B$14</f>
        <v/>
      </c>
      <c r="I74" s="16">
        <f>ROUNDUP(G74*(1+H74),-2)</f>
        <v/>
      </c>
      <c r="J74" s="20" t="n">
        <v>5000</v>
      </c>
      <c r="K74" s="12">
        <f>IF(J74&gt;0,ROUNDUP(I74/J74,0),0)</f>
        <v/>
      </c>
      <c r="L74" s="21">
        <f>I74*0.3048/1000</f>
        <v/>
      </c>
    </row>
    <row r="75">
      <c r="A75" s="12" t="inlineStr">
        <is>
          <t>PLTC|4 pr|18</t>
        </is>
      </c>
      <c r="B75" s="12" t="inlineStr">
        <is>
          <t>Instrumentation</t>
        </is>
      </c>
      <c r="C75" s="12" t="inlineStr">
        <is>
          <t>Instrumentation PLTC / TC-ER 300 V, #18 twisted shielded pairs, overall shield</t>
        </is>
      </c>
      <c r="D75" s="12" t="inlineStr">
        <is>
          <t>4 pr</t>
        </is>
      </c>
      <c r="E75" s="12" t="inlineStr">
        <is>
          <t>18</t>
        </is>
      </c>
      <c r="F75" s="17">
        <f>SUMIFS('Cable Schedule'!$AA$2:$AA$6131,'Cable Schedule'!$K$2:$K$6131,A75)</f>
        <v/>
      </c>
      <c r="G75" s="18">
        <f>SUMIFS('Cable Schedule'!$W$2:$W$6131,'Cable Schedule'!$K$2:$K$6131,A75)</f>
        <v/>
      </c>
      <c r="H75" s="19">
        <f>'Read Me'!$B$14</f>
        <v/>
      </c>
      <c r="I75" s="16">
        <f>ROUNDUP(G75*(1+H75),-2)</f>
        <v/>
      </c>
      <c r="J75" s="20" t="n">
        <v>5000</v>
      </c>
      <c r="K75" s="12">
        <f>IF(J75&gt;0,ROUNDUP(I75/J75,0),0)</f>
        <v/>
      </c>
      <c r="L75" s="21">
        <f>I75*0.3048/1000</f>
        <v/>
      </c>
    </row>
    <row r="76">
      <c r="A76" s="12" t="inlineStr">
        <is>
          <t>RTD|1 tri|18</t>
        </is>
      </c>
      <c r="B76" s="12" t="inlineStr">
        <is>
          <t>Instrumentation</t>
        </is>
      </c>
      <c r="C76" s="12" t="inlineStr">
        <is>
          <t>RTD cable, #18 shielded triads, PLTC</t>
        </is>
      </c>
      <c r="D76" s="12" t="inlineStr">
        <is>
          <t>1 tri</t>
        </is>
      </c>
      <c r="E76" s="12" t="inlineStr">
        <is>
          <t>18</t>
        </is>
      </c>
      <c r="F76" s="17">
        <f>SUMIFS('Cable Schedule'!$AA$2:$AA$6131,'Cable Schedule'!$K$2:$K$6131,A76)</f>
        <v/>
      </c>
      <c r="G76" s="18">
        <f>SUMIFS('Cable Schedule'!$W$2:$W$6131,'Cable Schedule'!$K$2:$K$6131,A76)</f>
        <v/>
      </c>
      <c r="H76" s="19">
        <f>'Read Me'!$B$14</f>
        <v/>
      </c>
      <c r="I76" s="16">
        <f>ROUNDUP(G76*(1+H76),-2)</f>
        <v/>
      </c>
      <c r="J76" s="20" t="n">
        <v>5000</v>
      </c>
      <c r="K76" s="12">
        <f>IF(J76&gt;0,ROUNDUP(I76/J76,0),0)</f>
        <v/>
      </c>
      <c r="L76" s="21">
        <f>I76*0.3048/1000</f>
        <v/>
      </c>
    </row>
    <row r="77">
      <c r="A77" s="12" t="inlineStr">
        <is>
          <t>RTD|12 tri|18</t>
        </is>
      </c>
      <c r="B77" s="12" t="inlineStr">
        <is>
          <t>Instrumentation</t>
        </is>
      </c>
      <c r="C77" s="12" t="inlineStr">
        <is>
          <t>RTD cable, #18 shielded triads, PLTC</t>
        </is>
      </c>
      <c r="D77" s="12" t="inlineStr">
        <is>
          <t>12 tri</t>
        </is>
      </c>
      <c r="E77" s="12" t="inlineStr">
        <is>
          <t>18</t>
        </is>
      </c>
      <c r="F77" s="17">
        <f>SUMIFS('Cable Schedule'!$AA$2:$AA$6131,'Cable Schedule'!$K$2:$K$6131,A77)</f>
        <v/>
      </c>
      <c r="G77" s="18">
        <f>SUMIFS('Cable Schedule'!$W$2:$W$6131,'Cable Schedule'!$K$2:$K$6131,A77)</f>
        <v/>
      </c>
      <c r="H77" s="19">
        <f>'Read Me'!$B$14</f>
        <v/>
      </c>
      <c r="I77" s="16">
        <f>ROUNDUP(G77*(1+H77),-2)</f>
        <v/>
      </c>
      <c r="J77" s="20" t="n">
        <v>5000</v>
      </c>
      <c r="K77" s="12">
        <f>IF(J77&gt;0,ROUNDUP(I77/J77,0),0)</f>
        <v/>
      </c>
      <c r="L77" s="21">
        <f>I77*0.3048/1000</f>
        <v/>
      </c>
    </row>
    <row r="78">
      <c r="A78" s="12" t="inlineStr">
        <is>
          <t>TCX|1 pr|16</t>
        </is>
      </c>
      <c r="B78" s="12" t="inlineStr">
        <is>
          <t>Instrumentation</t>
        </is>
      </c>
      <c r="C78" s="12" t="inlineStr">
        <is>
          <t>Thermocouple extension KX, #16 shielded pairs, PLTC</t>
        </is>
      </c>
      <c r="D78" s="12" t="inlineStr">
        <is>
          <t>1 pr</t>
        </is>
      </c>
      <c r="E78" s="12" t="inlineStr">
        <is>
          <t>16</t>
        </is>
      </c>
      <c r="F78" s="17">
        <f>SUMIFS('Cable Schedule'!$AA$2:$AA$6131,'Cable Schedule'!$K$2:$K$6131,A78)</f>
        <v/>
      </c>
      <c r="G78" s="18">
        <f>SUMIFS('Cable Schedule'!$W$2:$W$6131,'Cable Schedule'!$K$2:$K$6131,A78)</f>
        <v/>
      </c>
      <c r="H78" s="19">
        <f>'Read Me'!$B$14</f>
        <v/>
      </c>
      <c r="I78" s="16">
        <f>ROUNDUP(G78*(1+H78),-2)</f>
        <v/>
      </c>
      <c r="J78" s="20" t="n">
        <v>5000</v>
      </c>
      <c r="K78" s="12">
        <f>IF(J78&gt;0,ROUNDUP(I78/J78,0),0)</f>
        <v/>
      </c>
      <c r="L78" s="21">
        <f>I78*0.3048/1000</f>
        <v/>
      </c>
    </row>
    <row r="79">
      <c r="A79" s="12" t="inlineStr">
        <is>
          <t>TCX|12 pr|16</t>
        </is>
      </c>
      <c r="B79" s="12" t="inlineStr">
        <is>
          <t>Instrumentation</t>
        </is>
      </c>
      <c r="C79" s="12" t="inlineStr">
        <is>
          <t>Thermocouple extension KX, #16 shielded pairs, PLTC</t>
        </is>
      </c>
      <c r="D79" s="12" t="inlineStr">
        <is>
          <t>12 pr</t>
        </is>
      </c>
      <c r="E79" s="12" t="inlineStr">
        <is>
          <t>16</t>
        </is>
      </c>
      <c r="F79" s="17">
        <f>SUMIFS('Cable Schedule'!$AA$2:$AA$6131,'Cable Schedule'!$K$2:$K$6131,A79)</f>
        <v/>
      </c>
      <c r="G79" s="18">
        <f>SUMIFS('Cable Schedule'!$W$2:$W$6131,'Cable Schedule'!$K$2:$K$6131,A79)</f>
        <v/>
      </c>
      <c r="H79" s="19">
        <f>'Read Me'!$B$14</f>
        <v/>
      </c>
      <c r="I79" s="16">
        <f>ROUNDUP(G79*(1+H79),-2)</f>
        <v/>
      </c>
      <c r="J79" s="20" t="n">
        <v>5000</v>
      </c>
      <c r="K79" s="12">
        <f>IF(J79&gt;0,ROUNDUP(I79/J79,0),0)</f>
        <v/>
      </c>
      <c r="L79" s="21">
        <f>I79*0.3048/1000</f>
        <v/>
      </c>
    </row>
    <row r="80">
      <c r="A80" s="12" t="inlineStr">
        <is>
          <t>TCX|24 pr|16</t>
        </is>
      </c>
      <c r="B80" s="12" t="inlineStr">
        <is>
          <t>Instrumentation</t>
        </is>
      </c>
      <c r="C80" s="12" t="inlineStr">
        <is>
          <t>Thermocouple extension KX, #16 shielded pairs, PLTC</t>
        </is>
      </c>
      <c r="D80" s="12" t="inlineStr">
        <is>
          <t>24 pr</t>
        </is>
      </c>
      <c r="E80" s="12" t="inlineStr">
        <is>
          <t>16</t>
        </is>
      </c>
      <c r="F80" s="17">
        <f>SUMIFS('Cable Schedule'!$AA$2:$AA$6131,'Cable Schedule'!$K$2:$K$6131,A80)</f>
        <v/>
      </c>
      <c r="G80" s="18">
        <f>SUMIFS('Cable Schedule'!$W$2:$W$6131,'Cable Schedule'!$K$2:$K$6131,A80)</f>
        <v/>
      </c>
      <c r="H80" s="19">
        <f>'Read Me'!$B$14</f>
        <v/>
      </c>
      <c r="I80" s="16">
        <f>ROUNDUP(G80*(1+H80),-2)</f>
        <v/>
      </c>
      <c r="J80" s="20" t="n">
        <v>5000</v>
      </c>
      <c r="K80" s="12">
        <f>IF(J80&gt;0,ROUNDUP(I80/J80,0),0)</f>
        <v/>
      </c>
      <c r="L80" s="21">
        <f>I80*0.3048/1000</f>
        <v/>
      </c>
    </row>
    <row r="81">
      <c r="A81" s="12" t="inlineStr">
        <is>
          <t>FA|2/C|14</t>
        </is>
      </c>
      <c r="B81" s="12" t="inlineStr">
        <is>
          <t>Fire alarm</t>
        </is>
      </c>
      <c r="C81" s="12" t="inlineStr">
        <is>
          <t>Fire alarm FPLR 2/C #14 shielded, red jacket (NEC 760)</t>
        </is>
      </c>
      <c r="D81" s="12" t="inlineStr">
        <is>
          <t>2/C</t>
        </is>
      </c>
      <c r="E81" s="12" t="inlineStr">
        <is>
          <t>14</t>
        </is>
      </c>
      <c r="F81" s="17">
        <f>SUMIFS('Cable Schedule'!$AA$2:$AA$6131,'Cable Schedule'!$K$2:$K$6131,A81)</f>
        <v/>
      </c>
      <c r="G81" s="18">
        <f>SUMIFS('Cable Schedule'!$W$2:$W$6131,'Cable Schedule'!$K$2:$K$6131,A81)</f>
        <v/>
      </c>
      <c r="H81" s="19">
        <f>'Read Me'!$B$14</f>
        <v/>
      </c>
      <c r="I81" s="16">
        <f>ROUNDUP(G81*(1+H81),-2)</f>
        <v/>
      </c>
      <c r="J81" s="20" t="n">
        <v>5000</v>
      </c>
      <c r="K81" s="12">
        <f>IF(J81&gt;0,ROUNDUP(I81/J81,0),0)</f>
        <v/>
      </c>
      <c r="L81" s="21">
        <f>I81*0.3048/1000</f>
        <v/>
      </c>
    </row>
    <row r="82">
      <c r="A82" s="12" t="inlineStr">
        <is>
          <t>CAT6|4-pr|23</t>
        </is>
      </c>
      <c r="B82" s="12" t="inlineStr">
        <is>
          <t>Fibre / data</t>
        </is>
      </c>
      <c r="C82" s="12" t="inlineStr">
        <is>
          <t>Cat 6A U/FTP 4-pair 23 AWG, plenum CMP (data drops)</t>
        </is>
      </c>
      <c r="D82" s="12" t="inlineStr">
        <is>
          <t>4-pr</t>
        </is>
      </c>
      <c r="E82" s="12" t="inlineStr">
        <is>
          <t>23</t>
        </is>
      </c>
      <c r="F82" s="17">
        <f>SUMIFS('Cable Schedule'!$AA$2:$AA$6131,'Cable Schedule'!$K$2:$K$6131,A82)</f>
        <v/>
      </c>
      <c r="G82" s="18">
        <f>SUMIFS('Cable Schedule'!$W$2:$W$6131,'Cable Schedule'!$K$2:$K$6131,A82)</f>
        <v/>
      </c>
      <c r="H82" s="19">
        <f>'Read Me'!$B$14</f>
        <v/>
      </c>
      <c r="I82" s="16">
        <f>ROUNDUP(G82*(1+H82),-2)</f>
        <v/>
      </c>
      <c r="J82" s="20" t="n">
        <v>1000</v>
      </c>
      <c r="K82" s="12">
        <f>IF(J82&gt;0,ROUNDUP(I82/J82,0),0)</f>
        <v/>
      </c>
      <c r="L82" s="21">
        <f>I82*0.3048/1000</f>
        <v/>
      </c>
    </row>
    <row r="83">
      <c r="A83" s="12" t="inlineStr">
        <is>
          <t>FO|12 SM|-</t>
        </is>
      </c>
      <c r="B83" s="12" t="inlineStr">
        <is>
          <t>Fibre / data</t>
        </is>
      </c>
      <c r="C83" s="12" t="inlineStr">
        <is>
          <t>Fibre optic, single-mode, 12-fibre, armored, orange jacket</t>
        </is>
      </c>
      <c r="D83" s="12" t="inlineStr">
        <is>
          <t>12 SM</t>
        </is>
      </c>
      <c r="E83" s="12" t="inlineStr">
        <is>
          <t>-</t>
        </is>
      </c>
      <c r="F83" s="17">
        <f>SUMIFS('Cable Schedule'!$AA$2:$AA$6131,'Cable Schedule'!$K$2:$K$6131,A83)</f>
        <v/>
      </c>
      <c r="G83" s="18">
        <f>SUMIFS('Cable Schedule'!$W$2:$W$6131,'Cable Schedule'!$K$2:$K$6131,A83)</f>
        <v/>
      </c>
      <c r="H83" s="19">
        <f>'Read Me'!$B$14</f>
        <v/>
      </c>
      <c r="I83" s="16">
        <f>ROUNDUP(G83*(1+H83),-2)</f>
        <v/>
      </c>
      <c r="J83" s="20" t="n">
        <v>10000</v>
      </c>
      <c r="K83" s="12">
        <f>IF(J83&gt;0,ROUNDUP(I83/J83,0),0)</f>
        <v/>
      </c>
      <c r="L83" s="21">
        <f>I83*0.3048/1000</f>
        <v/>
      </c>
    </row>
    <row r="84">
      <c r="A84" s="12" t="inlineStr">
        <is>
          <t>PV|1/C|500</t>
        </is>
      </c>
      <c r="B84" s="12" t="inlineStr">
        <is>
          <t>DC 2 kV</t>
        </is>
      </c>
      <c r="C84" s="12" t="inlineStr">
        <is>
          <t>PV / RHW-2 2 kV 1/C Cu, XLPE (DC)</t>
        </is>
      </c>
      <c r="D84" s="12" t="inlineStr">
        <is>
          <t>1/C</t>
        </is>
      </c>
      <c r="E84" s="12" t="inlineStr">
        <is>
          <t>500 kcmil</t>
        </is>
      </c>
      <c r="F84" s="17">
        <f>SUMIFS('Cable Schedule'!$AA$2:$AA$6131,'Cable Schedule'!$K$2:$K$6131,A84)</f>
        <v/>
      </c>
      <c r="G84" s="18">
        <f>SUMIFS('Cable Schedule'!$W$2:$W$6131,'Cable Schedule'!$K$2:$K$6131,A84)</f>
        <v/>
      </c>
      <c r="H84" s="19">
        <f>'Read Me'!$B$14</f>
        <v/>
      </c>
      <c r="I84" s="16">
        <f>ROUNDUP(G84*(1+H84),-2)</f>
        <v/>
      </c>
      <c r="J84" s="20" t="n">
        <v>2500</v>
      </c>
      <c r="K84" s="12">
        <f>IF(J84&gt;0,ROUNDUP(I84/J84,0),0)</f>
        <v/>
      </c>
      <c r="L84" s="21">
        <f>I84*0.3048/1000</f>
        <v/>
      </c>
    </row>
    <row r="85">
      <c r="A85" s="12" t="inlineStr">
        <is>
          <t>PV|1/C|1000</t>
        </is>
      </c>
      <c r="B85" s="12" t="inlineStr">
        <is>
          <t>DC 2 kV</t>
        </is>
      </c>
      <c r="C85" s="12" t="inlineStr">
        <is>
          <t>PV / RHW-2 2 kV 1/C Cu, XLPE (DC)</t>
        </is>
      </c>
      <c r="D85" s="12" t="inlineStr">
        <is>
          <t>1/C</t>
        </is>
      </c>
      <c r="E85" s="12" t="inlineStr">
        <is>
          <t>1000 kcmil</t>
        </is>
      </c>
      <c r="F85" s="17">
        <f>SUMIFS('Cable Schedule'!$AA$2:$AA$6131,'Cable Schedule'!$K$2:$K$6131,A85)</f>
        <v/>
      </c>
      <c r="G85" s="18">
        <f>SUMIFS('Cable Schedule'!$W$2:$W$6131,'Cable Schedule'!$K$2:$K$6131,A85)</f>
        <v/>
      </c>
      <c r="H85" s="19">
        <f>'Read Me'!$B$14</f>
        <v/>
      </c>
      <c r="I85" s="16">
        <f>ROUNDUP(G85*(1+H85),-2)</f>
        <v/>
      </c>
      <c r="J85" s="20" t="n">
        <v>2500</v>
      </c>
      <c r="K85" s="12">
        <f>IF(J85&gt;0,ROUNDUP(I85/J85,0),0)</f>
        <v/>
      </c>
      <c r="L85" s="21">
        <f>I85*0.3048/1000</f>
        <v/>
      </c>
    </row>
    <row r="86">
      <c r="A86" s="12" t="inlineStr">
        <is>
          <t>SHD|3/C|2</t>
        </is>
      </c>
      <c r="B86" s="12" t="inlineStr">
        <is>
          <t>Portable MV</t>
        </is>
      </c>
      <c r="C86" s="12" t="inlineStr">
        <is>
          <t>Type SHD-GC 15 kV 3/C Cu, 2 grounds + GC, yellow CPE (portable)</t>
        </is>
      </c>
      <c r="D86" s="12" t="inlineStr">
        <is>
          <t>3/C</t>
        </is>
      </c>
      <c r="E86" s="12" t="inlineStr">
        <is>
          <t>2</t>
        </is>
      </c>
      <c r="F86" s="17">
        <f>SUMIFS('Cable Schedule'!$AA$2:$AA$6131,'Cable Schedule'!$K$2:$K$6131,A86)</f>
        <v/>
      </c>
      <c r="G86" s="18">
        <f>SUMIFS('Cable Schedule'!$W$2:$W$6131,'Cable Schedule'!$K$2:$K$6131,A86)</f>
        <v/>
      </c>
      <c r="H86" s="19">
        <f>'Read Me'!$B$14</f>
        <v/>
      </c>
      <c r="I86" s="16">
        <f>ROUNDUP(G86*(1+H86),-2)</f>
        <v/>
      </c>
      <c r="J86" s="20" t="n">
        <v>1000</v>
      </c>
      <c r="K86" s="12">
        <f>IF(J86&gt;0,ROUNDUP(I86/J86,0),0)</f>
        <v/>
      </c>
      <c r="L86" s="21">
        <f>I86*0.3048/1000</f>
        <v/>
      </c>
    </row>
    <row r="87">
      <c r="A87" s="12" t="inlineStr">
        <is>
          <t>W|1/C|4/0</t>
        </is>
      </c>
      <c r="B87" s="12" t="inlineStr">
        <is>
          <t>Portable LV</t>
        </is>
      </c>
      <c r="C87" s="12" t="inlineStr">
        <is>
          <t>Type W 2 kV 1/C Cu, EPDM / CPE (portable, cam-lock)</t>
        </is>
      </c>
      <c r="D87" s="12" t="inlineStr">
        <is>
          <t>1/C</t>
        </is>
      </c>
      <c r="E87" s="12" t="inlineStr">
        <is>
          <t>4/0</t>
        </is>
      </c>
      <c r="F87" s="17">
        <f>SUMIFS('Cable Schedule'!$AA$2:$AA$6131,'Cable Schedule'!$K$2:$K$6131,A87)</f>
        <v/>
      </c>
      <c r="G87" s="18">
        <f>SUMIFS('Cable Schedule'!$W$2:$W$6131,'Cable Schedule'!$K$2:$K$6131,A87)</f>
        <v/>
      </c>
      <c r="H87" s="19">
        <f>'Read Me'!$B$14</f>
        <v/>
      </c>
      <c r="I87" s="16">
        <f>ROUNDUP(G87*(1+H87),-2)</f>
        <v/>
      </c>
      <c r="J87" s="20" t="n">
        <v>1000</v>
      </c>
      <c r="K87" s="12">
        <f>IF(J87&gt;0,ROUNDUP(I87/J87,0),0)</f>
        <v/>
      </c>
      <c r="L87" s="21">
        <f>I87*0.3048/1000</f>
        <v/>
      </c>
    </row>
    <row r="88">
      <c r="A88" s="12" t="inlineStr">
        <is>
          <t>MC|2/C+G|12</t>
        </is>
      </c>
      <c r="B88" s="12" t="inlineStr">
        <is>
          <t>Building wire</t>
        </is>
      </c>
      <c r="C88" s="12" t="inlineStr">
        <is>
          <t>Southwire MC 600 V, Cu THHN, Al interlocked armour (branch circuits)</t>
        </is>
      </c>
      <c r="D88" s="12" t="inlineStr">
        <is>
          <t>2/C+G</t>
        </is>
      </c>
      <c r="E88" s="12" t="inlineStr">
        <is>
          <t>12</t>
        </is>
      </c>
      <c r="F88" s="17">
        <f>SUMIFS('Cable Schedule'!$AA$2:$AA$6131,'Cable Schedule'!$K$2:$K$6131,A88)</f>
        <v/>
      </c>
      <c r="G88" s="18">
        <f>SUMIFS('Cable Schedule'!$W$2:$W$6131,'Cable Schedule'!$K$2:$K$6131,A88)</f>
        <v/>
      </c>
      <c r="H88" s="19">
        <f>'Read Me'!$B$14</f>
        <v/>
      </c>
      <c r="I88" s="16">
        <f>ROUNDUP(G88*(1+H88),-2)</f>
        <v/>
      </c>
      <c r="J88" s="20" t="n">
        <v>1000</v>
      </c>
      <c r="K88" s="12">
        <f>IF(J88&gt;0,ROUNDUP(I88/J88,0),0)</f>
        <v/>
      </c>
      <c r="L88" s="21">
        <f>I88*0.3048/1000</f>
        <v/>
      </c>
    </row>
    <row r="89">
      <c r="A89" s="12" t="inlineStr">
        <is>
          <t>MC|3/C+G|12</t>
        </is>
      </c>
      <c r="B89" s="12" t="inlineStr">
        <is>
          <t>Building wire</t>
        </is>
      </c>
      <c r="C89" s="12" t="inlineStr">
        <is>
          <t>Southwire MC 600 V, Cu THHN, Al interlocked armour (branch circuits)</t>
        </is>
      </c>
      <c r="D89" s="12" t="inlineStr">
        <is>
          <t>3/C+G</t>
        </is>
      </c>
      <c r="E89" s="12" t="inlineStr">
        <is>
          <t>12</t>
        </is>
      </c>
      <c r="F89" s="17">
        <f>SUMIFS('Cable Schedule'!$AA$2:$AA$6131,'Cable Schedule'!$K$2:$K$6131,A89)</f>
        <v/>
      </c>
      <c r="G89" s="18">
        <f>SUMIFS('Cable Schedule'!$W$2:$W$6131,'Cable Schedule'!$K$2:$K$6131,A89)</f>
        <v/>
      </c>
      <c r="H89" s="19">
        <f>'Read Me'!$B$14</f>
        <v/>
      </c>
      <c r="I89" s="16">
        <f>ROUNDUP(G89*(1+H89),-2)</f>
        <v/>
      </c>
      <c r="J89" s="20" t="n">
        <v>1000</v>
      </c>
      <c r="K89" s="12">
        <f>IF(J89&gt;0,ROUNDUP(I89/J89,0),0)</f>
        <v/>
      </c>
      <c r="L89" s="21">
        <f>I89*0.3048/1000</f>
        <v/>
      </c>
    </row>
    <row r="90">
      <c r="A90" s="12" t="inlineStr">
        <is>
          <t>THHN|1/C|12</t>
        </is>
      </c>
      <c r="B90" s="12" t="inlineStr">
        <is>
          <t>Building wire</t>
        </is>
      </c>
      <c r="C90" s="12" t="inlineStr">
        <is>
          <t>SIMpull THHN/THWN-2 600 V 1/C Cu (lighting, receptacles, small power)</t>
        </is>
      </c>
      <c r="D90" s="12" t="inlineStr">
        <is>
          <t>1/C</t>
        </is>
      </c>
      <c r="E90" s="12" t="inlineStr">
        <is>
          <t>12</t>
        </is>
      </c>
      <c r="F90" s="17">
        <f>SUMIFS('Cable Schedule'!$AA$2:$AA$6131,'Cable Schedule'!$K$2:$K$6131,A90)</f>
        <v/>
      </c>
      <c r="G90" s="18">
        <f>SUMIFS('Cable Schedule'!$W$2:$W$6131,'Cable Schedule'!$K$2:$K$6131,A90)</f>
        <v/>
      </c>
      <c r="H90" s="19">
        <f>'Read Me'!$B$14</f>
        <v/>
      </c>
      <c r="I90" s="16">
        <f>ROUNDUP(G90*(1+H90),-2)</f>
        <v/>
      </c>
      <c r="J90" s="20" t="n">
        <v>5000</v>
      </c>
      <c r="K90" s="12">
        <f>IF(J90&gt;0,ROUNDUP(I90/J90,0),0)</f>
        <v/>
      </c>
      <c r="L90" s="21">
        <f>I90*0.3048/1000</f>
        <v/>
      </c>
    </row>
    <row r="91">
      <c r="A91" s="12" t="inlineStr">
        <is>
          <t>THHN|1/C|4</t>
        </is>
      </c>
      <c r="B91" s="12" t="inlineStr">
        <is>
          <t>Building wire</t>
        </is>
      </c>
      <c r="C91" s="12" t="inlineStr">
        <is>
          <t>SIMpull THHN/THWN-2 600 V 1/C Cu (lighting, receptacles, small power)</t>
        </is>
      </c>
      <c r="D91" s="12" t="inlineStr">
        <is>
          <t>1/C</t>
        </is>
      </c>
      <c r="E91" s="12" t="inlineStr">
        <is>
          <t>4</t>
        </is>
      </c>
      <c r="F91" s="17">
        <f>SUMIFS('Cable Schedule'!$AA$2:$AA$6131,'Cable Schedule'!$K$2:$K$6131,A91)</f>
        <v/>
      </c>
      <c r="G91" s="18">
        <f>SUMIFS('Cable Schedule'!$W$2:$W$6131,'Cable Schedule'!$K$2:$K$6131,A91)</f>
        <v/>
      </c>
      <c r="H91" s="19">
        <f>'Read Me'!$B$14</f>
        <v/>
      </c>
      <c r="I91" s="16">
        <f>ROUNDUP(G91*(1+H91),-2)</f>
        <v/>
      </c>
      <c r="J91" s="20" t="n">
        <v>5000</v>
      </c>
      <c r="K91" s="12">
        <f>IF(J91&gt;0,ROUNDUP(I91/J91,0),0)</f>
        <v/>
      </c>
      <c r="L91" s="21">
        <f>I91*0.3048/1000</f>
        <v/>
      </c>
    </row>
    <row r="92">
      <c r="A92" s="12" t="inlineStr">
        <is>
          <t>THHN|1/C|2</t>
        </is>
      </c>
      <c r="B92" s="12" t="inlineStr">
        <is>
          <t>Building wire</t>
        </is>
      </c>
      <c r="C92" s="12" t="inlineStr">
        <is>
          <t>SIMpull THHN/THWN-2 600 V 1/C Cu (lighting, receptacles, small power)</t>
        </is>
      </c>
      <c r="D92" s="12" t="inlineStr">
        <is>
          <t>1/C</t>
        </is>
      </c>
      <c r="E92" s="12" t="inlineStr">
        <is>
          <t>2</t>
        </is>
      </c>
      <c r="F92" s="17">
        <f>SUMIFS('Cable Schedule'!$AA$2:$AA$6131,'Cable Schedule'!$K$2:$K$6131,A92)</f>
        <v/>
      </c>
      <c r="G92" s="18">
        <f>SUMIFS('Cable Schedule'!$W$2:$W$6131,'Cable Schedule'!$K$2:$K$6131,A92)</f>
        <v/>
      </c>
      <c r="H92" s="19">
        <f>'Read Me'!$B$14</f>
        <v/>
      </c>
      <c r="I92" s="16">
        <f>ROUNDUP(G92*(1+H92),-2)</f>
        <v/>
      </c>
      <c r="J92" s="20" t="n">
        <v>5000</v>
      </c>
      <c r="K92" s="12">
        <f>IF(J92&gt;0,ROUNDUP(I92/J92,0),0)</f>
        <v/>
      </c>
      <c r="L92" s="21">
        <f>I92*0.3048/1000</f>
        <v/>
      </c>
    </row>
    <row r="93">
      <c r="A93" s="12" t="inlineStr">
        <is>
          <t>THHN|1/C|1</t>
        </is>
      </c>
      <c r="B93" s="12" t="inlineStr">
        <is>
          <t>Building wire</t>
        </is>
      </c>
      <c r="C93" s="12" t="inlineStr">
        <is>
          <t>SIMpull THHN/THWN-2 600 V 1/C Cu (lighting, receptacles, small power)</t>
        </is>
      </c>
      <c r="D93" s="12" t="inlineStr">
        <is>
          <t>1/C</t>
        </is>
      </c>
      <c r="E93" s="12" t="inlineStr">
        <is>
          <t>1</t>
        </is>
      </c>
      <c r="F93" s="17">
        <f>SUMIFS('Cable Schedule'!$AA$2:$AA$6131,'Cable Schedule'!$K$2:$K$6131,A93)</f>
        <v/>
      </c>
      <c r="G93" s="18">
        <f>SUMIFS('Cable Schedule'!$W$2:$W$6131,'Cable Schedule'!$K$2:$K$6131,A93)</f>
        <v/>
      </c>
      <c r="H93" s="19">
        <f>'Read Me'!$B$14</f>
        <v/>
      </c>
      <c r="I93" s="16">
        <f>ROUNDUP(G93*(1+H93),-2)</f>
        <v/>
      </c>
      <c r="J93" s="20" t="n">
        <v>5000</v>
      </c>
      <c r="K93" s="12">
        <f>IF(J93&gt;0,ROUNDUP(I93/J93,0),0)</f>
        <v/>
      </c>
      <c r="L93" s="21">
        <f>I93*0.3048/1000</f>
        <v/>
      </c>
    </row>
    <row r="94">
      <c r="A94" s="12" t="inlineStr">
        <is>
          <t>THHN|1/C|4/0</t>
        </is>
      </c>
      <c r="B94" s="12" t="inlineStr">
        <is>
          <t>Building wire</t>
        </is>
      </c>
      <c r="C94" s="12" t="inlineStr">
        <is>
          <t>SIMpull THHN/THWN-2 600 V 1/C Cu (lighting, receptacles, small power)</t>
        </is>
      </c>
      <c r="D94" s="12" t="inlineStr">
        <is>
          <t>1/C</t>
        </is>
      </c>
      <c r="E94" s="12" t="inlineStr">
        <is>
          <t>4/0</t>
        </is>
      </c>
      <c r="F94" s="17">
        <f>SUMIFS('Cable Schedule'!$AA$2:$AA$6131,'Cable Schedule'!$K$2:$K$6131,A94)</f>
        <v/>
      </c>
      <c r="G94" s="18">
        <f>SUMIFS('Cable Schedule'!$W$2:$W$6131,'Cable Schedule'!$K$2:$K$6131,A94)</f>
        <v/>
      </c>
      <c r="H94" s="19">
        <f>'Read Me'!$B$14</f>
        <v/>
      </c>
      <c r="I94" s="16">
        <f>ROUNDUP(G94*(1+H94),-2)</f>
        <v/>
      </c>
      <c r="J94" s="20" t="n">
        <v>5000</v>
      </c>
      <c r="K94" s="12">
        <f>IF(J94&gt;0,ROUNDUP(I94/J94,0),0)</f>
        <v/>
      </c>
      <c r="L94" s="21">
        <f>I94*0.3048/1000</f>
        <v/>
      </c>
    </row>
    <row r="95">
      <c r="A95" s="12" t="inlineStr">
        <is>
          <t>THHN|1/C|3</t>
        </is>
      </c>
      <c r="B95" s="12" t="inlineStr">
        <is>
          <t>Building wire</t>
        </is>
      </c>
      <c r="C95" s="12" t="inlineStr">
        <is>
          <t>SIMpull THHN/THWN-2 600 V 1/C Cu (lighting, receptacles, small power)</t>
        </is>
      </c>
      <c r="D95" s="12" t="inlineStr">
        <is>
          <t>1/C</t>
        </is>
      </c>
      <c r="E95" s="12" t="inlineStr">
        <is>
          <t>3</t>
        </is>
      </c>
      <c r="F95" s="17">
        <f>SUMIFS('Cable Schedule'!$AA$2:$AA$6131,'Cable Schedule'!$K$2:$K$6131,A95)</f>
        <v/>
      </c>
      <c r="G95" s="18">
        <f>SUMIFS('Cable Schedule'!$W$2:$W$6131,'Cable Schedule'!$K$2:$K$6131,A95)</f>
        <v/>
      </c>
      <c r="H95" s="19">
        <f>'Read Me'!$B$14</f>
        <v/>
      </c>
      <c r="I95" s="16">
        <f>ROUNDUP(G95*(1+H95),-2)</f>
        <v/>
      </c>
      <c r="J95" s="20" t="n">
        <v>5000</v>
      </c>
      <c r="K95" s="12">
        <f>IF(J95&gt;0,ROUNDUP(I95/J95,0),0)</f>
        <v/>
      </c>
      <c r="L95" s="21">
        <f>I95*0.3048/1000</f>
        <v/>
      </c>
    </row>
    <row r="96">
      <c r="A96" s="12" t="inlineStr">
        <is>
          <t>BARE|1/C|4/0</t>
        </is>
      </c>
      <c r="B96" s="12" t="inlineStr">
        <is>
          <t>Grounding</t>
        </is>
      </c>
      <c r="C96" s="12" t="inlineStr">
        <is>
          <t>Bare Cu 4/0 AWG, 19 strand (ground grid and equipment grounds)</t>
        </is>
      </c>
      <c r="D96" s="12" t="inlineStr">
        <is>
          <t>1/C</t>
        </is>
      </c>
      <c r="E96" s="12" t="inlineStr">
        <is>
          <t>4/0</t>
        </is>
      </c>
      <c r="F96" s="17">
        <f>SUMIFS('Cable Schedule'!$AA$2:$AA$6131,'Cable Schedule'!$K$2:$K$6131,A96)</f>
        <v/>
      </c>
      <c r="G96" s="18">
        <f>SUMIFS('Cable Schedule'!$W$2:$W$6131,'Cable Schedule'!$K$2:$K$6131,A96)</f>
        <v/>
      </c>
      <c r="H96" s="19">
        <f>'Read Me'!$B$14</f>
        <v/>
      </c>
      <c r="I96" s="16">
        <f>ROUNDUP(G96*(1+H96),-2)</f>
        <v/>
      </c>
      <c r="J96" s="20" t="n">
        <v>5000</v>
      </c>
      <c r="K96" s="12">
        <f>IF(J96&gt;0,ROUNDUP(I96/J96,0),0)</f>
        <v/>
      </c>
      <c r="L96" s="21">
        <f>I96*0.3048/1000</f>
        <v/>
      </c>
    </row>
    <row r="97">
      <c r="A97" s="12" t="inlineStr">
        <is>
          <t>ACSR|1/C|1590</t>
        </is>
      </c>
      <c r="B97" s="12" t="inlineStr">
        <is>
          <t>Overhead</t>
        </is>
      </c>
      <c r="C97" s="12" t="inlineStr">
        <is>
          <t>Overhead conductor ACSR 1590 kcmil 'Falcon' (typ.)</t>
        </is>
      </c>
      <c r="D97" s="12" t="inlineStr">
        <is>
          <t>1/C</t>
        </is>
      </c>
      <c r="E97" s="12" t="inlineStr">
        <is>
          <t>1590 kcmil</t>
        </is>
      </c>
      <c r="F97" s="17">
        <f>SUMIFS('Cable Schedule'!$AA$2:$AA$6131,'Cable Schedule'!$K$2:$K$6131,A97)</f>
        <v/>
      </c>
      <c r="G97" s="18">
        <f>SUMIFS('Cable Schedule'!$W$2:$W$6131,'Cable Schedule'!$K$2:$K$6131,A97)</f>
        <v/>
      </c>
      <c r="H97" s="19">
        <f>'Read Me'!$B$14</f>
        <v/>
      </c>
      <c r="I97" s="16">
        <f>ROUNDUP(G97*(1+H97),-2)</f>
        <v/>
      </c>
      <c r="J97" s="20" t="n">
        <v>7000</v>
      </c>
      <c r="K97" s="12">
        <f>IF(J97&gt;0,ROUNDUP(I97/J97,0),0)</f>
        <v/>
      </c>
      <c r="L97" s="21">
        <f>I97*0.3048/1000</f>
        <v/>
      </c>
    </row>
    <row r="98">
      <c r="C98" s="22" t="inlineStr">
        <is>
          <t>Total</t>
        </is>
      </c>
      <c r="F98" s="23">
        <f>SUM(F2:F97)</f>
        <v/>
      </c>
      <c r="G98" s="23">
        <f>SUM(G2:G97)</f>
        <v/>
      </c>
      <c r="I98" s="23">
        <f>SUM(I2:I97)</f>
        <v/>
      </c>
      <c r="K98" s="23">
        <f>SUM(K2:K97)</f>
        <v/>
      </c>
      <c r="L98" s="24">
        <f>SUM(L2:L97)</f>
        <v/>
      </c>
    </row>
    <row r="100">
      <c r="A100"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Schedule'!X2:X6131)</f>
        <v/>
      </c>
    </row>
    <row r="3">
      <c r="A3" s="12" t="inlineStr">
        <is>
          <t>ARMOR-X / Type W connectors and glands</t>
        </is>
      </c>
      <c r="B3" s="18">
        <f>SUM('Cable Schedule'!Y2:Y6131)</f>
        <v/>
      </c>
    </row>
    <row r="4">
      <c r="A4" s="12" t="inlineStr">
        <is>
          <t>MV splice kits (allowance: 1 per 2,500 ft of MV 1/C)</t>
        </is>
      </c>
      <c r="B4" s="18">
        <f>ROUNDUP(SUMIFS('Cable Schedule'!W2:W6131,'Cable Schedule'!I2:I6131,"MV*",'Cable Schedule'!L2:L6131,"1/C")/2500,0)</f>
        <v/>
      </c>
    </row>
    <row r="5">
      <c r="A5" s="12" t="inlineStr">
        <is>
          <t>230 kV outdoor terminations</t>
        </is>
      </c>
      <c r="B5" s="18">
        <f>2*SUMIFS('Cable Schedule'!O2:O6131,'Cable Schedule'!I2:I6131,"HV 230 kV")</f>
        <v/>
      </c>
    </row>
    <row r="6">
      <c r="A6" s="12" t="inlineStr">
        <is>
          <t>600 V compression lugs (power, 4 per end)</t>
        </is>
      </c>
      <c r="B6" s="18">
        <f>2*4*SUMIFS('Cable Schedule'!N2:N6131,'Cable Schedule'!I2:I6131,"LV 600 V")</f>
        <v/>
      </c>
    </row>
    <row r="7">
      <c r="A7" s="12" t="inlineStr">
        <is>
          <t>Instrument / control cable glands (2 per run)</t>
        </is>
      </c>
      <c r="B7" s="18">
        <f>2*(COUNTIF('Cable Schedule'!I2:I6131,"Control")+COUNTIF('Cable Schedule'!I2:I6131,"Instrumentation"))</f>
        <v/>
      </c>
    </row>
    <row r="8">
      <c r="A8" s="12" t="inlineStr">
        <is>
          <t>Fibre patch / termination (2 per link)</t>
        </is>
      </c>
      <c r="B8" s="18">
        <f>2*COUNTIF('Cable Schedule'!I2:I6131,"Fibre / data")</f>
        <v/>
      </c>
    </row>
    <row r="9">
      <c r="A9" s="12" t="inlineStr">
        <is>
          <t>Ground connections: exothermic welds (allowance 1 per 25 ft of grid)</t>
        </is>
      </c>
      <c r="B9" s="18">
        <f>ROUNDUP(SUMIFS('Cable Schedule'!W2:W6131,'Cable Schedule'!I2:I6131,"Grounding")/25,0)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Schedule'!$W$2:$W$6131,'Cable Schedule'!$B$2:$B$6131,"A",'Cable Schedule'!$I$2:$I$6131,"MV 15 kV")</f>
        <v/>
      </c>
      <c r="C3" s="18">
        <f>SUMIFS('Cable Schedule'!$W$2:$W$6131,'Cable Schedule'!$B$2:$B$6131,"A",'Cable Schedule'!$I$2:$I$6131,"MV 5 kV")</f>
        <v/>
      </c>
      <c r="D3" s="18">
        <f>SUMIFS('Cable Schedule'!$W$2:$W$6131,'Cable Schedule'!$B$2:$B$6131,"A",'Cable Schedule'!$I$2:$I$6131,"MV 25 kV")</f>
        <v/>
      </c>
      <c r="E3" s="18">
        <f>SUMIFS('Cable Schedule'!$W$2:$W$6131,'Cable Schedule'!$B$2:$B$6131,"A",'Cable Schedule'!$I$2:$I$6131,"MV 35 kV")</f>
        <v/>
      </c>
      <c r="F3" s="18">
        <f>SUMIFS('Cable Schedule'!$W$2:$W$6131,'Cable Schedule'!$B$2:$B$6131,"A",'Cable Schedule'!$I$2:$I$6131,"HV 230 kV")</f>
        <v/>
      </c>
      <c r="G3" s="18">
        <f>SUMIFS('Cable Schedule'!$W$2:$W$6131,'Cable Schedule'!$B$2:$B$6131,"A",'Cable Schedule'!$I$2:$I$6131,"LV 600 V")</f>
        <v/>
      </c>
      <c r="H3" s="18">
        <f>SUMIFS('Cable Schedule'!$W$2:$W$6131,'Cable Schedule'!$B$2:$B$6131,"A",'Cable Schedule'!$I$2:$I$6131,"Control")</f>
        <v/>
      </c>
      <c r="I3" s="18">
        <f>SUMIFS('Cable Schedule'!$W$2:$W$6131,'Cable Schedule'!$B$2:$B$6131,"A",'Cable Schedule'!$I$2:$I$6131,"Instrumentation")</f>
        <v/>
      </c>
      <c r="J3" s="18">
        <f>SUMIFS('Cable Schedule'!$W$2:$W$6131,'Cable Schedule'!$B$2:$B$6131,"A",'Cable Schedule'!$I$2:$I$6131,"Fire alarm")</f>
        <v/>
      </c>
      <c r="K3" s="18">
        <f>SUMIFS('Cable Schedule'!$W$2:$W$6131,'Cable Schedule'!$B$2:$B$6131,"A",'Cable Schedule'!$I$2:$I$6131,"Fibre / data")</f>
        <v/>
      </c>
      <c r="L3" s="18">
        <f>SUMIFS('Cable Schedule'!$W$2:$W$6131,'Cable Schedule'!$B$2:$B$6131,"A",'Cable Schedule'!$I$2:$I$6131,"DC 2 kV")</f>
        <v/>
      </c>
      <c r="M3" s="18">
        <f>SUMIFS('Cable Schedule'!$W$2:$W$6131,'Cable Schedule'!$B$2:$B$6131,"A",'Cable Schedule'!$I$2:$I$6131,"Portable MV")</f>
        <v/>
      </c>
      <c r="N3" s="18">
        <f>SUMIFS('Cable Schedule'!$W$2:$W$6131,'Cable Schedule'!$B$2:$B$6131,"A",'Cable Schedule'!$I$2:$I$6131,"Portable LV")</f>
        <v/>
      </c>
      <c r="O3" s="18">
        <f>SUMIFS('Cable Schedule'!$W$2:$W$6131,'Cable Schedule'!$B$2:$B$6131,"A",'Cable Schedule'!$I$2:$I$6131,"Building wire")</f>
        <v/>
      </c>
      <c r="P3" s="18">
        <f>SUMIFS('Cable Schedule'!$W$2:$W$6131,'Cable Schedule'!$B$2:$B$6131,"A",'Cable Schedule'!$I$2:$I$6131,"Grounding")</f>
        <v/>
      </c>
      <c r="Q3" s="18">
        <f>SUMIFS('Cable Schedule'!$W$2:$W$6131,'Cable Schedule'!$B$2:$B$6131,"A",'Cable Schedule'!$I$2:$I$6131,"Overhead")</f>
        <v/>
      </c>
      <c r="R3" s="28">
        <f>SUM(B3:Q3)</f>
        <v/>
      </c>
    </row>
    <row r="4">
      <c r="A4" s="12" t="inlineStr">
        <is>
          <t>B  ACC</t>
        </is>
      </c>
      <c r="B4" s="18">
        <f>SUMIFS('Cable Schedule'!$W$2:$W$6131,'Cable Schedule'!$B$2:$B$6131,"B",'Cable Schedule'!$I$2:$I$6131,"MV 15 kV")</f>
        <v/>
      </c>
      <c r="C4" s="18">
        <f>SUMIFS('Cable Schedule'!$W$2:$W$6131,'Cable Schedule'!$B$2:$B$6131,"B",'Cable Schedule'!$I$2:$I$6131,"MV 5 kV")</f>
        <v/>
      </c>
      <c r="D4" s="18">
        <f>SUMIFS('Cable Schedule'!$W$2:$W$6131,'Cable Schedule'!$B$2:$B$6131,"B",'Cable Schedule'!$I$2:$I$6131,"MV 25 kV")</f>
        <v/>
      </c>
      <c r="E4" s="18">
        <f>SUMIFS('Cable Schedule'!$W$2:$W$6131,'Cable Schedule'!$B$2:$B$6131,"B",'Cable Schedule'!$I$2:$I$6131,"MV 35 kV")</f>
        <v/>
      </c>
      <c r="F4" s="18">
        <f>SUMIFS('Cable Schedule'!$W$2:$W$6131,'Cable Schedule'!$B$2:$B$6131,"B",'Cable Schedule'!$I$2:$I$6131,"HV 230 kV")</f>
        <v/>
      </c>
      <c r="G4" s="18">
        <f>SUMIFS('Cable Schedule'!$W$2:$W$6131,'Cable Schedule'!$B$2:$B$6131,"B",'Cable Schedule'!$I$2:$I$6131,"LV 600 V")</f>
        <v/>
      </c>
      <c r="H4" s="18">
        <f>SUMIFS('Cable Schedule'!$W$2:$W$6131,'Cable Schedule'!$B$2:$B$6131,"B",'Cable Schedule'!$I$2:$I$6131,"Control")</f>
        <v/>
      </c>
      <c r="I4" s="18">
        <f>SUMIFS('Cable Schedule'!$W$2:$W$6131,'Cable Schedule'!$B$2:$B$6131,"B",'Cable Schedule'!$I$2:$I$6131,"Instrumentation")</f>
        <v/>
      </c>
      <c r="J4" s="18">
        <f>SUMIFS('Cable Schedule'!$W$2:$W$6131,'Cable Schedule'!$B$2:$B$6131,"B",'Cable Schedule'!$I$2:$I$6131,"Fire alarm")</f>
        <v/>
      </c>
      <c r="K4" s="18">
        <f>SUMIFS('Cable Schedule'!$W$2:$W$6131,'Cable Schedule'!$B$2:$B$6131,"B",'Cable Schedule'!$I$2:$I$6131,"Fibre / data")</f>
        <v/>
      </c>
      <c r="L4" s="18">
        <f>SUMIFS('Cable Schedule'!$W$2:$W$6131,'Cable Schedule'!$B$2:$B$6131,"B",'Cable Schedule'!$I$2:$I$6131,"DC 2 kV")</f>
        <v/>
      </c>
      <c r="M4" s="18">
        <f>SUMIFS('Cable Schedule'!$W$2:$W$6131,'Cable Schedule'!$B$2:$B$6131,"B",'Cable Schedule'!$I$2:$I$6131,"Portable MV")</f>
        <v/>
      </c>
      <c r="N4" s="18">
        <f>SUMIFS('Cable Schedule'!$W$2:$W$6131,'Cable Schedule'!$B$2:$B$6131,"B",'Cable Schedule'!$I$2:$I$6131,"Portable LV")</f>
        <v/>
      </c>
      <c r="O4" s="18">
        <f>SUMIFS('Cable Schedule'!$W$2:$W$6131,'Cable Schedule'!$B$2:$B$6131,"B",'Cable Schedule'!$I$2:$I$6131,"Building wire")</f>
        <v/>
      </c>
      <c r="P4" s="18">
        <f>SUMIFS('Cable Schedule'!$W$2:$W$6131,'Cable Schedule'!$B$2:$B$6131,"B",'Cable Schedule'!$I$2:$I$6131,"Grounding")</f>
        <v/>
      </c>
      <c r="Q4" s="18">
        <f>SUMIFS('Cable Schedule'!$W$2:$W$6131,'Cable Schedule'!$B$2:$B$6131,"B",'Cable Schedule'!$I$2:$I$6131,"Overhead")</f>
        <v/>
      </c>
      <c r="R4" s="28">
        <f>SUM(B4:Q4)</f>
        <v/>
      </c>
    </row>
    <row r="5">
      <c r="A5" s="12" t="inlineStr">
        <is>
          <t>C  Grid interface</t>
        </is>
      </c>
      <c r="B5" s="18">
        <f>SUMIFS('Cable Schedule'!$W$2:$W$6131,'Cable Schedule'!$B$2:$B$6131,"C",'Cable Schedule'!$I$2:$I$6131,"MV 15 kV")</f>
        <v/>
      </c>
      <c r="C5" s="18">
        <f>SUMIFS('Cable Schedule'!$W$2:$W$6131,'Cable Schedule'!$B$2:$B$6131,"C",'Cable Schedule'!$I$2:$I$6131,"MV 5 kV")</f>
        <v/>
      </c>
      <c r="D5" s="18">
        <f>SUMIFS('Cable Schedule'!$W$2:$W$6131,'Cable Schedule'!$B$2:$B$6131,"C",'Cable Schedule'!$I$2:$I$6131,"MV 25 kV")</f>
        <v/>
      </c>
      <c r="E5" s="18">
        <f>SUMIFS('Cable Schedule'!$W$2:$W$6131,'Cable Schedule'!$B$2:$B$6131,"C",'Cable Schedule'!$I$2:$I$6131,"MV 35 kV")</f>
        <v/>
      </c>
      <c r="F5" s="18">
        <f>SUMIFS('Cable Schedule'!$W$2:$W$6131,'Cable Schedule'!$B$2:$B$6131,"C",'Cable Schedule'!$I$2:$I$6131,"HV 230 kV")</f>
        <v/>
      </c>
      <c r="G5" s="18">
        <f>SUMIFS('Cable Schedule'!$W$2:$W$6131,'Cable Schedule'!$B$2:$B$6131,"C",'Cable Schedule'!$I$2:$I$6131,"LV 600 V")</f>
        <v/>
      </c>
      <c r="H5" s="18">
        <f>SUMIFS('Cable Schedule'!$W$2:$W$6131,'Cable Schedule'!$B$2:$B$6131,"C",'Cable Schedule'!$I$2:$I$6131,"Control")</f>
        <v/>
      </c>
      <c r="I5" s="18">
        <f>SUMIFS('Cable Schedule'!$W$2:$W$6131,'Cable Schedule'!$B$2:$B$6131,"C",'Cable Schedule'!$I$2:$I$6131,"Instrumentation")</f>
        <v/>
      </c>
      <c r="J5" s="18">
        <f>SUMIFS('Cable Schedule'!$W$2:$W$6131,'Cable Schedule'!$B$2:$B$6131,"C",'Cable Schedule'!$I$2:$I$6131,"Fire alarm")</f>
        <v/>
      </c>
      <c r="K5" s="18">
        <f>SUMIFS('Cable Schedule'!$W$2:$W$6131,'Cable Schedule'!$B$2:$B$6131,"C",'Cable Schedule'!$I$2:$I$6131,"Fibre / data")</f>
        <v/>
      </c>
      <c r="L5" s="18">
        <f>SUMIFS('Cable Schedule'!$W$2:$W$6131,'Cable Schedule'!$B$2:$B$6131,"C",'Cable Schedule'!$I$2:$I$6131,"DC 2 kV")</f>
        <v/>
      </c>
      <c r="M5" s="18">
        <f>SUMIFS('Cable Schedule'!$W$2:$W$6131,'Cable Schedule'!$B$2:$B$6131,"C",'Cable Schedule'!$I$2:$I$6131,"Portable MV")</f>
        <v/>
      </c>
      <c r="N5" s="18">
        <f>SUMIFS('Cable Schedule'!$W$2:$W$6131,'Cable Schedule'!$B$2:$B$6131,"C",'Cable Schedule'!$I$2:$I$6131,"Portable LV")</f>
        <v/>
      </c>
      <c r="O5" s="18">
        <f>SUMIFS('Cable Schedule'!$W$2:$W$6131,'Cable Schedule'!$B$2:$B$6131,"C",'Cable Schedule'!$I$2:$I$6131,"Building wire")</f>
        <v/>
      </c>
      <c r="P5" s="18">
        <f>SUMIFS('Cable Schedule'!$W$2:$W$6131,'Cable Schedule'!$B$2:$B$6131,"C",'Cable Schedule'!$I$2:$I$6131,"Grounding")</f>
        <v/>
      </c>
      <c r="Q5" s="18">
        <f>SUMIFS('Cable Schedule'!$W$2:$W$6131,'Cable Schedule'!$B$2:$B$6131,"C",'Cable Schedule'!$I$2:$I$6131,"Overhead")</f>
        <v/>
      </c>
      <c r="R5" s="28">
        <f>SUM(B5:Q5)</f>
        <v/>
      </c>
    </row>
    <row r="6">
      <c r="A6" s="12" t="inlineStr">
        <is>
          <t>D  Fuel gas</t>
        </is>
      </c>
      <c r="B6" s="18">
        <f>SUMIFS('Cable Schedule'!$W$2:$W$6131,'Cable Schedule'!$B$2:$B$6131,"D",'Cable Schedule'!$I$2:$I$6131,"MV 15 kV")</f>
        <v/>
      </c>
      <c r="C6" s="18">
        <f>SUMIFS('Cable Schedule'!$W$2:$W$6131,'Cable Schedule'!$B$2:$B$6131,"D",'Cable Schedule'!$I$2:$I$6131,"MV 5 kV")</f>
        <v/>
      </c>
      <c r="D6" s="18">
        <f>SUMIFS('Cable Schedule'!$W$2:$W$6131,'Cable Schedule'!$B$2:$B$6131,"D",'Cable Schedule'!$I$2:$I$6131,"MV 25 kV")</f>
        <v/>
      </c>
      <c r="E6" s="18">
        <f>SUMIFS('Cable Schedule'!$W$2:$W$6131,'Cable Schedule'!$B$2:$B$6131,"D",'Cable Schedule'!$I$2:$I$6131,"MV 35 kV")</f>
        <v/>
      </c>
      <c r="F6" s="18">
        <f>SUMIFS('Cable Schedule'!$W$2:$W$6131,'Cable Schedule'!$B$2:$B$6131,"D",'Cable Schedule'!$I$2:$I$6131,"HV 230 kV")</f>
        <v/>
      </c>
      <c r="G6" s="18">
        <f>SUMIFS('Cable Schedule'!$W$2:$W$6131,'Cable Schedule'!$B$2:$B$6131,"D",'Cable Schedule'!$I$2:$I$6131,"LV 600 V")</f>
        <v/>
      </c>
      <c r="H6" s="18">
        <f>SUMIFS('Cable Schedule'!$W$2:$W$6131,'Cable Schedule'!$B$2:$B$6131,"D",'Cable Schedule'!$I$2:$I$6131,"Control")</f>
        <v/>
      </c>
      <c r="I6" s="18">
        <f>SUMIFS('Cable Schedule'!$W$2:$W$6131,'Cable Schedule'!$B$2:$B$6131,"D",'Cable Schedule'!$I$2:$I$6131,"Instrumentation")</f>
        <v/>
      </c>
      <c r="J6" s="18">
        <f>SUMIFS('Cable Schedule'!$W$2:$W$6131,'Cable Schedule'!$B$2:$B$6131,"D",'Cable Schedule'!$I$2:$I$6131,"Fire alarm")</f>
        <v/>
      </c>
      <c r="K6" s="18">
        <f>SUMIFS('Cable Schedule'!$W$2:$W$6131,'Cable Schedule'!$B$2:$B$6131,"D",'Cable Schedule'!$I$2:$I$6131,"Fibre / data")</f>
        <v/>
      </c>
      <c r="L6" s="18">
        <f>SUMIFS('Cable Schedule'!$W$2:$W$6131,'Cable Schedule'!$B$2:$B$6131,"D",'Cable Schedule'!$I$2:$I$6131,"DC 2 kV")</f>
        <v/>
      </c>
      <c r="M6" s="18">
        <f>SUMIFS('Cable Schedule'!$W$2:$W$6131,'Cable Schedule'!$B$2:$B$6131,"D",'Cable Schedule'!$I$2:$I$6131,"Portable MV")</f>
        <v/>
      </c>
      <c r="N6" s="18">
        <f>SUMIFS('Cable Schedule'!$W$2:$W$6131,'Cable Schedule'!$B$2:$B$6131,"D",'Cable Schedule'!$I$2:$I$6131,"Portable LV")</f>
        <v/>
      </c>
      <c r="O6" s="18">
        <f>SUMIFS('Cable Schedule'!$W$2:$W$6131,'Cable Schedule'!$B$2:$B$6131,"D",'Cable Schedule'!$I$2:$I$6131,"Building wire")</f>
        <v/>
      </c>
      <c r="P6" s="18">
        <f>SUMIFS('Cable Schedule'!$W$2:$W$6131,'Cable Schedule'!$B$2:$B$6131,"D",'Cable Schedule'!$I$2:$I$6131,"Grounding")</f>
        <v/>
      </c>
      <c r="Q6" s="18">
        <f>SUMIFS('Cable Schedule'!$W$2:$W$6131,'Cable Schedule'!$B$2:$B$6131,"D",'Cable Schedule'!$I$2:$I$6131,"Overhead")</f>
        <v/>
      </c>
      <c r="R6" s="28">
        <f>SUM(B6:Q6)</f>
        <v/>
      </c>
    </row>
    <row r="7">
      <c r="A7" s="12" t="inlineStr">
        <is>
          <t>E  Water / utilities</t>
        </is>
      </c>
      <c r="B7" s="18">
        <f>SUMIFS('Cable Schedule'!$W$2:$W$6131,'Cable Schedule'!$B$2:$B$6131,"E",'Cable Schedule'!$I$2:$I$6131,"MV 15 kV")</f>
        <v/>
      </c>
      <c r="C7" s="18">
        <f>SUMIFS('Cable Schedule'!$W$2:$W$6131,'Cable Schedule'!$B$2:$B$6131,"E",'Cable Schedule'!$I$2:$I$6131,"MV 5 kV")</f>
        <v/>
      </c>
      <c r="D7" s="18">
        <f>SUMIFS('Cable Schedule'!$W$2:$W$6131,'Cable Schedule'!$B$2:$B$6131,"E",'Cable Schedule'!$I$2:$I$6131,"MV 25 kV")</f>
        <v/>
      </c>
      <c r="E7" s="18">
        <f>SUMIFS('Cable Schedule'!$W$2:$W$6131,'Cable Schedule'!$B$2:$B$6131,"E",'Cable Schedule'!$I$2:$I$6131,"MV 35 kV")</f>
        <v/>
      </c>
      <c r="F7" s="18">
        <f>SUMIFS('Cable Schedule'!$W$2:$W$6131,'Cable Schedule'!$B$2:$B$6131,"E",'Cable Schedule'!$I$2:$I$6131,"HV 230 kV")</f>
        <v/>
      </c>
      <c r="G7" s="18">
        <f>SUMIFS('Cable Schedule'!$W$2:$W$6131,'Cable Schedule'!$B$2:$B$6131,"E",'Cable Schedule'!$I$2:$I$6131,"LV 600 V")</f>
        <v/>
      </c>
      <c r="H7" s="18">
        <f>SUMIFS('Cable Schedule'!$W$2:$W$6131,'Cable Schedule'!$B$2:$B$6131,"E",'Cable Schedule'!$I$2:$I$6131,"Control")</f>
        <v/>
      </c>
      <c r="I7" s="18">
        <f>SUMIFS('Cable Schedule'!$W$2:$W$6131,'Cable Schedule'!$B$2:$B$6131,"E",'Cable Schedule'!$I$2:$I$6131,"Instrumentation")</f>
        <v/>
      </c>
      <c r="J7" s="18">
        <f>SUMIFS('Cable Schedule'!$W$2:$W$6131,'Cable Schedule'!$B$2:$B$6131,"E",'Cable Schedule'!$I$2:$I$6131,"Fire alarm")</f>
        <v/>
      </c>
      <c r="K7" s="18">
        <f>SUMIFS('Cable Schedule'!$W$2:$W$6131,'Cable Schedule'!$B$2:$B$6131,"E",'Cable Schedule'!$I$2:$I$6131,"Fibre / data")</f>
        <v/>
      </c>
      <c r="L7" s="18">
        <f>SUMIFS('Cable Schedule'!$W$2:$W$6131,'Cable Schedule'!$B$2:$B$6131,"E",'Cable Schedule'!$I$2:$I$6131,"DC 2 kV")</f>
        <v/>
      </c>
      <c r="M7" s="18">
        <f>SUMIFS('Cable Schedule'!$W$2:$W$6131,'Cable Schedule'!$B$2:$B$6131,"E",'Cable Schedule'!$I$2:$I$6131,"Portable MV")</f>
        <v/>
      </c>
      <c r="N7" s="18">
        <f>SUMIFS('Cable Schedule'!$W$2:$W$6131,'Cable Schedule'!$B$2:$B$6131,"E",'Cable Schedule'!$I$2:$I$6131,"Portable LV")</f>
        <v/>
      </c>
      <c r="O7" s="18">
        <f>SUMIFS('Cable Schedule'!$W$2:$W$6131,'Cable Schedule'!$B$2:$B$6131,"E",'Cable Schedule'!$I$2:$I$6131,"Building wire")</f>
        <v/>
      </c>
      <c r="P7" s="18">
        <f>SUMIFS('Cable Schedule'!$W$2:$W$6131,'Cable Schedule'!$B$2:$B$6131,"E",'Cable Schedule'!$I$2:$I$6131,"Grounding")</f>
        <v/>
      </c>
      <c r="Q7" s="18">
        <f>SUMIFS('Cable Schedule'!$W$2:$W$6131,'Cable Schedule'!$B$2:$B$6131,"E",'Cable Schedule'!$I$2:$I$6131,"Overhead")</f>
        <v/>
      </c>
      <c r="R7" s="28">
        <f>SUM(B7:Q7)</f>
        <v/>
      </c>
    </row>
    <row r="8">
      <c r="A8" s="12" t="inlineStr">
        <is>
          <t>F  Controls / service</t>
        </is>
      </c>
      <c r="B8" s="18">
        <f>SUMIFS('Cable Schedule'!$W$2:$W$6131,'Cable Schedule'!$B$2:$B$6131,"F",'Cable Schedule'!$I$2:$I$6131,"MV 15 kV")</f>
        <v/>
      </c>
      <c r="C8" s="18">
        <f>SUMIFS('Cable Schedule'!$W$2:$W$6131,'Cable Schedule'!$B$2:$B$6131,"F",'Cable Schedule'!$I$2:$I$6131,"MV 5 kV")</f>
        <v/>
      </c>
      <c r="D8" s="18">
        <f>SUMIFS('Cable Schedule'!$W$2:$W$6131,'Cable Schedule'!$B$2:$B$6131,"F",'Cable Schedule'!$I$2:$I$6131,"MV 25 kV")</f>
        <v/>
      </c>
      <c r="E8" s="18">
        <f>SUMIFS('Cable Schedule'!$W$2:$W$6131,'Cable Schedule'!$B$2:$B$6131,"F",'Cable Schedule'!$I$2:$I$6131,"MV 35 kV")</f>
        <v/>
      </c>
      <c r="F8" s="18">
        <f>SUMIFS('Cable Schedule'!$W$2:$W$6131,'Cable Schedule'!$B$2:$B$6131,"F",'Cable Schedule'!$I$2:$I$6131,"HV 230 kV")</f>
        <v/>
      </c>
      <c r="G8" s="18">
        <f>SUMIFS('Cable Schedule'!$W$2:$W$6131,'Cable Schedule'!$B$2:$B$6131,"F",'Cable Schedule'!$I$2:$I$6131,"LV 600 V")</f>
        <v/>
      </c>
      <c r="H8" s="18">
        <f>SUMIFS('Cable Schedule'!$W$2:$W$6131,'Cable Schedule'!$B$2:$B$6131,"F",'Cable Schedule'!$I$2:$I$6131,"Control")</f>
        <v/>
      </c>
      <c r="I8" s="18">
        <f>SUMIFS('Cable Schedule'!$W$2:$W$6131,'Cable Schedule'!$B$2:$B$6131,"F",'Cable Schedule'!$I$2:$I$6131,"Instrumentation")</f>
        <v/>
      </c>
      <c r="J8" s="18">
        <f>SUMIFS('Cable Schedule'!$W$2:$W$6131,'Cable Schedule'!$B$2:$B$6131,"F",'Cable Schedule'!$I$2:$I$6131,"Fire alarm")</f>
        <v/>
      </c>
      <c r="K8" s="18">
        <f>SUMIFS('Cable Schedule'!$W$2:$W$6131,'Cable Schedule'!$B$2:$B$6131,"F",'Cable Schedule'!$I$2:$I$6131,"Fibre / data")</f>
        <v/>
      </c>
      <c r="L8" s="18">
        <f>SUMIFS('Cable Schedule'!$W$2:$W$6131,'Cable Schedule'!$B$2:$B$6131,"F",'Cable Schedule'!$I$2:$I$6131,"DC 2 kV")</f>
        <v/>
      </c>
      <c r="M8" s="18">
        <f>SUMIFS('Cable Schedule'!$W$2:$W$6131,'Cable Schedule'!$B$2:$B$6131,"F",'Cable Schedule'!$I$2:$I$6131,"Portable MV")</f>
        <v/>
      </c>
      <c r="N8" s="18">
        <f>SUMIFS('Cable Schedule'!$W$2:$W$6131,'Cable Schedule'!$B$2:$B$6131,"F",'Cable Schedule'!$I$2:$I$6131,"Portable LV")</f>
        <v/>
      </c>
      <c r="O8" s="18">
        <f>SUMIFS('Cable Schedule'!$W$2:$W$6131,'Cable Schedule'!$B$2:$B$6131,"F",'Cable Schedule'!$I$2:$I$6131,"Building wire")</f>
        <v/>
      </c>
      <c r="P8" s="18">
        <f>SUMIFS('Cable Schedule'!$W$2:$W$6131,'Cable Schedule'!$B$2:$B$6131,"F",'Cable Schedule'!$I$2:$I$6131,"Grounding")</f>
        <v/>
      </c>
      <c r="Q8" s="18">
        <f>SUMIFS('Cable Schedule'!$W$2:$W$6131,'Cable Schedule'!$B$2:$B$6131,"F",'Cable Schedule'!$I$2:$I$6131,"Overhead")</f>
        <v/>
      </c>
      <c r="R8" s="28">
        <f>SUM(B8:Q8)</f>
        <v/>
      </c>
    </row>
    <row r="9">
      <c r="A9" s="12" t="inlineStr">
        <is>
          <t>G  Carbon capture</t>
        </is>
      </c>
      <c r="B9" s="18">
        <f>SUMIFS('Cable Schedule'!$W$2:$W$6131,'Cable Schedule'!$B$2:$B$6131,"G",'Cable Schedule'!$I$2:$I$6131,"MV 15 kV")</f>
        <v/>
      </c>
      <c r="C9" s="18">
        <f>SUMIFS('Cable Schedule'!$W$2:$W$6131,'Cable Schedule'!$B$2:$B$6131,"G",'Cable Schedule'!$I$2:$I$6131,"MV 5 kV")</f>
        <v/>
      </c>
      <c r="D9" s="18">
        <f>SUMIFS('Cable Schedule'!$W$2:$W$6131,'Cable Schedule'!$B$2:$B$6131,"G",'Cable Schedule'!$I$2:$I$6131,"MV 25 kV")</f>
        <v/>
      </c>
      <c r="E9" s="18">
        <f>SUMIFS('Cable Schedule'!$W$2:$W$6131,'Cable Schedule'!$B$2:$B$6131,"G",'Cable Schedule'!$I$2:$I$6131,"MV 35 kV")</f>
        <v/>
      </c>
      <c r="F9" s="18">
        <f>SUMIFS('Cable Schedule'!$W$2:$W$6131,'Cable Schedule'!$B$2:$B$6131,"G",'Cable Schedule'!$I$2:$I$6131,"HV 230 kV")</f>
        <v/>
      </c>
      <c r="G9" s="18">
        <f>SUMIFS('Cable Schedule'!$W$2:$W$6131,'Cable Schedule'!$B$2:$B$6131,"G",'Cable Schedule'!$I$2:$I$6131,"LV 600 V")</f>
        <v/>
      </c>
      <c r="H9" s="18">
        <f>SUMIFS('Cable Schedule'!$W$2:$W$6131,'Cable Schedule'!$B$2:$B$6131,"G",'Cable Schedule'!$I$2:$I$6131,"Control")</f>
        <v/>
      </c>
      <c r="I9" s="18">
        <f>SUMIFS('Cable Schedule'!$W$2:$W$6131,'Cable Schedule'!$B$2:$B$6131,"G",'Cable Schedule'!$I$2:$I$6131,"Instrumentation")</f>
        <v/>
      </c>
      <c r="J9" s="18">
        <f>SUMIFS('Cable Schedule'!$W$2:$W$6131,'Cable Schedule'!$B$2:$B$6131,"G",'Cable Schedule'!$I$2:$I$6131,"Fire alarm")</f>
        <v/>
      </c>
      <c r="K9" s="18">
        <f>SUMIFS('Cable Schedule'!$W$2:$W$6131,'Cable Schedule'!$B$2:$B$6131,"G",'Cable Schedule'!$I$2:$I$6131,"Fibre / data")</f>
        <v/>
      </c>
      <c r="L9" s="18">
        <f>SUMIFS('Cable Schedule'!$W$2:$W$6131,'Cable Schedule'!$B$2:$B$6131,"G",'Cable Schedule'!$I$2:$I$6131,"DC 2 kV")</f>
        <v/>
      </c>
      <c r="M9" s="18">
        <f>SUMIFS('Cable Schedule'!$W$2:$W$6131,'Cable Schedule'!$B$2:$B$6131,"G",'Cable Schedule'!$I$2:$I$6131,"Portable MV")</f>
        <v/>
      </c>
      <c r="N9" s="18">
        <f>SUMIFS('Cable Schedule'!$W$2:$W$6131,'Cable Schedule'!$B$2:$B$6131,"G",'Cable Schedule'!$I$2:$I$6131,"Portable LV")</f>
        <v/>
      </c>
      <c r="O9" s="18">
        <f>SUMIFS('Cable Schedule'!$W$2:$W$6131,'Cable Schedule'!$B$2:$B$6131,"G",'Cable Schedule'!$I$2:$I$6131,"Building wire")</f>
        <v/>
      </c>
      <c r="P9" s="18">
        <f>SUMIFS('Cable Schedule'!$W$2:$W$6131,'Cable Schedule'!$B$2:$B$6131,"G",'Cable Schedule'!$I$2:$I$6131,"Grounding")</f>
        <v/>
      </c>
      <c r="Q9" s="18">
        <f>SUMIFS('Cable Schedule'!$W$2:$W$6131,'Cable Schedule'!$B$2:$B$6131,"G",'Cable Schedule'!$I$2:$I$6131,"Overhead")</f>
        <v/>
      </c>
      <c r="R9" s="28">
        <f>SUM(B9:Q9)</f>
        <v/>
      </c>
    </row>
    <row r="10">
      <c r="A10" s="12" t="inlineStr">
        <is>
          <t>H  BESS</t>
        </is>
      </c>
      <c r="B10" s="18">
        <f>SUMIFS('Cable Schedule'!$W$2:$W$6131,'Cable Schedule'!$B$2:$B$6131,"H",'Cable Schedule'!$I$2:$I$6131,"MV 15 kV")</f>
        <v/>
      </c>
      <c r="C10" s="18">
        <f>SUMIFS('Cable Schedule'!$W$2:$W$6131,'Cable Schedule'!$B$2:$B$6131,"H",'Cable Schedule'!$I$2:$I$6131,"MV 5 kV")</f>
        <v/>
      </c>
      <c r="D10" s="18">
        <f>SUMIFS('Cable Schedule'!$W$2:$W$6131,'Cable Schedule'!$B$2:$B$6131,"H",'Cable Schedule'!$I$2:$I$6131,"MV 25 kV")</f>
        <v/>
      </c>
      <c r="E10" s="18">
        <f>SUMIFS('Cable Schedule'!$W$2:$W$6131,'Cable Schedule'!$B$2:$B$6131,"H",'Cable Schedule'!$I$2:$I$6131,"MV 35 kV")</f>
        <v/>
      </c>
      <c r="F10" s="18">
        <f>SUMIFS('Cable Schedule'!$W$2:$W$6131,'Cable Schedule'!$B$2:$B$6131,"H",'Cable Schedule'!$I$2:$I$6131,"HV 230 kV")</f>
        <v/>
      </c>
      <c r="G10" s="18">
        <f>SUMIFS('Cable Schedule'!$W$2:$W$6131,'Cable Schedule'!$B$2:$B$6131,"H",'Cable Schedule'!$I$2:$I$6131,"LV 600 V")</f>
        <v/>
      </c>
      <c r="H10" s="18">
        <f>SUMIFS('Cable Schedule'!$W$2:$W$6131,'Cable Schedule'!$B$2:$B$6131,"H",'Cable Schedule'!$I$2:$I$6131,"Control")</f>
        <v/>
      </c>
      <c r="I10" s="18">
        <f>SUMIFS('Cable Schedule'!$W$2:$W$6131,'Cable Schedule'!$B$2:$B$6131,"H",'Cable Schedule'!$I$2:$I$6131,"Instrumentation")</f>
        <v/>
      </c>
      <c r="J10" s="18">
        <f>SUMIFS('Cable Schedule'!$W$2:$W$6131,'Cable Schedule'!$B$2:$B$6131,"H",'Cable Schedule'!$I$2:$I$6131,"Fire alarm")</f>
        <v/>
      </c>
      <c r="K10" s="18">
        <f>SUMIFS('Cable Schedule'!$W$2:$W$6131,'Cable Schedule'!$B$2:$B$6131,"H",'Cable Schedule'!$I$2:$I$6131,"Fibre / data")</f>
        <v/>
      </c>
      <c r="L10" s="18">
        <f>SUMIFS('Cable Schedule'!$W$2:$W$6131,'Cable Schedule'!$B$2:$B$6131,"H",'Cable Schedule'!$I$2:$I$6131,"DC 2 kV")</f>
        <v/>
      </c>
      <c r="M10" s="18">
        <f>SUMIFS('Cable Schedule'!$W$2:$W$6131,'Cable Schedule'!$B$2:$B$6131,"H",'Cable Schedule'!$I$2:$I$6131,"Portable MV")</f>
        <v/>
      </c>
      <c r="N10" s="18">
        <f>SUMIFS('Cable Schedule'!$W$2:$W$6131,'Cable Schedule'!$B$2:$B$6131,"H",'Cable Schedule'!$I$2:$I$6131,"Portable LV")</f>
        <v/>
      </c>
      <c r="O10" s="18">
        <f>SUMIFS('Cable Schedule'!$W$2:$W$6131,'Cable Schedule'!$B$2:$B$6131,"H",'Cable Schedule'!$I$2:$I$6131,"Building wire")</f>
        <v/>
      </c>
      <c r="P10" s="18">
        <f>SUMIFS('Cable Schedule'!$W$2:$W$6131,'Cable Schedule'!$B$2:$B$6131,"H",'Cable Schedule'!$I$2:$I$6131,"Grounding")</f>
        <v/>
      </c>
      <c r="Q10" s="18">
        <f>SUMIFS('Cable Schedule'!$W$2:$W$6131,'Cable Schedule'!$B$2:$B$6131,"H",'Cable Schedule'!$I$2:$I$6131,"Overhead")</f>
        <v/>
      </c>
      <c r="R10" s="28">
        <f>SUM(B10:Q10)</f>
        <v/>
      </c>
    </row>
    <row r="11">
      <c r="A11" s="12" t="inlineStr">
        <is>
          <t>I  Modular / portable power</t>
        </is>
      </c>
      <c r="B11" s="18">
        <f>SUMIFS('Cable Schedule'!$W$2:$W$6131,'Cable Schedule'!$B$2:$B$6131,"I",'Cable Schedule'!$I$2:$I$6131,"MV 15 kV")</f>
        <v/>
      </c>
      <c r="C11" s="18">
        <f>SUMIFS('Cable Schedule'!$W$2:$W$6131,'Cable Schedule'!$B$2:$B$6131,"I",'Cable Schedule'!$I$2:$I$6131,"MV 5 kV")</f>
        <v/>
      </c>
      <c r="D11" s="18">
        <f>SUMIFS('Cable Schedule'!$W$2:$W$6131,'Cable Schedule'!$B$2:$B$6131,"I",'Cable Schedule'!$I$2:$I$6131,"MV 25 kV")</f>
        <v/>
      </c>
      <c r="E11" s="18">
        <f>SUMIFS('Cable Schedule'!$W$2:$W$6131,'Cable Schedule'!$B$2:$B$6131,"I",'Cable Schedule'!$I$2:$I$6131,"MV 35 kV")</f>
        <v/>
      </c>
      <c r="F11" s="18">
        <f>SUMIFS('Cable Schedule'!$W$2:$W$6131,'Cable Schedule'!$B$2:$B$6131,"I",'Cable Schedule'!$I$2:$I$6131,"HV 230 kV")</f>
        <v/>
      </c>
      <c r="G11" s="18">
        <f>SUMIFS('Cable Schedule'!$W$2:$W$6131,'Cable Schedule'!$B$2:$B$6131,"I",'Cable Schedule'!$I$2:$I$6131,"LV 600 V")</f>
        <v/>
      </c>
      <c r="H11" s="18">
        <f>SUMIFS('Cable Schedule'!$W$2:$W$6131,'Cable Schedule'!$B$2:$B$6131,"I",'Cable Schedule'!$I$2:$I$6131,"Control")</f>
        <v/>
      </c>
      <c r="I11" s="18">
        <f>SUMIFS('Cable Schedule'!$W$2:$W$6131,'Cable Schedule'!$B$2:$B$6131,"I",'Cable Schedule'!$I$2:$I$6131,"Instrumentation")</f>
        <v/>
      </c>
      <c r="J11" s="18">
        <f>SUMIFS('Cable Schedule'!$W$2:$W$6131,'Cable Schedule'!$B$2:$B$6131,"I",'Cable Schedule'!$I$2:$I$6131,"Fire alarm")</f>
        <v/>
      </c>
      <c r="K11" s="18">
        <f>SUMIFS('Cable Schedule'!$W$2:$W$6131,'Cable Schedule'!$B$2:$B$6131,"I",'Cable Schedule'!$I$2:$I$6131,"Fibre / data")</f>
        <v/>
      </c>
      <c r="L11" s="18">
        <f>SUMIFS('Cable Schedule'!$W$2:$W$6131,'Cable Schedule'!$B$2:$B$6131,"I",'Cable Schedule'!$I$2:$I$6131,"DC 2 kV")</f>
        <v/>
      </c>
      <c r="M11" s="18">
        <f>SUMIFS('Cable Schedule'!$W$2:$W$6131,'Cable Schedule'!$B$2:$B$6131,"I",'Cable Schedule'!$I$2:$I$6131,"Portable MV")</f>
        <v/>
      </c>
      <c r="N11" s="18">
        <f>SUMIFS('Cable Schedule'!$W$2:$W$6131,'Cable Schedule'!$B$2:$B$6131,"I",'Cable Schedule'!$I$2:$I$6131,"Portable LV")</f>
        <v/>
      </c>
      <c r="O11" s="18">
        <f>SUMIFS('Cable Schedule'!$W$2:$W$6131,'Cable Schedule'!$B$2:$B$6131,"I",'Cable Schedule'!$I$2:$I$6131,"Building wire")</f>
        <v/>
      </c>
      <c r="P11" s="18">
        <f>SUMIFS('Cable Schedule'!$W$2:$W$6131,'Cable Schedule'!$B$2:$B$6131,"I",'Cable Schedule'!$I$2:$I$6131,"Grounding")</f>
        <v/>
      </c>
      <c r="Q11" s="18">
        <f>SUMIFS('Cable Schedule'!$W$2:$W$6131,'Cable Schedule'!$B$2:$B$6131,"I",'Cable Schedule'!$I$2:$I$6131,"Overhead")</f>
        <v/>
      </c>
      <c r="R11" s="28">
        <f>SUM(B11:Q11)</f>
        <v/>
      </c>
    </row>
    <row r="12">
      <c r="A12" s="12" t="inlineStr">
        <is>
          <t>J  GT inlet chilling</t>
        </is>
      </c>
      <c r="B12" s="18">
        <f>SUMIFS('Cable Schedule'!$W$2:$W$6131,'Cable Schedule'!$B$2:$B$6131,"J",'Cable Schedule'!$I$2:$I$6131,"MV 15 kV")</f>
        <v/>
      </c>
      <c r="C12" s="18">
        <f>SUMIFS('Cable Schedule'!$W$2:$W$6131,'Cable Schedule'!$B$2:$B$6131,"J",'Cable Schedule'!$I$2:$I$6131,"MV 5 kV")</f>
        <v/>
      </c>
      <c r="D12" s="18">
        <f>SUMIFS('Cable Schedule'!$W$2:$W$6131,'Cable Schedule'!$B$2:$B$6131,"J",'Cable Schedule'!$I$2:$I$6131,"MV 25 kV")</f>
        <v/>
      </c>
      <c r="E12" s="18">
        <f>SUMIFS('Cable Schedule'!$W$2:$W$6131,'Cable Schedule'!$B$2:$B$6131,"J",'Cable Schedule'!$I$2:$I$6131,"MV 35 kV")</f>
        <v/>
      </c>
      <c r="F12" s="18">
        <f>SUMIFS('Cable Schedule'!$W$2:$W$6131,'Cable Schedule'!$B$2:$B$6131,"J",'Cable Schedule'!$I$2:$I$6131,"HV 230 kV")</f>
        <v/>
      </c>
      <c r="G12" s="18">
        <f>SUMIFS('Cable Schedule'!$W$2:$W$6131,'Cable Schedule'!$B$2:$B$6131,"J",'Cable Schedule'!$I$2:$I$6131,"LV 600 V")</f>
        <v/>
      </c>
      <c r="H12" s="18">
        <f>SUMIFS('Cable Schedule'!$W$2:$W$6131,'Cable Schedule'!$B$2:$B$6131,"J",'Cable Schedule'!$I$2:$I$6131,"Control")</f>
        <v/>
      </c>
      <c r="I12" s="18">
        <f>SUMIFS('Cable Schedule'!$W$2:$W$6131,'Cable Schedule'!$B$2:$B$6131,"J",'Cable Schedule'!$I$2:$I$6131,"Instrumentation")</f>
        <v/>
      </c>
      <c r="J12" s="18">
        <f>SUMIFS('Cable Schedule'!$W$2:$W$6131,'Cable Schedule'!$B$2:$B$6131,"J",'Cable Schedule'!$I$2:$I$6131,"Fire alarm")</f>
        <v/>
      </c>
      <c r="K12" s="18">
        <f>SUMIFS('Cable Schedule'!$W$2:$W$6131,'Cable Schedule'!$B$2:$B$6131,"J",'Cable Schedule'!$I$2:$I$6131,"Fibre / data")</f>
        <v/>
      </c>
      <c r="L12" s="18">
        <f>SUMIFS('Cable Schedule'!$W$2:$W$6131,'Cable Schedule'!$B$2:$B$6131,"J",'Cable Schedule'!$I$2:$I$6131,"DC 2 kV")</f>
        <v/>
      </c>
      <c r="M12" s="18">
        <f>SUMIFS('Cable Schedule'!$W$2:$W$6131,'Cable Schedule'!$B$2:$B$6131,"J",'Cable Schedule'!$I$2:$I$6131,"Portable MV")</f>
        <v/>
      </c>
      <c r="N12" s="18">
        <f>SUMIFS('Cable Schedule'!$W$2:$W$6131,'Cable Schedule'!$B$2:$B$6131,"J",'Cable Schedule'!$I$2:$I$6131,"Portable LV")</f>
        <v/>
      </c>
      <c r="O12" s="18">
        <f>SUMIFS('Cable Schedule'!$W$2:$W$6131,'Cable Schedule'!$B$2:$B$6131,"J",'Cable Schedule'!$I$2:$I$6131,"Building wire")</f>
        <v/>
      </c>
      <c r="P12" s="18">
        <f>SUMIFS('Cable Schedule'!$W$2:$W$6131,'Cable Schedule'!$B$2:$B$6131,"J",'Cable Schedule'!$I$2:$I$6131,"Grounding")</f>
        <v/>
      </c>
      <c r="Q12" s="18">
        <f>SUMIFS('Cable Schedule'!$W$2:$W$6131,'Cable Schedule'!$B$2:$B$6131,"J",'Cable Schedule'!$I$2:$I$6131,"Overhead")</f>
        <v/>
      </c>
      <c r="R12" s="28">
        <f>SUM(B12:Q12)</f>
        <v/>
      </c>
    </row>
    <row r="13">
      <c r="A13" s="12" t="inlineStr">
        <is>
          <t>K  Fuel supply (adjacent market)</t>
        </is>
      </c>
      <c r="B13" s="18">
        <f>SUMIFS('Cable Schedule'!$W$2:$W$6131,'Cable Schedule'!$B$2:$B$6131,"K",'Cable Schedule'!$I$2:$I$6131,"MV 15 kV")</f>
        <v/>
      </c>
      <c r="C13" s="18">
        <f>SUMIFS('Cable Schedule'!$W$2:$W$6131,'Cable Schedule'!$B$2:$B$6131,"K",'Cable Schedule'!$I$2:$I$6131,"MV 5 kV")</f>
        <v/>
      </c>
      <c r="D13" s="18">
        <f>SUMIFS('Cable Schedule'!$W$2:$W$6131,'Cable Schedule'!$B$2:$B$6131,"K",'Cable Schedule'!$I$2:$I$6131,"MV 25 kV")</f>
        <v/>
      </c>
      <c r="E13" s="18">
        <f>SUMIFS('Cable Schedule'!$W$2:$W$6131,'Cable Schedule'!$B$2:$B$6131,"K",'Cable Schedule'!$I$2:$I$6131,"MV 35 kV")</f>
        <v/>
      </c>
      <c r="F13" s="18">
        <f>SUMIFS('Cable Schedule'!$W$2:$W$6131,'Cable Schedule'!$B$2:$B$6131,"K",'Cable Schedule'!$I$2:$I$6131,"HV 230 kV")</f>
        <v/>
      </c>
      <c r="G13" s="18">
        <f>SUMIFS('Cable Schedule'!$W$2:$W$6131,'Cable Schedule'!$B$2:$B$6131,"K",'Cable Schedule'!$I$2:$I$6131,"LV 600 V")</f>
        <v/>
      </c>
      <c r="H13" s="18">
        <f>SUMIFS('Cable Schedule'!$W$2:$W$6131,'Cable Schedule'!$B$2:$B$6131,"K",'Cable Schedule'!$I$2:$I$6131,"Control")</f>
        <v/>
      </c>
      <c r="I13" s="18">
        <f>SUMIFS('Cable Schedule'!$W$2:$W$6131,'Cable Schedule'!$B$2:$B$6131,"K",'Cable Schedule'!$I$2:$I$6131,"Instrumentation")</f>
        <v/>
      </c>
      <c r="J13" s="18">
        <f>SUMIFS('Cable Schedule'!$W$2:$W$6131,'Cable Schedule'!$B$2:$B$6131,"K",'Cable Schedule'!$I$2:$I$6131,"Fire alarm")</f>
        <v/>
      </c>
      <c r="K13" s="18">
        <f>SUMIFS('Cable Schedule'!$W$2:$W$6131,'Cable Schedule'!$B$2:$B$6131,"K",'Cable Schedule'!$I$2:$I$6131,"Fibre / data")</f>
        <v/>
      </c>
      <c r="L13" s="18">
        <f>SUMIFS('Cable Schedule'!$W$2:$W$6131,'Cable Schedule'!$B$2:$B$6131,"K",'Cable Schedule'!$I$2:$I$6131,"DC 2 kV")</f>
        <v/>
      </c>
      <c r="M13" s="18">
        <f>SUMIFS('Cable Schedule'!$W$2:$W$6131,'Cable Schedule'!$B$2:$B$6131,"K",'Cable Schedule'!$I$2:$I$6131,"Portable MV")</f>
        <v/>
      </c>
      <c r="N13" s="18">
        <f>SUMIFS('Cable Schedule'!$W$2:$W$6131,'Cable Schedule'!$B$2:$B$6131,"K",'Cable Schedule'!$I$2:$I$6131,"Portable LV")</f>
        <v/>
      </c>
      <c r="O13" s="18">
        <f>SUMIFS('Cable Schedule'!$W$2:$W$6131,'Cable Schedule'!$B$2:$B$6131,"K",'Cable Schedule'!$I$2:$I$6131,"Building wire")</f>
        <v/>
      </c>
      <c r="P13" s="18">
        <f>SUMIFS('Cable Schedule'!$W$2:$W$6131,'Cable Schedule'!$B$2:$B$6131,"K",'Cable Schedule'!$I$2:$I$6131,"Grounding")</f>
        <v/>
      </c>
      <c r="Q13" s="18">
        <f>SUMIFS('Cable Schedule'!$W$2:$W$6131,'Cable Schedule'!$B$2:$B$6131,"K",'Cable Schedule'!$I$2:$I$6131,"Overhead")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Schedule'!B2:B6131,"?")</f>
        <v/>
      </c>
    </row>
    <row r="18">
      <c r="A18" s="22" t="inlineStr">
        <is>
          <t>Cables (count)</t>
        </is>
      </c>
      <c r="B18" s="18">
        <f>SUM('Cable Schedule'!AA2:AA6131)</f>
        <v/>
      </c>
    </row>
    <row r="20">
      <c r="A20" s="22" t="inlineStr">
        <is>
          <t>Device count behind the schedule (typical for each equipment class)</t>
        </is>
      </c>
    </row>
    <row r="21">
      <c r="A21" s="12" t="inlineStr">
        <is>
          <t>Analog instruments</t>
        </is>
      </c>
      <c r="B21" s="30" t="n">
        <v>6332</v>
      </c>
    </row>
    <row r="22">
      <c r="A22" s="12" t="inlineStr">
        <is>
          <t>Discrete devices</t>
        </is>
      </c>
      <c r="B22" s="30" t="n">
        <v>6636</v>
      </c>
    </row>
    <row r="23">
      <c r="A23" s="12" t="inlineStr">
        <is>
          <t>Thermocouples</t>
        </is>
      </c>
      <c r="B23" s="30" t="n">
        <v>832</v>
      </c>
    </row>
    <row r="24">
      <c r="A24" s="12" t="inlineStr">
        <is>
          <t>RTDs</t>
        </is>
      </c>
      <c r="B24" s="30" t="n">
        <v>510</v>
      </c>
    </row>
    <row r="25">
      <c r="A25" s="12" t="inlineStr">
        <is>
          <t>Solenoids</t>
        </is>
      </c>
      <c r="B25" s="30" t="n">
        <v>586</v>
      </c>
    </row>
    <row r="26">
      <c r="A26" s="12" t="inlineStr">
        <is>
          <t>LV motors</t>
        </is>
      </c>
      <c r="B26" s="30" t="n">
        <v>782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16"/>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13</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13</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85</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85</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85</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85</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Aqueous ammonia (SC units)</t>
        </is>
      </c>
      <c r="B1322" s="12" t="inlineStr"/>
      <c r="C1322" s="12" t="inlineStr">
        <is>
          <t>I</t>
        </is>
      </c>
      <c r="D1322" s="12" t="inlineStr">
        <is>
          <t>Motor 1 of 2, 3.7 kW</t>
        </is>
      </c>
      <c r="E1322" s="12" t="n">
        <v>480</v>
      </c>
      <c r="F1322" s="12" t="n">
        <v>3.7</v>
      </c>
      <c r="G1322" s="12" t="n">
        <v>5.2</v>
      </c>
      <c r="H1322" s="12" t="inlineStr">
        <is>
          <t>SC-2 PCM + 15 kV GCB</t>
        </is>
      </c>
      <c r="I1322" s="12" t="inlineStr">
        <is>
          <t>LV 600 V</t>
        </is>
      </c>
      <c r="J1322" s="12" t="inlineStr">
        <is>
          <t>10</t>
        </is>
      </c>
      <c r="K1322" s="12" t="n">
        <v>1</v>
      </c>
    </row>
    <row r="1323">
      <c r="A1323" s="12" t="inlineStr">
        <is>
          <t>Aqueous ammonia (SC units)</t>
        </is>
      </c>
      <c r="B1323" s="12" t="inlineStr"/>
      <c r="C1323" s="12" t="inlineStr">
        <is>
          <t>I</t>
        </is>
      </c>
      <c r="D1323" s="12" t="inlineStr">
        <is>
          <t>Motor 2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BS black-start switchgear</t>
        </is>
      </c>
      <c r="B1324" s="12" t="inlineStr"/>
      <c r="C1324" s="12" t="inlineStr">
        <is>
          <t>I</t>
        </is>
      </c>
      <c r="D1324" s="12" t="inlineStr">
        <is>
          <t>Black-start genset output</t>
        </is>
      </c>
      <c r="E1324" s="12" t="n">
        <v>480</v>
      </c>
      <c r="F1324" s="12" t="n">
        <v>2000</v>
      </c>
      <c r="G1324" s="12" t="n">
        <v>2532.3</v>
      </c>
      <c r="H1324" s="12" t="inlineStr">
        <is>
          <t>Black-start genset (proposed; requires study)</t>
        </is>
      </c>
      <c r="I1324" s="12" t="inlineStr">
        <is>
          <t>LV 600 V</t>
        </is>
      </c>
      <c r="J1324" s="12" t="inlineStr">
        <is>
          <t>500 kcmil</t>
        </is>
      </c>
      <c r="K1324" s="12" t="n">
        <v>10</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LV power feeder</t>
        </is>
      </c>
      <c r="E1326" s="12" t="n">
        <v>480</v>
      </c>
      <c r="F1326" s="12" t="n">
        <v>15</v>
      </c>
      <c r="G1326" s="12" t="n">
        <v>21.2</v>
      </c>
      <c r="H1326" s="12" t="inlineStr">
        <is>
          <t>PCM: power control module</t>
        </is>
      </c>
      <c r="I1326" s="12" t="inlineStr">
        <is>
          <t>LV 600 V</t>
        </is>
      </c>
      <c r="J1326" s="12" t="inlineStr">
        <is>
          <t>6</t>
        </is>
      </c>
      <c r="K1326" s="12" t="n">
        <v>1</v>
      </c>
    </row>
    <row r="1327">
      <c r="A1327" s="12" t="inlineStr">
        <is>
          <t>CONDITIONAL: BESS black-start alternative</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CONDITIONAL: SC-1 inlet chiller / evaporative cooler</t>
        </is>
      </c>
      <c r="B1328" s="12" t="inlineStr"/>
      <c r="C1328" s="12" t="inlineStr">
        <is>
          <t>I</t>
        </is>
      </c>
      <c r="D1328" s="12" t="inlineStr">
        <is>
          <t>LV power feeder</t>
        </is>
      </c>
      <c r="E1328" s="12" t="n">
        <v>480</v>
      </c>
      <c r="F1328" s="12" t="n">
        <v>500</v>
      </c>
      <c r="G1328" s="12" t="n">
        <v>707.6</v>
      </c>
      <c r="H1328" s="12" t="inlineStr">
        <is>
          <t>SC-1 PCM + 15 kV GCB</t>
        </is>
      </c>
      <c r="I1328" s="12" t="inlineStr">
        <is>
          <t>LV 600 V</t>
        </is>
      </c>
      <c r="J1328" s="12" t="inlineStr">
        <is>
          <t>350 kcmil</t>
        </is>
      </c>
      <c r="K1328" s="12" t="n">
        <v>3</v>
      </c>
    </row>
    <row r="1329">
      <c r="A1329" s="12" t="inlineStr">
        <is>
          <t>CONDITIONAL: SC-2 inlet chiller / evaporative cooler</t>
        </is>
      </c>
      <c r="B1329" s="12" t="inlineStr"/>
      <c r="C1329" s="12" t="inlineStr">
        <is>
          <t>I</t>
        </is>
      </c>
      <c r="D1329" s="12" t="inlineStr">
        <is>
          <t>LV power feeder</t>
        </is>
      </c>
      <c r="E1329" s="12" t="n">
        <v>480</v>
      </c>
      <c r="F1329" s="12" t="n">
        <v>500</v>
      </c>
      <c r="G1329" s="12" t="n">
        <v>707.6</v>
      </c>
      <c r="H1329" s="12" t="inlineStr">
        <is>
          <t>SC-2 PCM + 15 kV GCB</t>
        </is>
      </c>
      <c r="I1329" s="12" t="inlineStr">
        <is>
          <t>LV 600 V</t>
        </is>
      </c>
      <c r="J1329" s="12" t="inlineStr">
        <is>
          <t>350 kcmil</t>
        </is>
      </c>
      <c r="K1329" s="12" t="n">
        <v>3</v>
      </c>
    </row>
    <row r="1330">
      <c r="A1330" s="12" t="inlineStr">
        <is>
          <t>FC-5..12 inverter / AC cabinet / desulfurizer</t>
        </is>
      </c>
      <c r="B1330" s="12" t="inlineStr"/>
      <c r="C1330" s="12" t="inlineStr">
        <is>
          <t>I</t>
        </is>
      </c>
      <c r="D1330" s="12" t="inlineStr">
        <is>
          <t>FC-5 SOFC output to inverter / AC cabinet</t>
        </is>
      </c>
      <c r="E1330" s="12" t="n">
        <v>480</v>
      </c>
      <c r="F1330" s="12" t="n">
        <v>250</v>
      </c>
      <c r="G1330" s="12" t="n">
        <v>316.5</v>
      </c>
      <c r="H1330" s="12" t="inlineStr">
        <is>
          <t>FC-5: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FC-6 SOFC output to inverter / AC cabinet</t>
        </is>
      </c>
      <c r="E1331" s="12" t="n">
        <v>480</v>
      </c>
      <c r="F1331" s="12" t="n">
        <v>250</v>
      </c>
      <c r="G1331" s="12" t="n">
        <v>316.5</v>
      </c>
      <c r="H1331" s="12" t="inlineStr">
        <is>
          <t>FC-6: SOFC module (Bloom ES5 class, 200-300 kW)</t>
        </is>
      </c>
      <c r="I1331" s="12" t="inlineStr">
        <is>
          <t>LV 600 V</t>
        </is>
      </c>
      <c r="J1331" s="12" t="inlineStr">
        <is>
          <t>3/0</t>
        </is>
      </c>
      <c r="K1331" s="12" t="n">
        <v>2</v>
      </c>
    </row>
    <row r="1332">
      <c r="A1332" s="12" t="inlineStr">
        <is>
          <t>FC-5..12 inverter / AC cabinet / desulfurizer</t>
        </is>
      </c>
      <c r="B1332" s="12" t="inlineStr"/>
      <c r="C1332" s="12" t="inlineStr">
        <is>
          <t>I</t>
        </is>
      </c>
      <c r="D1332" s="12" t="inlineStr">
        <is>
          <t>FC-7 SOFC output to inverter / AC cabinet</t>
        </is>
      </c>
      <c r="E1332" s="12" t="n">
        <v>480</v>
      </c>
      <c r="F1332" s="12" t="n">
        <v>250</v>
      </c>
      <c r="G1332" s="12" t="n">
        <v>316.5</v>
      </c>
      <c r="H1332" s="12" t="inlineStr">
        <is>
          <t>FC-7: SOFC module (Bloom ES5 class, 200-300 kW)</t>
        </is>
      </c>
      <c r="I1332" s="12" t="inlineStr">
        <is>
          <t>LV 600 V</t>
        </is>
      </c>
      <c r="J1332" s="12" t="inlineStr">
        <is>
          <t>3/0</t>
        </is>
      </c>
      <c r="K1332" s="12" t="n">
        <v>2</v>
      </c>
    </row>
    <row r="1333">
      <c r="A1333" s="12" t="inlineStr">
        <is>
          <t>FC-5..12 inverter / AC cabinet / desulfurizer</t>
        </is>
      </c>
      <c r="B1333" s="12" t="inlineStr"/>
      <c r="C1333" s="12" t="inlineStr">
        <is>
          <t>I</t>
        </is>
      </c>
      <c r="D1333" s="12" t="inlineStr">
        <is>
          <t>FC-8 SOFC output to inverter / AC cabinet</t>
        </is>
      </c>
      <c r="E1333" s="12" t="n">
        <v>480</v>
      </c>
      <c r="F1333" s="12" t="n">
        <v>250</v>
      </c>
      <c r="G1333" s="12" t="n">
        <v>316.5</v>
      </c>
      <c r="H1333" s="12" t="inlineStr">
        <is>
          <t>FC-8: SOFC module (Bloom ES5 class, 200-300 kW)</t>
        </is>
      </c>
      <c r="I1333" s="12" t="inlineStr">
        <is>
          <t>LV 600 V</t>
        </is>
      </c>
      <c r="J1333" s="12" t="inlineStr">
        <is>
          <t>3/0</t>
        </is>
      </c>
      <c r="K1333" s="12" t="n">
        <v>2</v>
      </c>
    </row>
    <row r="1334">
      <c r="A1334" s="12" t="inlineStr">
        <is>
          <t>FC-5..12 inverter / AC cabinet / desulfurizer</t>
        </is>
      </c>
      <c r="B1334" s="12" t="inlineStr"/>
      <c r="C1334" s="12" t="inlineStr">
        <is>
          <t>I</t>
        </is>
      </c>
      <c r="D1334" s="12" t="inlineStr">
        <is>
          <t>FC-9 SOFC output to inverter / AC cabinet</t>
        </is>
      </c>
      <c r="E1334" s="12" t="n">
        <v>480</v>
      </c>
      <c r="F1334" s="12" t="n">
        <v>250</v>
      </c>
      <c r="G1334" s="12" t="n">
        <v>316.5</v>
      </c>
      <c r="H1334" s="12" t="inlineStr">
        <is>
          <t>FC-9: SOFC module (Bloom ES5 class, 200-300 kW)</t>
        </is>
      </c>
      <c r="I1334" s="12" t="inlineStr">
        <is>
          <t>LV 600 V</t>
        </is>
      </c>
      <c r="J1334" s="12" t="inlineStr">
        <is>
          <t>3/0</t>
        </is>
      </c>
      <c r="K1334" s="12" t="n">
        <v>2</v>
      </c>
    </row>
    <row r="1335">
      <c r="A1335" s="12" t="inlineStr">
        <is>
          <t>FC-5..12 inverter / AC cabinet / desulfurizer</t>
        </is>
      </c>
      <c r="B1335" s="12" t="inlineStr"/>
      <c r="C1335" s="12" t="inlineStr">
        <is>
          <t>I</t>
        </is>
      </c>
      <c r="D1335" s="12" t="inlineStr">
        <is>
          <t>FC-10 SOFC output to inverter / AC cabinet</t>
        </is>
      </c>
      <c r="E1335" s="12" t="n">
        <v>480</v>
      </c>
      <c r="F1335" s="12" t="n">
        <v>250</v>
      </c>
      <c r="G1335" s="12" t="n">
        <v>316.5</v>
      </c>
      <c r="H1335" s="12" t="inlineStr">
        <is>
          <t>FC-10: SOFC module (Bloom ES5 class, 200-300 kW)</t>
        </is>
      </c>
      <c r="I1335" s="12" t="inlineStr">
        <is>
          <t>LV 600 V</t>
        </is>
      </c>
      <c r="J1335" s="12" t="inlineStr">
        <is>
          <t>3/0</t>
        </is>
      </c>
      <c r="K1335" s="12" t="n">
        <v>2</v>
      </c>
    </row>
    <row r="1336">
      <c r="A1336" s="12" t="inlineStr">
        <is>
          <t>FC-5..12 inverter / AC cabinet / desulfurizer</t>
        </is>
      </c>
      <c r="B1336" s="12" t="inlineStr"/>
      <c r="C1336" s="12" t="inlineStr">
        <is>
          <t>I</t>
        </is>
      </c>
      <c r="D1336" s="12" t="inlineStr">
        <is>
          <t>FC-11 SOFC output to inverter / AC cabinet</t>
        </is>
      </c>
      <c r="E1336" s="12" t="n">
        <v>480</v>
      </c>
      <c r="F1336" s="12" t="n">
        <v>250</v>
      </c>
      <c r="G1336" s="12" t="n">
        <v>316.5</v>
      </c>
      <c r="H1336" s="12" t="inlineStr">
        <is>
          <t>FC-11: SOFC module (Bloom ES5 class, 200-300 kW)</t>
        </is>
      </c>
      <c r="I1336" s="12" t="inlineStr">
        <is>
          <t>LV 600 V</t>
        </is>
      </c>
      <c r="J1336" s="12" t="inlineStr">
        <is>
          <t>3/0</t>
        </is>
      </c>
      <c r="K1336" s="12" t="n">
        <v>2</v>
      </c>
    </row>
    <row r="1337">
      <c r="A1337" s="12" t="inlineStr">
        <is>
          <t>FC-5..12 inverter / AC cabinet / desulfurizer</t>
        </is>
      </c>
      <c r="B1337" s="12" t="inlineStr"/>
      <c r="C1337" s="12" t="inlineStr">
        <is>
          <t>I</t>
        </is>
      </c>
      <c r="D1337" s="12" t="inlineStr">
        <is>
          <t>FC-12 SOFC output to inverter / AC cabinet</t>
        </is>
      </c>
      <c r="E1337" s="12" t="n">
        <v>480</v>
      </c>
      <c r="F1337" s="12" t="n">
        <v>250</v>
      </c>
      <c r="G1337" s="12" t="n">
        <v>316.5</v>
      </c>
      <c r="H1337" s="12" t="inlineStr">
        <is>
          <t>FC-12: SOFC module (Bloom ES5 class, 200-300 kW)</t>
        </is>
      </c>
      <c r="I1337" s="12" t="inlineStr">
        <is>
          <t>LV 600 V</t>
        </is>
      </c>
      <c r="J1337" s="12" t="inlineStr">
        <is>
          <t>3/0</t>
        </is>
      </c>
      <c r="K1337" s="12" t="n">
        <v>2</v>
      </c>
    </row>
    <row r="1338">
      <c r="A1338" s="12" t="inlineStr">
        <is>
          <t>Fuel-gas compressors 3 x 100% electric</t>
        </is>
      </c>
      <c r="B1338" s="12" t="inlineStr"/>
      <c r="C1338" s="12" t="inlineStr">
        <is>
          <t>I</t>
        </is>
      </c>
      <c r="D1338" s="12" t="inlineStr">
        <is>
          <t>Motor 1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2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Fuel-gas compressors 3 x 100% electric</t>
        </is>
      </c>
      <c r="B1340" s="12" t="inlineStr"/>
      <c r="C1340" s="12" t="inlineStr">
        <is>
          <t>I</t>
        </is>
      </c>
      <c r="D1340" s="12" t="inlineStr">
        <is>
          <t>Motor 3 of 6, 15 kW</t>
        </is>
      </c>
      <c r="E1340" s="12" t="n">
        <v>480</v>
      </c>
      <c r="F1340" s="12" t="n">
        <v>15</v>
      </c>
      <c r="G1340" s="12" t="n">
        <v>21.2</v>
      </c>
      <c r="H1340" s="12" t="inlineStr">
        <is>
          <t>SC-2 PCM + 15 kV GCB</t>
        </is>
      </c>
      <c r="I1340" s="12" t="inlineStr">
        <is>
          <t>LV 600 V</t>
        </is>
      </c>
      <c r="J1340" s="12" t="inlineStr">
        <is>
          <t>10</t>
        </is>
      </c>
      <c r="K1340" s="12" t="n">
        <v>1</v>
      </c>
    </row>
    <row r="1341">
      <c r="A1341" s="12" t="inlineStr">
        <is>
          <t>Fuel-gas compressors 3 x 100% electric</t>
        </is>
      </c>
      <c r="B1341" s="12" t="inlineStr"/>
      <c r="C1341" s="12" t="inlineStr">
        <is>
          <t>I</t>
        </is>
      </c>
      <c r="D1341" s="12" t="inlineStr">
        <is>
          <t>Motor 4 of 6, 15 kW</t>
        </is>
      </c>
      <c r="E1341" s="12" t="n">
        <v>480</v>
      </c>
      <c r="F1341" s="12" t="n">
        <v>15</v>
      </c>
      <c r="G1341" s="12" t="n">
        <v>21.2</v>
      </c>
      <c r="H1341" s="12" t="inlineStr">
        <is>
          <t>SC-2 PCM + 15 kV GCB</t>
        </is>
      </c>
      <c r="I1341" s="12" t="inlineStr">
        <is>
          <t>LV 600 V</t>
        </is>
      </c>
      <c r="J1341" s="12" t="inlineStr">
        <is>
          <t>10</t>
        </is>
      </c>
      <c r="K1341" s="12" t="n">
        <v>1</v>
      </c>
    </row>
    <row r="1342">
      <c r="A1342" s="12" t="inlineStr">
        <is>
          <t>Fuel-gas compressors 3 x 100% electric</t>
        </is>
      </c>
      <c r="B1342" s="12" t="inlineStr"/>
      <c r="C1342" s="12" t="inlineStr">
        <is>
          <t>I</t>
        </is>
      </c>
      <c r="D1342" s="12" t="inlineStr">
        <is>
          <t>Motor 5 of 6, 15 kW</t>
        </is>
      </c>
      <c r="E1342" s="12" t="n">
        <v>480</v>
      </c>
      <c r="F1342" s="12" t="n">
        <v>15</v>
      </c>
      <c r="G1342" s="12" t="n">
        <v>21.2</v>
      </c>
      <c r="H1342" s="12" t="inlineStr">
        <is>
          <t>SC-2 PCM + 15 kV GCB</t>
        </is>
      </c>
      <c r="I1342" s="12" t="inlineStr">
        <is>
          <t>LV 600 V</t>
        </is>
      </c>
      <c r="J1342" s="12" t="inlineStr">
        <is>
          <t>10</t>
        </is>
      </c>
      <c r="K1342" s="12" t="n">
        <v>1</v>
      </c>
    </row>
    <row r="1343">
      <c r="A1343" s="12" t="inlineStr">
        <is>
          <t>Fuel-gas compressors 3 x 100% electric</t>
        </is>
      </c>
      <c r="B1343" s="12" t="inlineStr"/>
      <c r="C1343" s="12" t="inlineStr">
        <is>
          <t>I</t>
        </is>
      </c>
      <c r="D1343" s="12" t="inlineStr">
        <is>
          <t>Motor 6 of 6, 15 kW</t>
        </is>
      </c>
      <c r="E1343" s="12" t="n">
        <v>480</v>
      </c>
      <c r="F1343" s="12" t="n">
        <v>15</v>
      </c>
      <c r="G1343" s="12" t="n">
        <v>21.2</v>
      </c>
      <c r="H1343" s="12" t="inlineStr">
        <is>
          <t>SC-2 PCM + 15 kV GCB</t>
        </is>
      </c>
      <c r="I1343" s="12" t="inlineStr">
        <is>
          <t>LV 600 V</t>
        </is>
      </c>
      <c r="J1343" s="12" t="inlineStr">
        <is>
          <t>10</t>
        </is>
      </c>
      <c r="K1343" s="12" t="n">
        <v>1</v>
      </c>
    </row>
    <row r="1344">
      <c r="A1344" s="12" t="inlineStr">
        <is>
          <t>GB-1.1: modular gas genset 500 kW, 480 V (block GB-1, unit 1 of 5)</t>
        </is>
      </c>
      <c r="B1344" s="12" t="inlineStr">
        <is>
          <t>GB-1.1</t>
        </is>
      </c>
      <c r="C1344" s="12" t="inlineStr">
        <is>
          <t>I</t>
        </is>
      </c>
      <c r="D1344" s="12" t="inlineStr">
        <is>
          <t>GB-1.1 aux power: jacket-water heater, battery charger, enclosure</t>
        </is>
      </c>
      <c r="E1344" s="12" t="n">
        <v>480</v>
      </c>
      <c r="F1344" s="12" t="n">
        <v>15</v>
      </c>
      <c r="G1344" s="12" t="n">
        <v>19</v>
      </c>
      <c r="H1344" s="12" t="inlineStr">
        <is>
          <t>GBC-1: block GB-1 generator collector box, 480 V outdoor swi</t>
        </is>
      </c>
      <c r="I1344" s="12" t="inlineStr">
        <is>
          <t>LV 600 V</t>
        </is>
      </c>
      <c r="J1344" s="12" t="inlineStr">
        <is>
          <t>10</t>
        </is>
      </c>
      <c r="K1344" s="12" t="n">
        <v>1</v>
      </c>
    </row>
    <row r="1345">
      <c r="A1345" s="12" t="inlineStr">
        <is>
          <t>GB-1.2: modular gas genset 500 kW, 480 V (block GB-1, unit 2 of 5)</t>
        </is>
      </c>
      <c r="B1345" s="12" t="inlineStr">
        <is>
          <t>GB-1.2</t>
        </is>
      </c>
      <c r="C1345" s="12" t="inlineStr">
        <is>
          <t>I</t>
        </is>
      </c>
      <c r="D1345" s="12" t="inlineStr">
        <is>
          <t>GB-1.2 aux power: jacket-water heater, battery charger, enclosure</t>
        </is>
      </c>
      <c r="E1345" s="12" t="n">
        <v>480</v>
      </c>
      <c r="F1345" s="12" t="n">
        <v>15</v>
      </c>
      <c r="G1345" s="12" t="n">
        <v>19</v>
      </c>
      <c r="H1345" s="12" t="inlineStr">
        <is>
          <t>GBC-1: block GB-1 generator collector box, 480 V outdoor swi</t>
        </is>
      </c>
      <c r="I1345" s="12" t="inlineStr">
        <is>
          <t>LV 600 V</t>
        </is>
      </c>
      <c r="J1345" s="12" t="inlineStr">
        <is>
          <t>10</t>
        </is>
      </c>
      <c r="K1345" s="12" t="n">
        <v>1</v>
      </c>
    </row>
    <row r="1346">
      <c r="A1346" s="12" t="inlineStr">
        <is>
          <t>GB-1.3: modular gas genset 500 kW, 480 V (block GB-1, unit 3 of 5)</t>
        </is>
      </c>
      <c r="B1346" s="12" t="inlineStr">
        <is>
          <t>GB-1.3</t>
        </is>
      </c>
      <c r="C1346" s="12" t="inlineStr">
        <is>
          <t>I</t>
        </is>
      </c>
      <c r="D1346" s="12" t="inlineStr">
        <is>
          <t>GB-1.3 aux power: jacket-water heater, battery charger, enclosure</t>
        </is>
      </c>
      <c r="E1346" s="12" t="n">
        <v>480</v>
      </c>
      <c r="F1346" s="12" t="n">
        <v>15</v>
      </c>
      <c r="G1346" s="12" t="n">
        <v>19</v>
      </c>
      <c r="H1346" s="12" t="inlineStr">
        <is>
          <t>GBC-1: block GB-1 generator collector box, 480 V outdoor swi</t>
        </is>
      </c>
      <c r="I1346" s="12" t="inlineStr">
        <is>
          <t>LV 600 V</t>
        </is>
      </c>
      <c r="J1346" s="12" t="inlineStr">
        <is>
          <t>10</t>
        </is>
      </c>
      <c r="K1346" s="12" t="n">
        <v>1</v>
      </c>
    </row>
    <row r="1347">
      <c r="A1347" s="12" t="inlineStr">
        <is>
          <t>GB-1.4: modular gas genset 500 kW, 480 V (block GB-1, unit 4 of 5)</t>
        </is>
      </c>
      <c r="B1347" s="12" t="inlineStr">
        <is>
          <t>GB-1.4</t>
        </is>
      </c>
      <c r="C1347" s="12" t="inlineStr">
        <is>
          <t>I</t>
        </is>
      </c>
      <c r="D1347" s="12" t="inlineStr">
        <is>
          <t>GB-1.4 aux power: jacket-water heater, battery charger, enclosure</t>
        </is>
      </c>
      <c r="E1347" s="12" t="n">
        <v>480</v>
      </c>
      <c r="F1347" s="12" t="n">
        <v>15</v>
      </c>
      <c r="G1347" s="12" t="n">
        <v>19</v>
      </c>
      <c r="H1347" s="12" t="inlineStr">
        <is>
          <t>GBC-1: block GB-1 generator collector box, 480 V outdoor swi</t>
        </is>
      </c>
      <c r="I1347" s="12" t="inlineStr">
        <is>
          <t>LV 600 V</t>
        </is>
      </c>
      <c r="J1347" s="12" t="inlineStr">
        <is>
          <t>10</t>
        </is>
      </c>
      <c r="K1347" s="12" t="n">
        <v>1</v>
      </c>
    </row>
    <row r="1348">
      <c r="A1348" s="12" t="inlineStr">
        <is>
          <t>GB-1.5: modular gas genset 500 kW, 480 V (block GB-1, unit 5 of 5)</t>
        </is>
      </c>
      <c r="B1348" s="12" t="inlineStr">
        <is>
          <t>GB-1.5</t>
        </is>
      </c>
      <c r="C1348" s="12" t="inlineStr">
        <is>
          <t>I</t>
        </is>
      </c>
      <c r="D1348" s="12" t="inlineStr">
        <is>
          <t>GB-1.5 aux power: jacket-water heater, battery charger, enclosure</t>
        </is>
      </c>
      <c r="E1348" s="12" t="n">
        <v>480</v>
      </c>
      <c r="F1348" s="12" t="n">
        <v>15</v>
      </c>
      <c r="G1348" s="12" t="n">
        <v>19</v>
      </c>
      <c r="H1348" s="12" t="inlineStr">
        <is>
          <t>GBC-1: block GB-1 generator collector box, 480 V outdoor swi</t>
        </is>
      </c>
      <c r="I1348" s="12" t="inlineStr">
        <is>
          <t>LV 600 V</t>
        </is>
      </c>
      <c r="J1348" s="12" t="inlineStr">
        <is>
          <t>10</t>
        </is>
      </c>
      <c r="K1348" s="12" t="n">
        <v>1</v>
      </c>
    </row>
    <row r="1349">
      <c r="A1349" s="12" t="inlineStr">
        <is>
          <t>GB-2.1: modular gas genset 500 kW, 480 V (block GB-2, unit 1 of 5)</t>
        </is>
      </c>
      <c r="B1349" s="12" t="inlineStr">
        <is>
          <t>GB-2.1</t>
        </is>
      </c>
      <c r="C1349" s="12" t="inlineStr">
        <is>
          <t>I</t>
        </is>
      </c>
      <c r="D1349" s="12" t="inlineStr">
        <is>
          <t>GB-2.1 aux power: jacket-water heater, battery charger, enclosure</t>
        </is>
      </c>
      <c r="E1349" s="12" t="n">
        <v>480</v>
      </c>
      <c r="F1349" s="12" t="n">
        <v>15</v>
      </c>
      <c r="G1349" s="12" t="n">
        <v>19</v>
      </c>
      <c r="H1349" s="12" t="inlineStr">
        <is>
          <t>GBC-2: block GB-2 generator collector box, 480 V outdoor swi</t>
        </is>
      </c>
      <c r="I1349" s="12" t="inlineStr">
        <is>
          <t>LV 600 V</t>
        </is>
      </c>
      <c r="J1349" s="12" t="inlineStr">
        <is>
          <t>10</t>
        </is>
      </c>
      <c r="K1349" s="12" t="n">
        <v>1</v>
      </c>
    </row>
    <row r="1350">
      <c r="A1350" s="12" t="inlineStr">
        <is>
          <t>GB-2.2: modular gas genset 500 kW, 480 V (block GB-2, unit 2 of 5)</t>
        </is>
      </c>
      <c r="B1350" s="12" t="inlineStr">
        <is>
          <t>GB-2.2</t>
        </is>
      </c>
      <c r="C1350" s="12" t="inlineStr">
        <is>
          <t>I</t>
        </is>
      </c>
      <c r="D1350" s="12" t="inlineStr">
        <is>
          <t>GB-2.2 aux power: jacket-water heater, battery charger, enclosure</t>
        </is>
      </c>
      <c r="E1350" s="12" t="n">
        <v>480</v>
      </c>
      <c r="F1350" s="12" t="n">
        <v>15</v>
      </c>
      <c r="G1350" s="12" t="n">
        <v>19</v>
      </c>
      <c r="H1350" s="12" t="inlineStr">
        <is>
          <t>GBC-2: block GB-2 generator collector box, 480 V outdoor swi</t>
        </is>
      </c>
      <c r="I1350" s="12" t="inlineStr">
        <is>
          <t>LV 600 V</t>
        </is>
      </c>
      <c r="J1350" s="12" t="inlineStr">
        <is>
          <t>10</t>
        </is>
      </c>
      <c r="K1350" s="12" t="n">
        <v>1</v>
      </c>
    </row>
    <row r="1351">
      <c r="A1351" s="12" t="inlineStr">
        <is>
          <t>GB-2.3: modular gas genset 500 kW, 480 V (block GB-2, unit 3 of 5)</t>
        </is>
      </c>
      <c r="B1351" s="12" t="inlineStr">
        <is>
          <t>GB-2.3</t>
        </is>
      </c>
      <c r="C1351" s="12" t="inlineStr">
        <is>
          <t>I</t>
        </is>
      </c>
      <c r="D1351" s="12" t="inlineStr">
        <is>
          <t>GB-2.3 aux power: jacket-water heater, battery charger, enclosure</t>
        </is>
      </c>
      <c r="E1351" s="12" t="n">
        <v>480</v>
      </c>
      <c r="F1351" s="12" t="n">
        <v>15</v>
      </c>
      <c r="G1351" s="12" t="n">
        <v>19</v>
      </c>
      <c r="H1351" s="12" t="inlineStr">
        <is>
          <t>GBC-2: block GB-2 generator collector box, 480 V outdoor swi</t>
        </is>
      </c>
      <c r="I1351" s="12" t="inlineStr">
        <is>
          <t>LV 600 V</t>
        </is>
      </c>
      <c r="J1351" s="12" t="inlineStr">
        <is>
          <t>10</t>
        </is>
      </c>
      <c r="K1351" s="12" t="n">
        <v>1</v>
      </c>
    </row>
    <row r="1352">
      <c r="A1352" s="12" t="inlineStr">
        <is>
          <t>GB-2.4: modular gas genset 500 kW, 480 V (block GB-2, unit 4 of 5)</t>
        </is>
      </c>
      <c r="B1352" s="12" t="inlineStr">
        <is>
          <t>GB-2.4</t>
        </is>
      </c>
      <c r="C1352" s="12" t="inlineStr">
        <is>
          <t>I</t>
        </is>
      </c>
      <c r="D1352" s="12" t="inlineStr">
        <is>
          <t>GB-2.4 aux power: jacket-water heater, battery charger, enclosure</t>
        </is>
      </c>
      <c r="E1352" s="12" t="n">
        <v>480</v>
      </c>
      <c r="F1352" s="12" t="n">
        <v>15</v>
      </c>
      <c r="G1352" s="12" t="n">
        <v>19</v>
      </c>
      <c r="H1352" s="12" t="inlineStr">
        <is>
          <t>GBC-2: block GB-2 generator collector box, 480 V outdoor swi</t>
        </is>
      </c>
      <c r="I1352" s="12" t="inlineStr">
        <is>
          <t>LV 600 V</t>
        </is>
      </c>
      <c r="J1352" s="12" t="inlineStr">
        <is>
          <t>10</t>
        </is>
      </c>
      <c r="K1352" s="12" t="n">
        <v>1</v>
      </c>
    </row>
    <row r="1353">
      <c r="A1353" s="12" t="inlineStr">
        <is>
          <t>GB-2.5: modular gas genset 500 kW, 480 V (block GB-2, unit 5 of 5)</t>
        </is>
      </c>
      <c r="B1353" s="12" t="inlineStr">
        <is>
          <t>GB-2.5</t>
        </is>
      </c>
      <c r="C1353" s="12" t="inlineStr">
        <is>
          <t>I</t>
        </is>
      </c>
      <c r="D1353" s="12" t="inlineStr">
        <is>
          <t>GB-2.5 aux power: jacket-water heater, battery charger, enclosure</t>
        </is>
      </c>
      <c r="E1353" s="12" t="n">
        <v>480</v>
      </c>
      <c r="F1353" s="12" t="n">
        <v>15</v>
      </c>
      <c r="G1353" s="12" t="n">
        <v>19</v>
      </c>
      <c r="H1353" s="12" t="inlineStr">
        <is>
          <t>GBC-2: block GB-2 generator collector box, 480 V outdoor swi</t>
        </is>
      </c>
      <c r="I1353" s="12" t="inlineStr">
        <is>
          <t>LV 600 V</t>
        </is>
      </c>
      <c r="J1353" s="12" t="inlineStr">
        <is>
          <t>10</t>
        </is>
      </c>
      <c r="K1353" s="12" t="n">
        <v>1</v>
      </c>
    </row>
    <row r="1354">
      <c r="A1354" s="12" t="inlineStr">
        <is>
          <t>GB-3.1: modular gas genset 500 kW, 480 V (block GB-3, unit 1 of 5)</t>
        </is>
      </c>
      <c r="B1354" s="12" t="inlineStr">
        <is>
          <t>GB-3.1</t>
        </is>
      </c>
      <c r="C1354" s="12" t="inlineStr">
        <is>
          <t>I</t>
        </is>
      </c>
      <c r="D1354" s="12" t="inlineStr">
        <is>
          <t>GB-3.1 aux power: jacket-water heater, battery charger, enclosure</t>
        </is>
      </c>
      <c r="E1354" s="12" t="n">
        <v>480</v>
      </c>
      <c r="F1354" s="12" t="n">
        <v>15</v>
      </c>
      <c r="G1354" s="12" t="n">
        <v>19</v>
      </c>
      <c r="H1354" s="12" t="inlineStr">
        <is>
          <t>GBC-3: block GB-3 generator collector box, 480 V outdoor swi</t>
        </is>
      </c>
      <c r="I1354" s="12" t="inlineStr">
        <is>
          <t>LV 600 V</t>
        </is>
      </c>
      <c r="J1354" s="12" t="inlineStr">
        <is>
          <t>10</t>
        </is>
      </c>
      <c r="K1354" s="12" t="n">
        <v>1</v>
      </c>
    </row>
    <row r="1355">
      <c r="A1355" s="12" t="inlineStr">
        <is>
          <t>GB-3.2: modular gas genset 500 kW, 480 V (block GB-3, unit 2 of 5)</t>
        </is>
      </c>
      <c r="B1355" s="12" t="inlineStr">
        <is>
          <t>GB-3.2</t>
        </is>
      </c>
      <c r="C1355" s="12" t="inlineStr">
        <is>
          <t>I</t>
        </is>
      </c>
      <c r="D1355" s="12" t="inlineStr">
        <is>
          <t>GB-3.2 aux power: jacket-water heater, battery charger, enclosure</t>
        </is>
      </c>
      <c r="E1355" s="12" t="n">
        <v>480</v>
      </c>
      <c r="F1355" s="12" t="n">
        <v>15</v>
      </c>
      <c r="G1355" s="12" t="n">
        <v>19</v>
      </c>
      <c r="H1355" s="12" t="inlineStr">
        <is>
          <t>GBC-3: block GB-3 generator collector box, 480 V outdoor swi</t>
        </is>
      </c>
      <c r="I1355" s="12" t="inlineStr">
        <is>
          <t>LV 600 V</t>
        </is>
      </c>
      <c r="J1355" s="12" t="inlineStr">
        <is>
          <t>10</t>
        </is>
      </c>
      <c r="K1355" s="12" t="n">
        <v>1</v>
      </c>
    </row>
    <row r="1356">
      <c r="A1356" s="12" t="inlineStr">
        <is>
          <t>GB-3.3: modular gas genset 500 kW, 480 V (block GB-3, unit 3 of 5)</t>
        </is>
      </c>
      <c r="B1356" s="12" t="inlineStr">
        <is>
          <t>GB-3.3</t>
        </is>
      </c>
      <c r="C1356" s="12" t="inlineStr">
        <is>
          <t>I</t>
        </is>
      </c>
      <c r="D1356" s="12" t="inlineStr">
        <is>
          <t>GB-3.3 aux power: jacket-water heater, battery charger, enclosure</t>
        </is>
      </c>
      <c r="E1356" s="12" t="n">
        <v>480</v>
      </c>
      <c r="F1356" s="12" t="n">
        <v>15</v>
      </c>
      <c r="G1356" s="12" t="n">
        <v>19</v>
      </c>
      <c r="H1356" s="12" t="inlineStr">
        <is>
          <t>GBC-3: block GB-3 generator collector box, 480 V outdoor swi</t>
        </is>
      </c>
      <c r="I1356" s="12" t="inlineStr">
        <is>
          <t>LV 600 V</t>
        </is>
      </c>
      <c r="J1356" s="12" t="inlineStr">
        <is>
          <t>10</t>
        </is>
      </c>
      <c r="K1356" s="12" t="n">
        <v>1</v>
      </c>
    </row>
    <row r="1357">
      <c r="A1357" s="12" t="inlineStr">
        <is>
          <t>GB-3.4: modular gas genset 500 kW, 480 V (block GB-3, unit 4 of 5)</t>
        </is>
      </c>
      <c r="B1357" s="12" t="inlineStr">
        <is>
          <t>GB-3.4</t>
        </is>
      </c>
      <c r="C1357" s="12" t="inlineStr">
        <is>
          <t>I</t>
        </is>
      </c>
      <c r="D1357" s="12" t="inlineStr">
        <is>
          <t>GB-3.4 aux power: jacket-water heater, battery charger, enclosure</t>
        </is>
      </c>
      <c r="E1357" s="12" t="n">
        <v>480</v>
      </c>
      <c r="F1357" s="12" t="n">
        <v>15</v>
      </c>
      <c r="G1357" s="12" t="n">
        <v>19</v>
      </c>
      <c r="H1357" s="12" t="inlineStr">
        <is>
          <t>GBC-3: block GB-3 generator collector box, 480 V outdoor swi</t>
        </is>
      </c>
      <c r="I1357" s="12" t="inlineStr">
        <is>
          <t>LV 600 V</t>
        </is>
      </c>
      <c r="J1357" s="12" t="inlineStr">
        <is>
          <t>10</t>
        </is>
      </c>
      <c r="K1357" s="12" t="n">
        <v>1</v>
      </c>
    </row>
    <row r="1358">
      <c r="A1358" s="12" t="inlineStr">
        <is>
          <t>GB-3.5: modular gas genset 500 kW, 480 V (block GB-3, unit 5 of 5)</t>
        </is>
      </c>
      <c r="B1358" s="12" t="inlineStr">
        <is>
          <t>GB-3.5</t>
        </is>
      </c>
      <c r="C1358" s="12" t="inlineStr">
        <is>
          <t>I</t>
        </is>
      </c>
      <c r="D1358" s="12" t="inlineStr">
        <is>
          <t>GB-3.5 aux power: jacket-water heater, battery charger, enclosure</t>
        </is>
      </c>
      <c r="E1358" s="12" t="n">
        <v>480</v>
      </c>
      <c r="F1358" s="12" t="n">
        <v>15</v>
      </c>
      <c r="G1358" s="12" t="n">
        <v>19</v>
      </c>
      <c r="H1358" s="12" t="inlineStr">
        <is>
          <t>GBC-3: block GB-3 generator collector box, 480 V outdoor swi</t>
        </is>
      </c>
      <c r="I1358" s="12" t="inlineStr">
        <is>
          <t>LV 600 V</t>
        </is>
      </c>
      <c r="J1358" s="12" t="inlineStr">
        <is>
          <t>10</t>
        </is>
      </c>
      <c r="K1358" s="12" t="n">
        <v>1</v>
      </c>
    </row>
    <row r="1359">
      <c r="A1359" s="12" t="inlineStr">
        <is>
          <t>GB-4.1: modular gas genset 500 kW, 480 V (block GB-4, unit 1 of 5)</t>
        </is>
      </c>
      <c r="B1359" s="12" t="inlineStr">
        <is>
          <t>GB-4.1</t>
        </is>
      </c>
      <c r="C1359" s="12" t="inlineStr">
        <is>
          <t>I</t>
        </is>
      </c>
      <c r="D1359" s="12" t="inlineStr">
        <is>
          <t>GB-4.1 aux power: jacket-water heater, battery charger, enclosure</t>
        </is>
      </c>
      <c r="E1359" s="12" t="n">
        <v>480</v>
      </c>
      <c r="F1359" s="12" t="n">
        <v>15</v>
      </c>
      <c r="G1359" s="12" t="n">
        <v>19</v>
      </c>
      <c r="H1359" s="12" t="inlineStr">
        <is>
          <t>GBC-4: block GB-4 generator collector box, 480 V outdoor swi</t>
        </is>
      </c>
      <c r="I1359" s="12" t="inlineStr">
        <is>
          <t>LV 600 V</t>
        </is>
      </c>
      <c r="J1359" s="12" t="inlineStr">
        <is>
          <t>10</t>
        </is>
      </c>
      <c r="K1359" s="12" t="n">
        <v>1</v>
      </c>
    </row>
    <row r="1360">
      <c r="A1360" s="12" t="inlineStr">
        <is>
          <t>GB-4.2: modular gas genset 500 kW, 480 V (block GB-4, unit 2 of 5)</t>
        </is>
      </c>
      <c r="B1360" s="12" t="inlineStr">
        <is>
          <t>GB-4.2</t>
        </is>
      </c>
      <c r="C1360" s="12" t="inlineStr">
        <is>
          <t>I</t>
        </is>
      </c>
      <c r="D1360" s="12" t="inlineStr">
        <is>
          <t>GB-4.2 aux power: jacket-water heater, battery charger, enclosure</t>
        </is>
      </c>
      <c r="E1360" s="12" t="n">
        <v>480</v>
      </c>
      <c r="F1360" s="12" t="n">
        <v>15</v>
      </c>
      <c r="G1360" s="12" t="n">
        <v>19</v>
      </c>
      <c r="H1360" s="12" t="inlineStr">
        <is>
          <t>GBC-4: block GB-4 generator collector box, 480 V outdoor swi</t>
        </is>
      </c>
      <c r="I1360" s="12" t="inlineStr">
        <is>
          <t>LV 600 V</t>
        </is>
      </c>
      <c r="J1360" s="12" t="inlineStr">
        <is>
          <t>10</t>
        </is>
      </c>
      <c r="K1360" s="12" t="n">
        <v>1</v>
      </c>
    </row>
    <row r="1361">
      <c r="A1361" s="12" t="inlineStr">
        <is>
          <t>GB-4.3: modular gas genset 500 kW, 480 V (block GB-4, unit 3 of 5)</t>
        </is>
      </c>
      <c r="B1361" s="12" t="inlineStr">
        <is>
          <t>GB-4.3</t>
        </is>
      </c>
      <c r="C1361" s="12" t="inlineStr">
        <is>
          <t>I</t>
        </is>
      </c>
      <c r="D1361" s="12" t="inlineStr">
        <is>
          <t>GB-4.3 aux power: jacket-water heater, battery charger, enclosure</t>
        </is>
      </c>
      <c r="E1361" s="12" t="n">
        <v>480</v>
      </c>
      <c r="F1361" s="12" t="n">
        <v>15</v>
      </c>
      <c r="G1361" s="12" t="n">
        <v>19</v>
      </c>
      <c r="H1361" s="12" t="inlineStr">
        <is>
          <t>GBC-4: block GB-4 generator collector box, 480 V outdoor swi</t>
        </is>
      </c>
      <c r="I1361" s="12" t="inlineStr">
        <is>
          <t>LV 600 V</t>
        </is>
      </c>
      <c r="J1361" s="12" t="inlineStr">
        <is>
          <t>10</t>
        </is>
      </c>
      <c r="K1361" s="12" t="n">
        <v>1</v>
      </c>
    </row>
    <row r="1362">
      <c r="A1362" s="12" t="inlineStr">
        <is>
          <t>GB-4.4: modular gas genset 500 kW, 480 V (block GB-4, unit 4 of 5)</t>
        </is>
      </c>
      <c r="B1362" s="12" t="inlineStr">
        <is>
          <t>GB-4.4</t>
        </is>
      </c>
      <c r="C1362" s="12" t="inlineStr">
        <is>
          <t>I</t>
        </is>
      </c>
      <c r="D1362" s="12" t="inlineStr">
        <is>
          <t>GB-4.4 aux power: jacket-water heater, battery charger, enclosure</t>
        </is>
      </c>
      <c r="E1362" s="12" t="n">
        <v>480</v>
      </c>
      <c r="F1362" s="12" t="n">
        <v>15</v>
      </c>
      <c r="G1362" s="12" t="n">
        <v>19</v>
      </c>
      <c r="H1362" s="12" t="inlineStr">
        <is>
          <t>GBC-4: block GB-4 generator collector box, 480 V outdoor swi</t>
        </is>
      </c>
      <c r="I1362" s="12" t="inlineStr">
        <is>
          <t>LV 600 V</t>
        </is>
      </c>
      <c r="J1362" s="12" t="inlineStr">
        <is>
          <t>10</t>
        </is>
      </c>
      <c r="K1362" s="12" t="n">
        <v>1</v>
      </c>
    </row>
    <row r="1363">
      <c r="A1363" s="12" t="inlineStr">
        <is>
          <t>GB-4.5: modular gas genset 500 kW, 480 V (block GB-4, unit 5 of 5)</t>
        </is>
      </c>
      <c r="B1363" s="12" t="inlineStr">
        <is>
          <t>GB-4.5</t>
        </is>
      </c>
      <c r="C1363" s="12" t="inlineStr">
        <is>
          <t>I</t>
        </is>
      </c>
      <c r="D1363" s="12" t="inlineStr">
        <is>
          <t>GB-4.5 aux power: jacket-water heater, battery charger, enclosure</t>
        </is>
      </c>
      <c r="E1363" s="12" t="n">
        <v>480</v>
      </c>
      <c r="F1363" s="12" t="n">
        <v>15</v>
      </c>
      <c r="G1363" s="12" t="n">
        <v>19</v>
      </c>
      <c r="H1363" s="12" t="inlineStr">
        <is>
          <t>GBC-4: block GB-4 generator collector box, 480 V outdoor swi</t>
        </is>
      </c>
      <c r="I1363" s="12" t="inlineStr">
        <is>
          <t>LV 600 V</t>
        </is>
      </c>
      <c r="J1363" s="12" t="inlineStr">
        <is>
          <t>10</t>
        </is>
      </c>
      <c r="K1363" s="12" t="n">
        <v>1</v>
      </c>
    </row>
    <row r="1364">
      <c r="A1364" s="12" t="inlineStr">
        <is>
          <t xml:space="preserve">GBC-1: block GB-1 generator collector box, 480 V outdoor switchboard, </t>
        </is>
      </c>
      <c r="B1364" s="12" t="inlineStr">
        <is>
          <t>GBC-1</t>
        </is>
      </c>
      <c r="C1364" s="12" t="inlineStr">
        <is>
          <t>I</t>
        </is>
      </c>
      <c r="D1364" s="12" t="inlineStr">
        <is>
          <t>L1 GB-1.1 480 V generator leads to GBC-1</t>
        </is>
      </c>
      <c r="E1364" s="12" t="n">
        <v>480</v>
      </c>
      <c r="F1364" s="12" t="n">
        <v>500</v>
      </c>
      <c r="G1364" s="12" t="n">
        <v>601</v>
      </c>
      <c r="H1364" s="12" t="inlineStr">
        <is>
          <t>GB-1.1: modular gas genset 500 kW, 480 V (block GB-1, unit 1</t>
        </is>
      </c>
      <c r="I1364" s="12" t="inlineStr">
        <is>
          <t>LV 600 V</t>
        </is>
      </c>
      <c r="J1364" s="12" t="inlineStr">
        <is>
          <t>500 kcmil</t>
        </is>
      </c>
      <c r="K1364" s="12" t="n">
        <v>2</v>
      </c>
    </row>
    <row r="1365">
      <c r="A1365" s="12" t="inlineStr">
        <is>
          <t xml:space="preserve">GBC-1: block GB-1 generator collector box, 480 V outdoor switchboard, </t>
        </is>
      </c>
      <c r="B1365" s="12" t="inlineStr">
        <is>
          <t>GBC-1</t>
        </is>
      </c>
      <c r="C1365" s="12" t="inlineStr">
        <is>
          <t>I</t>
        </is>
      </c>
      <c r="D1365" s="12" t="inlineStr">
        <is>
          <t>L1 GB-1.2 480 V generator leads to GBC-1</t>
        </is>
      </c>
      <c r="E1365" s="12" t="n">
        <v>480</v>
      </c>
      <c r="F1365" s="12" t="n">
        <v>500</v>
      </c>
      <c r="G1365" s="12" t="n">
        <v>601</v>
      </c>
      <c r="H1365" s="12" t="inlineStr">
        <is>
          <t>GB-1.2: modular gas genset 500 kW, 480 V (block GB-1, unit 2</t>
        </is>
      </c>
      <c r="I1365" s="12" t="inlineStr">
        <is>
          <t>LV 600 V</t>
        </is>
      </c>
      <c r="J1365" s="12" t="inlineStr">
        <is>
          <t>500 kcmil</t>
        </is>
      </c>
      <c r="K1365" s="12" t="n">
        <v>2</v>
      </c>
    </row>
    <row r="1366">
      <c r="A1366" s="12" t="inlineStr">
        <is>
          <t xml:space="preserve">GBC-1: block GB-1 generator collector box, 480 V outdoor switchboard, </t>
        </is>
      </c>
      <c r="B1366" s="12" t="inlineStr">
        <is>
          <t>GBC-1</t>
        </is>
      </c>
      <c r="C1366" s="12" t="inlineStr">
        <is>
          <t>I</t>
        </is>
      </c>
      <c r="D1366" s="12" t="inlineStr">
        <is>
          <t>L1 GB-1.3 480 V generator leads to GBC-1</t>
        </is>
      </c>
      <c r="E1366" s="12" t="n">
        <v>480</v>
      </c>
      <c r="F1366" s="12" t="n">
        <v>500</v>
      </c>
      <c r="G1366" s="12" t="n">
        <v>601</v>
      </c>
      <c r="H1366" s="12" t="inlineStr">
        <is>
          <t>GB-1.3: modular gas genset 500 kW, 480 V (block GB-1, unit 3</t>
        </is>
      </c>
      <c r="I1366" s="12" t="inlineStr">
        <is>
          <t>LV 600 V</t>
        </is>
      </c>
      <c r="J1366" s="12" t="inlineStr">
        <is>
          <t>500 kcmil</t>
        </is>
      </c>
      <c r="K1366" s="12" t="n">
        <v>2</v>
      </c>
    </row>
    <row r="1367">
      <c r="A1367" s="12" t="inlineStr">
        <is>
          <t xml:space="preserve">GBC-1: block GB-1 generator collector box, 480 V outdoor switchboard, </t>
        </is>
      </c>
      <c r="B1367" s="12" t="inlineStr">
        <is>
          <t>GBC-1</t>
        </is>
      </c>
      <c r="C1367" s="12" t="inlineStr">
        <is>
          <t>I</t>
        </is>
      </c>
      <c r="D1367" s="12" t="inlineStr">
        <is>
          <t>L1 GB-1.4 480 V generator leads to GBC-1</t>
        </is>
      </c>
      <c r="E1367" s="12" t="n">
        <v>480</v>
      </c>
      <c r="F1367" s="12" t="n">
        <v>500</v>
      </c>
      <c r="G1367" s="12" t="n">
        <v>601</v>
      </c>
      <c r="H1367" s="12" t="inlineStr">
        <is>
          <t>GB-1.4: modular gas genset 500 kW, 480 V (block GB-1, unit 4</t>
        </is>
      </c>
      <c r="I1367" s="12" t="inlineStr">
        <is>
          <t>LV 600 V</t>
        </is>
      </c>
      <c r="J1367" s="12" t="inlineStr">
        <is>
          <t>500 kcmil</t>
        </is>
      </c>
      <c r="K1367" s="12" t="n">
        <v>2</v>
      </c>
    </row>
    <row r="1368">
      <c r="A1368" s="12" t="inlineStr">
        <is>
          <t xml:space="preserve">GBC-1: block GB-1 generator collector box, 480 V outdoor switchboard, </t>
        </is>
      </c>
      <c r="B1368" s="12" t="inlineStr">
        <is>
          <t>GBC-1</t>
        </is>
      </c>
      <c r="C1368" s="12" t="inlineStr">
        <is>
          <t>I</t>
        </is>
      </c>
      <c r="D1368" s="12" t="inlineStr">
        <is>
          <t>L1 GB-1.5 480 V generator leads to GBC-1</t>
        </is>
      </c>
      <c r="E1368" s="12" t="n">
        <v>480</v>
      </c>
      <c r="F1368" s="12" t="n">
        <v>500</v>
      </c>
      <c r="G1368" s="12" t="n">
        <v>601</v>
      </c>
      <c r="H1368" s="12" t="inlineStr">
        <is>
          <t>GB-1.5: modular gas genset 500 kW, 480 V (block GB-1, unit 5</t>
        </is>
      </c>
      <c r="I1368" s="12" t="inlineStr">
        <is>
          <t>LV 600 V</t>
        </is>
      </c>
      <c r="J1368" s="12" t="inlineStr">
        <is>
          <t>500 kcmil</t>
        </is>
      </c>
      <c r="K1368" s="12" t="n">
        <v>2</v>
      </c>
    </row>
    <row r="1369">
      <c r="A1369" s="12" t="inlineStr">
        <is>
          <t xml:space="preserve">GBC-2: block GB-2 generator collector box, 480 V outdoor switchboard, </t>
        </is>
      </c>
      <c r="B1369" s="12" t="inlineStr">
        <is>
          <t>GBC-2</t>
        </is>
      </c>
      <c r="C1369" s="12" t="inlineStr">
        <is>
          <t>I</t>
        </is>
      </c>
      <c r="D1369" s="12" t="inlineStr">
        <is>
          <t>L1 GB-2.1 480 V generator leads to GBC-2</t>
        </is>
      </c>
      <c r="E1369" s="12" t="n">
        <v>480</v>
      </c>
      <c r="F1369" s="12" t="n">
        <v>500</v>
      </c>
      <c r="G1369" s="12" t="n">
        <v>601</v>
      </c>
      <c r="H1369" s="12" t="inlineStr">
        <is>
          <t>GB-2.1: modular gas genset 500 kW, 480 V (block GB-2, unit 1</t>
        </is>
      </c>
      <c r="I1369" s="12" t="inlineStr">
        <is>
          <t>LV 600 V</t>
        </is>
      </c>
      <c r="J1369" s="12" t="inlineStr">
        <is>
          <t>500 kcmil</t>
        </is>
      </c>
      <c r="K1369" s="12" t="n">
        <v>2</v>
      </c>
    </row>
    <row r="1370">
      <c r="A1370" s="12" t="inlineStr">
        <is>
          <t xml:space="preserve">GBC-2: block GB-2 generator collector box, 480 V outdoor switchboard, </t>
        </is>
      </c>
      <c r="B1370" s="12" t="inlineStr">
        <is>
          <t>GBC-2</t>
        </is>
      </c>
      <c r="C1370" s="12" t="inlineStr">
        <is>
          <t>I</t>
        </is>
      </c>
      <c r="D1370" s="12" t="inlineStr">
        <is>
          <t>L1 GB-2.2 480 V generator leads to GBC-2</t>
        </is>
      </c>
      <c r="E1370" s="12" t="n">
        <v>480</v>
      </c>
      <c r="F1370" s="12" t="n">
        <v>500</v>
      </c>
      <c r="G1370" s="12" t="n">
        <v>601</v>
      </c>
      <c r="H1370" s="12" t="inlineStr">
        <is>
          <t>GB-2.2: modular gas genset 500 kW, 480 V (block GB-2, unit 2</t>
        </is>
      </c>
      <c r="I1370" s="12" t="inlineStr">
        <is>
          <t>LV 600 V</t>
        </is>
      </c>
      <c r="J1370" s="12" t="inlineStr">
        <is>
          <t>500 kcmil</t>
        </is>
      </c>
      <c r="K1370" s="12" t="n">
        <v>2</v>
      </c>
    </row>
    <row r="1371">
      <c r="A1371" s="12" t="inlineStr">
        <is>
          <t xml:space="preserve">GBC-2: block GB-2 generator collector box, 480 V outdoor switchboard, </t>
        </is>
      </c>
      <c r="B1371" s="12" t="inlineStr">
        <is>
          <t>GBC-2</t>
        </is>
      </c>
      <c r="C1371" s="12" t="inlineStr">
        <is>
          <t>I</t>
        </is>
      </c>
      <c r="D1371" s="12" t="inlineStr">
        <is>
          <t>L1 GB-2.3 480 V generator leads to GBC-2</t>
        </is>
      </c>
      <c r="E1371" s="12" t="n">
        <v>480</v>
      </c>
      <c r="F1371" s="12" t="n">
        <v>500</v>
      </c>
      <c r="G1371" s="12" t="n">
        <v>601</v>
      </c>
      <c r="H1371" s="12" t="inlineStr">
        <is>
          <t>GB-2.3: modular gas genset 500 kW, 480 V (block GB-2, unit 3</t>
        </is>
      </c>
      <c r="I1371" s="12" t="inlineStr">
        <is>
          <t>LV 600 V</t>
        </is>
      </c>
      <c r="J1371" s="12" t="inlineStr">
        <is>
          <t>500 kcmil</t>
        </is>
      </c>
      <c r="K1371" s="12" t="n">
        <v>2</v>
      </c>
    </row>
    <row r="1372">
      <c r="A1372" s="12" t="inlineStr">
        <is>
          <t xml:space="preserve">GBC-2: block GB-2 generator collector box, 480 V outdoor switchboard, </t>
        </is>
      </c>
      <c r="B1372" s="12" t="inlineStr">
        <is>
          <t>GBC-2</t>
        </is>
      </c>
      <c r="C1372" s="12" t="inlineStr">
        <is>
          <t>I</t>
        </is>
      </c>
      <c r="D1372" s="12" t="inlineStr">
        <is>
          <t>L1 GB-2.4 480 V generator leads to GBC-2</t>
        </is>
      </c>
      <c r="E1372" s="12" t="n">
        <v>480</v>
      </c>
      <c r="F1372" s="12" t="n">
        <v>500</v>
      </c>
      <c r="G1372" s="12" t="n">
        <v>601</v>
      </c>
      <c r="H1372" s="12" t="inlineStr">
        <is>
          <t>GB-2.4: modular gas genset 500 kW, 480 V (block GB-2, unit 4</t>
        </is>
      </c>
      <c r="I1372" s="12" t="inlineStr">
        <is>
          <t>LV 600 V</t>
        </is>
      </c>
      <c r="J1372" s="12" t="inlineStr">
        <is>
          <t>500 kcmil</t>
        </is>
      </c>
      <c r="K1372" s="12" t="n">
        <v>2</v>
      </c>
    </row>
    <row r="1373">
      <c r="A1373" s="12" t="inlineStr">
        <is>
          <t xml:space="preserve">GBC-2: block GB-2 generator collector box, 480 V outdoor switchboard, </t>
        </is>
      </c>
      <c r="B1373" s="12" t="inlineStr">
        <is>
          <t>GBC-2</t>
        </is>
      </c>
      <c r="C1373" s="12" t="inlineStr">
        <is>
          <t>I</t>
        </is>
      </c>
      <c r="D1373" s="12" t="inlineStr">
        <is>
          <t>L1 GB-2.5 480 V generator leads to GBC-2</t>
        </is>
      </c>
      <c r="E1373" s="12" t="n">
        <v>480</v>
      </c>
      <c r="F1373" s="12" t="n">
        <v>500</v>
      </c>
      <c r="G1373" s="12" t="n">
        <v>601</v>
      </c>
      <c r="H1373" s="12" t="inlineStr">
        <is>
          <t>GB-2.5: modular gas genset 500 kW, 480 V (block GB-2, unit 5</t>
        </is>
      </c>
      <c r="I1373" s="12" t="inlineStr">
        <is>
          <t>LV 600 V</t>
        </is>
      </c>
      <c r="J1373" s="12" t="inlineStr">
        <is>
          <t>500 kcmil</t>
        </is>
      </c>
      <c r="K1373" s="12" t="n">
        <v>2</v>
      </c>
    </row>
    <row r="1374">
      <c r="A1374" s="12" t="inlineStr">
        <is>
          <t xml:space="preserve">GBC-3: block GB-3 generator collector box, 480 V outdoor switchboard, </t>
        </is>
      </c>
      <c r="B1374" s="12" t="inlineStr">
        <is>
          <t>GBC-3</t>
        </is>
      </c>
      <c r="C1374" s="12" t="inlineStr">
        <is>
          <t>I</t>
        </is>
      </c>
      <c r="D1374" s="12" t="inlineStr">
        <is>
          <t>L1 GB-3.1 480 V generator leads to GBC-3</t>
        </is>
      </c>
      <c r="E1374" s="12" t="n">
        <v>480</v>
      </c>
      <c r="F1374" s="12" t="n">
        <v>500</v>
      </c>
      <c r="G1374" s="12" t="n">
        <v>601</v>
      </c>
      <c r="H1374" s="12" t="inlineStr">
        <is>
          <t>GB-3.1: modular gas genset 500 kW, 480 V (block GB-3, unit 1</t>
        </is>
      </c>
      <c r="I1374" s="12" t="inlineStr">
        <is>
          <t>LV 600 V</t>
        </is>
      </c>
      <c r="J1374" s="12" t="inlineStr">
        <is>
          <t>500 kcmil</t>
        </is>
      </c>
      <c r="K1374" s="12" t="n">
        <v>2</v>
      </c>
    </row>
    <row r="1375">
      <c r="A1375" s="12" t="inlineStr">
        <is>
          <t xml:space="preserve">GBC-3: block GB-3 generator collector box, 480 V outdoor switchboard, </t>
        </is>
      </c>
      <c r="B1375" s="12" t="inlineStr">
        <is>
          <t>GBC-3</t>
        </is>
      </c>
      <c r="C1375" s="12" t="inlineStr">
        <is>
          <t>I</t>
        </is>
      </c>
      <c r="D1375" s="12" t="inlineStr">
        <is>
          <t>L1 GB-3.2 480 V generator leads to GBC-3</t>
        </is>
      </c>
      <c r="E1375" s="12" t="n">
        <v>480</v>
      </c>
      <c r="F1375" s="12" t="n">
        <v>500</v>
      </c>
      <c r="G1375" s="12" t="n">
        <v>601</v>
      </c>
      <c r="H1375" s="12" t="inlineStr">
        <is>
          <t>GB-3.2: modular gas genset 500 kW, 480 V (block GB-3, unit 2</t>
        </is>
      </c>
      <c r="I1375" s="12" t="inlineStr">
        <is>
          <t>LV 600 V</t>
        </is>
      </c>
      <c r="J1375" s="12" t="inlineStr">
        <is>
          <t>500 kcmil</t>
        </is>
      </c>
      <c r="K1375" s="12" t="n">
        <v>2</v>
      </c>
    </row>
    <row r="1376">
      <c r="A1376" s="12" t="inlineStr">
        <is>
          <t xml:space="preserve">GBC-3: block GB-3 generator collector box, 480 V outdoor switchboard, </t>
        </is>
      </c>
      <c r="B1376" s="12" t="inlineStr">
        <is>
          <t>GBC-3</t>
        </is>
      </c>
      <c r="C1376" s="12" t="inlineStr">
        <is>
          <t>I</t>
        </is>
      </c>
      <c r="D1376" s="12" t="inlineStr">
        <is>
          <t>L1 GB-3.3 480 V generator leads to GBC-3</t>
        </is>
      </c>
      <c r="E1376" s="12" t="n">
        <v>480</v>
      </c>
      <c r="F1376" s="12" t="n">
        <v>500</v>
      </c>
      <c r="G1376" s="12" t="n">
        <v>601</v>
      </c>
      <c r="H1376" s="12" t="inlineStr">
        <is>
          <t>GB-3.3: modular gas genset 500 kW, 480 V (block GB-3, unit 3</t>
        </is>
      </c>
      <c r="I1376" s="12" t="inlineStr">
        <is>
          <t>LV 600 V</t>
        </is>
      </c>
      <c r="J1376" s="12" t="inlineStr">
        <is>
          <t>500 kcmil</t>
        </is>
      </c>
      <c r="K1376" s="12" t="n">
        <v>2</v>
      </c>
    </row>
    <row r="1377">
      <c r="A1377" s="12" t="inlineStr">
        <is>
          <t xml:space="preserve">GBC-3: block GB-3 generator collector box, 480 V outdoor switchboard, </t>
        </is>
      </c>
      <c r="B1377" s="12" t="inlineStr">
        <is>
          <t>GBC-3</t>
        </is>
      </c>
      <c r="C1377" s="12" t="inlineStr">
        <is>
          <t>I</t>
        </is>
      </c>
      <c r="D1377" s="12" t="inlineStr">
        <is>
          <t>L1 GB-3.4 480 V generator leads to GBC-3</t>
        </is>
      </c>
      <c r="E1377" s="12" t="n">
        <v>480</v>
      </c>
      <c r="F1377" s="12" t="n">
        <v>500</v>
      </c>
      <c r="G1377" s="12" t="n">
        <v>601</v>
      </c>
      <c r="H1377" s="12" t="inlineStr">
        <is>
          <t>GB-3.4: modular gas genset 500 kW, 480 V (block GB-3, unit 4</t>
        </is>
      </c>
      <c r="I1377" s="12" t="inlineStr">
        <is>
          <t>LV 600 V</t>
        </is>
      </c>
      <c r="J1377" s="12" t="inlineStr">
        <is>
          <t>500 kcmil</t>
        </is>
      </c>
      <c r="K1377" s="12" t="n">
        <v>2</v>
      </c>
    </row>
    <row r="1378">
      <c r="A1378" s="12" t="inlineStr">
        <is>
          <t xml:space="preserve">GBC-3: block GB-3 generator collector box, 480 V outdoor switchboard, </t>
        </is>
      </c>
      <c r="B1378" s="12" t="inlineStr">
        <is>
          <t>GBC-3</t>
        </is>
      </c>
      <c r="C1378" s="12" t="inlineStr">
        <is>
          <t>I</t>
        </is>
      </c>
      <c r="D1378" s="12" t="inlineStr">
        <is>
          <t>L1 GB-3.5 480 V generator leads to GBC-3</t>
        </is>
      </c>
      <c r="E1378" s="12" t="n">
        <v>480</v>
      </c>
      <c r="F1378" s="12" t="n">
        <v>500</v>
      </c>
      <c r="G1378" s="12" t="n">
        <v>601</v>
      </c>
      <c r="H1378" s="12" t="inlineStr">
        <is>
          <t>GB-3.5: modular gas genset 500 kW, 480 V (block GB-3, unit 5</t>
        </is>
      </c>
      <c r="I1378" s="12" t="inlineStr">
        <is>
          <t>LV 600 V</t>
        </is>
      </c>
      <c r="J1378" s="12" t="inlineStr">
        <is>
          <t>500 kcmil</t>
        </is>
      </c>
      <c r="K1378" s="12" t="n">
        <v>2</v>
      </c>
    </row>
    <row r="1379">
      <c r="A1379" s="12" t="inlineStr">
        <is>
          <t xml:space="preserve">GBC-4: block GB-4 generator collector box, 480 V outdoor switchboard, </t>
        </is>
      </c>
      <c r="B1379" s="12" t="inlineStr">
        <is>
          <t>GBC-4</t>
        </is>
      </c>
      <c r="C1379" s="12" t="inlineStr">
        <is>
          <t>I</t>
        </is>
      </c>
      <c r="D1379" s="12" t="inlineStr">
        <is>
          <t>L1 GB-4.1 480 V generator leads to GBC-4</t>
        </is>
      </c>
      <c r="E1379" s="12" t="n">
        <v>480</v>
      </c>
      <c r="F1379" s="12" t="n">
        <v>500</v>
      </c>
      <c r="G1379" s="12" t="n">
        <v>601</v>
      </c>
      <c r="H1379" s="12" t="inlineStr">
        <is>
          <t>GB-4.1: modular gas genset 500 kW, 480 V (block GB-4, unit 1</t>
        </is>
      </c>
      <c r="I1379" s="12" t="inlineStr">
        <is>
          <t>LV 600 V</t>
        </is>
      </c>
      <c r="J1379" s="12" t="inlineStr">
        <is>
          <t>500 kcmil</t>
        </is>
      </c>
      <c r="K1379" s="12" t="n">
        <v>2</v>
      </c>
    </row>
    <row r="1380">
      <c r="A1380" s="12" t="inlineStr">
        <is>
          <t xml:space="preserve">GBC-4: block GB-4 generator collector box, 480 V outdoor switchboard, </t>
        </is>
      </c>
      <c r="B1380" s="12" t="inlineStr">
        <is>
          <t>GBC-4</t>
        </is>
      </c>
      <c r="C1380" s="12" t="inlineStr">
        <is>
          <t>I</t>
        </is>
      </c>
      <c r="D1380" s="12" t="inlineStr">
        <is>
          <t>L1 GB-4.2 480 V generator leads to GBC-4</t>
        </is>
      </c>
      <c r="E1380" s="12" t="n">
        <v>480</v>
      </c>
      <c r="F1380" s="12" t="n">
        <v>500</v>
      </c>
      <c r="G1380" s="12" t="n">
        <v>601</v>
      </c>
      <c r="H1380" s="12" t="inlineStr">
        <is>
          <t>GB-4.2: modular gas genset 500 kW, 480 V (block GB-4, unit 2</t>
        </is>
      </c>
      <c r="I1380" s="12" t="inlineStr">
        <is>
          <t>LV 600 V</t>
        </is>
      </c>
      <c r="J1380" s="12" t="inlineStr">
        <is>
          <t>500 kcmil</t>
        </is>
      </c>
      <c r="K1380" s="12" t="n">
        <v>2</v>
      </c>
    </row>
    <row r="1381">
      <c r="A1381" s="12" t="inlineStr">
        <is>
          <t xml:space="preserve">GBC-4: block GB-4 generator collector box, 480 V outdoor switchboard, </t>
        </is>
      </c>
      <c r="B1381" s="12" t="inlineStr">
        <is>
          <t>GBC-4</t>
        </is>
      </c>
      <c r="C1381" s="12" t="inlineStr">
        <is>
          <t>I</t>
        </is>
      </c>
      <c r="D1381" s="12" t="inlineStr">
        <is>
          <t>L1 GB-4.3 480 V generator leads to GBC-4</t>
        </is>
      </c>
      <c r="E1381" s="12" t="n">
        <v>480</v>
      </c>
      <c r="F1381" s="12" t="n">
        <v>500</v>
      </c>
      <c r="G1381" s="12" t="n">
        <v>601</v>
      </c>
      <c r="H1381" s="12" t="inlineStr">
        <is>
          <t>GB-4.3: modular gas genset 500 kW, 480 V (block GB-4, unit 3</t>
        </is>
      </c>
      <c r="I1381" s="12" t="inlineStr">
        <is>
          <t>LV 600 V</t>
        </is>
      </c>
      <c r="J1381" s="12" t="inlineStr">
        <is>
          <t>500 kcmil</t>
        </is>
      </c>
      <c r="K1381" s="12" t="n">
        <v>2</v>
      </c>
    </row>
    <row r="1382">
      <c r="A1382" s="12" t="inlineStr">
        <is>
          <t xml:space="preserve">GBC-4: block GB-4 generator collector box, 480 V outdoor switchboard, </t>
        </is>
      </c>
      <c r="B1382" s="12" t="inlineStr">
        <is>
          <t>GBC-4</t>
        </is>
      </c>
      <c r="C1382" s="12" t="inlineStr">
        <is>
          <t>I</t>
        </is>
      </c>
      <c r="D1382" s="12" t="inlineStr">
        <is>
          <t>L1 GB-4.4 480 V generator leads to GBC-4</t>
        </is>
      </c>
      <c r="E1382" s="12" t="n">
        <v>480</v>
      </c>
      <c r="F1382" s="12" t="n">
        <v>500</v>
      </c>
      <c r="G1382" s="12" t="n">
        <v>601</v>
      </c>
      <c r="H1382" s="12" t="inlineStr">
        <is>
          <t>GB-4.4: modular gas genset 500 kW, 480 V (block GB-4, unit 4</t>
        </is>
      </c>
      <c r="I1382" s="12" t="inlineStr">
        <is>
          <t>LV 600 V</t>
        </is>
      </c>
      <c r="J1382" s="12" t="inlineStr">
        <is>
          <t>500 kcmil</t>
        </is>
      </c>
      <c r="K1382" s="12" t="n">
        <v>2</v>
      </c>
    </row>
    <row r="1383">
      <c r="A1383" s="12" t="inlineStr">
        <is>
          <t xml:space="preserve">GBC-4: block GB-4 generator collector box, 480 V outdoor switchboard, </t>
        </is>
      </c>
      <c r="B1383" s="12" t="inlineStr">
        <is>
          <t>GBC-4</t>
        </is>
      </c>
      <c r="C1383" s="12" t="inlineStr">
        <is>
          <t>I</t>
        </is>
      </c>
      <c r="D1383" s="12" t="inlineStr">
        <is>
          <t>L1 GB-4.5 480 V generator leads to GBC-4</t>
        </is>
      </c>
      <c r="E1383" s="12" t="n">
        <v>480</v>
      </c>
      <c r="F1383" s="12" t="n">
        <v>500</v>
      </c>
      <c r="G1383" s="12" t="n">
        <v>601</v>
      </c>
      <c r="H1383" s="12" t="inlineStr">
        <is>
          <t>GB-4.5: modular gas genset 500 kW, 480 V (block GB-4, unit 5</t>
        </is>
      </c>
      <c r="I1383" s="12" t="inlineStr">
        <is>
          <t>LV 600 V</t>
        </is>
      </c>
      <c r="J1383" s="12" t="inlineStr">
        <is>
          <t>500 kcmil</t>
        </is>
      </c>
      <c r="K1383" s="12" t="n">
        <v>2</v>
      </c>
    </row>
    <row r="1384">
      <c r="A1384" s="12" t="inlineStr">
        <is>
          <t>GBT-1: block GB-1 step-up 480 V : 34.5 kV, ~3 MVA pad-mount (on the 35</t>
        </is>
      </c>
      <c r="B1384" s="12" t="inlineStr">
        <is>
          <t>GBT-1</t>
        </is>
      </c>
      <c r="C1384" s="12" t="inlineStr">
        <is>
          <t>I</t>
        </is>
      </c>
      <c r="D1384" s="12" t="inlineStr">
        <is>
          <t>L2 GBC-1 to GBT-1 480 V block feed</t>
        </is>
      </c>
      <c r="E1384" s="12" t="n">
        <v>480</v>
      </c>
      <c r="F1384" s="12" t="n">
        <v>2500</v>
      </c>
      <c r="G1384" s="12" t="n">
        <v>3007</v>
      </c>
      <c r="H1384" s="12" t="inlineStr">
        <is>
          <t>GBC-1: block GB-1 generator collector box, 480 V outdoor swi</t>
        </is>
      </c>
      <c r="I1384" s="12" t="inlineStr">
        <is>
          <t>LV 600 V</t>
        </is>
      </c>
      <c r="J1384" s="12" t="inlineStr">
        <is>
          <t>600 kcmil</t>
        </is>
      </c>
      <c r="K1384" s="12" t="n">
        <v>8</v>
      </c>
    </row>
    <row r="1385">
      <c r="A1385" s="12" t="inlineStr">
        <is>
          <t>GBT-2: block GB-2 step-up 480 V : 34.5 kV, ~3 MVA pad-mount (on the 35</t>
        </is>
      </c>
      <c r="B1385" s="12" t="inlineStr">
        <is>
          <t>GBT-2</t>
        </is>
      </c>
      <c r="C1385" s="12" t="inlineStr">
        <is>
          <t>I</t>
        </is>
      </c>
      <c r="D1385" s="12" t="inlineStr">
        <is>
          <t>L2 GBC-2 to GBT-2 480 V block feed</t>
        </is>
      </c>
      <c r="E1385" s="12" t="n">
        <v>480</v>
      </c>
      <c r="F1385" s="12" t="n">
        <v>2500</v>
      </c>
      <c r="G1385" s="12" t="n">
        <v>3007</v>
      </c>
      <c r="H1385" s="12" t="inlineStr">
        <is>
          <t>GBC-2: block GB-2 generator collector box, 480 V outdoor swi</t>
        </is>
      </c>
      <c r="I1385" s="12" t="inlineStr">
        <is>
          <t>LV 600 V</t>
        </is>
      </c>
      <c r="J1385" s="12" t="inlineStr">
        <is>
          <t>600 kcmil</t>
        </is>
      </c>
      <c r="K1385" s="12" t="n">
        <v>8</v>
      </c>
    </row>
    <row r="1386">
      <c r="A1386" s="12" t="inlineStr">
        <is>
          <t>GBT-3: block GB-3 step-up 480 V : 34.5 kV, ~3 MVA pad-mount (on the 35</t>
        </is>
      </c>
      <c r="B1386" s="12" t="inlineStr">
        <is>
          <t>GBT-3</t>
        </is>
      </c>
      <c r="C1386" s="12" t="inlineStr">
        <is>
          <t>I</t>
        </is>
      </c>
      <c r="D1386" s="12" t="inlineStr">
        <is>
          <t>L2 GBC-3 to GBT-3 480 V block feed</t>
        </is>
      </c>
      <c r="E1386" s="12" t="n">
        <v>480</v>
      </c>
      <c r="F1386" s="12" t="n">
        <v>2500</v>
      </c>
      <c r="G1386" s="12" t="n">
        <v>3007</v>
      </c>
      <c r="H1386" s="12" t="inlineStr">
        <is>
          <t>GBC-3: block GB-3 generator collector box, 480 V outdoor swi</t>
        </is>
      </c>
      <c r="I1386" s="12" t="inlineStr">
        <is>
          <t>LV 600 V</t>
        </is>
      </c>
      <c r="J1386" s="12" t="inlineStr">
        <is>
          <t>600 kcmil</t>
        </is>
      </c>
      <c r="K1386" s="12" t="n">
        <v>8</v>
      </c>
    </row>
    <row r="1387">
      <c r="A1387" s="12" t="inlineStr">
        <is>
          <t>GBT-4: block GB-4 step-up 480 V : 34.5 kV, ~3 MVA pad-mount (on the 35</t>
        </is>
      </c>
      <c r="B1387" s="12" t="inlineStr">
        <is>
          <t>GBT-4</t>
        </is>
      </c>
      <c r="C1387" s="12" t="inlineStr">
        <is>
          <t>I</t>
        </is>
      </c>
      <c r="D1387" s="12" t="inlineStr">
        <is>
          <t>L2 GBC-4 to GBT-4 480 V block feed</t>
        </is>
      </c>
      <c r="E1387" s="12" t="n">
        <v>480</v>
      </c>
      <c r="F1387" s="12" t="n">
        <v>2500</v>
      </c>
      <c r="G1387" s="12" t="n">
        <v>3007</v>
      </c>
      <c r="H1387" s="12" t="inlineStr">
        <is>
          <t>GBC-4: block GB-4 generator collector box, 480 V outdoor swi</t>
        </is>
      </c>
      <c r="I1387" s="12" t="inlineStr">
        <is>
          <t>LV 600 V</t>
        </is>
      </c>
      <c r="J1387" s="12" t="inlineStr">
        <is>
          <t>600 kcmil</t>
        </is>
      </c>
      <c r="K1387" s="12" t="n">
        <v>8</v>
      </c>
    </row>
    <row r="1388">
      <c r="A1388" s="12" t="inlineStr">
        <is>
          <t>Gas conditioning skid</t>
        </is>
      </c>
      <c r="B1388" s="12" t="inlineStr"/>
      <c r="C1388" s="12" t="inlineStr">
        <is>
          <t>I</t>
        </is>
      </c>
      <c r="D1388" s="12" t="inlineStr">
        <is>
          <t>LV power feeder</t>
        </is>
      </c>
      <c r="E1388" s="12" t="n">
        <v>480</v>
      </c>
      <c r="F1388" s="12" t="n">
        <v>30</v>
      </c>
      <c r="G1388" s="12" t="n">
        <v>42.5</v>
      </c>
      <c r="H1388" s="12" t="inlineStr">
        <is>
          <t>PCM: power control module</t>
        </is>
      </c>
      <c r="I1388" s="12" t="inlineStr">
        <is>
          <t>LV 600 V</t>
        </is>
      </c>
      <c r="J1388" s="12" t="inlineStr">
        <is>
          <t>6</t>
        </is>
      </c>
      <c r="K1388" s="12" t="n">
        <v>1</v>
      </c>
    </row>
    <row r="1389">
      <c r="A1389" s="12" t="inlineStr">
        <is>
          <t>Lube oil / starting air / oily water building</t>
        </is>
      </c>
      <c r="B1389" s="12" t="inlineStr"/>
      <c r="C1389" s="12" t="inlineStr">
        <is>
          <t>I</t>
        </is>
      </c>
      <c r="D1389" s="12" t="inlineStr">
        <is>
          <t>LV panel / distribution feeder</t>
        </is>
      </c>
      <c r="E1389" s="12" t="n">
        <v>480</v>
      </c>
      <c r="F1389" s="12" t="n">
        <v>79</v>
      </c>
      <c r="G1389" s="12" t="n">
        <v>111.8</v>
      </c>
      <c r="H1389" s="12" t="inlineStr">
        <is>
          <t>PCM: power control module</t>
        </is>
      </c>
      <c r="I1389" s="12" t="inlineStr">
        <is>
          <t>LV 600 V</t>
        </is>
      </c>
      <c r="J1389" s="12" t="inlineStr">
        <is>
          <t>1/0</t>
        </is>
      </c>
      <c r="K1389" s="12" t="n">
        <v>1</v>
      </c>
    </row>
    <row r="1390">
      <c r="A1390" s="12" t="inlineStr">
        <is>
          <t>MOD-EH: 13.8 kV modular collector e-house</t>
        </is>
      </c>
      <c r="B1390" s="12" t="inlineStr">
        <is>
          <t>MOD-EH</t>
        </is>
      </c>
      <c r="C1390" s="12" t="inlineStr">
        <is>
          <t>I</t>
        </is>
      </c>
      <c r="D1390" s="12" t="inlineStr">
        <is>
          <t>LV panel / distribution feeder</t>
        </is>
      </c>
      <c r="E1390" s="12" t="n">
        <v>480</v>
      </c>
      <c r="F1390" s="12" t="n">
        <v>30</v>
      </c>
      <c r="G1390" s="12" t="n">
        <v>42.5</v>
      </c>
      <c r="H1390" s="12" t="inlineStr">
        <is>
          <t>MOD-LV 480 V board + 480 V : 13.8 kV step-up</t>
        </is>
      </c>
      <c r="I1390" s="12" t="inlineStr">
        <is>
          <t>LV 600 V</t>
        </is>
      </c>
      <c r="J1390" s="12" t="inlineStr">
        <is>
          <t>4</t>
        </is>
      </c>
      <c r="K1390" s="12" t="n">
        <v>1</v>
      </c>
    </row>
    <row r="1391">
      <c r="A1391" s="12" t="inlineStr">
        <is>
          <t>MOD-LV 480 V board + 480 V : 13.8 kV step-up</t>
        </is>
      </c>
      <c r="B1391" s="12" t="inlineStr"/>
      <c r="C1391" s="12" t="inlineStr">
        <is>
          <t>I</t>
        </is>
      </c>
      <c r="D1391" s="12" t="inlineStr">
        <is>
          <t>Fuel-cell AC cabinet to MOD-LV</t>
        </is>
      </c>
      <c r="E1391" s="12" t="n">
        <v>480</v>
      </c>
      <c r="F1391" s="12" t="n">
        <v>2000</v>
      </c>
      <c r="G1391" s="12" t="n">
        <v>2532.3</v>
      </c>
      <c r="H1391" s="12" t="inlineStr">
        <is>
          <t>FC-5..12 inverter / AC cabinet / desulfurizer</t>
        </is>
      </c>
      <c r="I1391" s="12" t="inlineStr">
        <is>
          <t>LV 600 V</t>
        </is>
      </c>
      <c r="J1391" s="12" t="inlineStr">
        <is>
          <t>500 kcmil</t>
        </is>
      </c>
      <c r="K1391" s="12" t="n">
        <v>12</v>
      </c>
    </row>
    <row r="1392">
      <c r="A1392" s="12" t="inlineStr">
        <is>
          <t>MOD-LV 480 V board + 480 V : 13.8 kV step-up</t>
        </is>
      </c>
      <c r="B1392" s="12" t="inlineStr"/>
      <c r="C1392" s="12" t="inlineStr">
        <is>
          <t>I</t>
        </is>
      </c>
      <c r="D1392" s="12" t="inlineStr">
        <is>
          <t>MT-4 microturbine output</t>
        </is>
      </c>
      <c r="E1392" s="12" t="n">
        <v>480</v>
      </c>
      <c r="F1392" s="12" t="n">
        <v>1000</v>
      </c>
      <c r="G1392" s="12" t="n">
        <v>1266.2</v>
      </c>
      <c r="H1392" s="12" t="inlineStr">
        <is>
          <t>MT-4: microturbine 1 MW (Capstone C1000 class)</t>
        </is>
      </c>
      <c r="I1392" s="12" t="inlineStr">
        <is>
          <t>LV 600 V</t>
        </is>
      </c>
      <c r="J1392" s="12" t="inlineStr">
        <is>
          <t>500 kcmil</t>
        </is>
      </c>
      <c r="K1392" s="12" t="n">
        <v>6</v>
      </c>
    </row>
    <row r="1393">
      <c r="A1393" s="12" t="inlineStr">
        <is>
          <t>MOD-LV 480 V board + 480 V : 13.8 kV step-up</t>
        </is>
      </c>
      <c r="B1393" s="12" t="inlineStr"/>
      <c r="C1393" s="12" t="inlineStr">
        <is>
          <t>I</t>
        </is>
      </c>
      <c r="D1393" s="12" t="inlineStr">
        <is>
          <t>MT-5 microturbine output</t>
        </is>
      </c>
      <c r="E1393" s="12" t="n">
        <v>480</v>
      </c>
      <c r="F1393" s="12" t="n">
        <v>1000</v>
      </c>
      <c r="G1393" s="12" t="n">
        <v>1266.2</v>
      </c>
      <c r="H1393" s="12" t="inlineStr">
        <is>
          <t>MT-5: microturbine 1 MW (Capstone C1000 class)</t>
        </is>
      </c>
      <c r="I1393" s="12" t="inlineStr">
        <is>
          <t>LV 600 V</t>
        </is>
      </c>
      <c r="J1393" s="12" t="inlineStr">
        <is>
          <t>500 kcmil</t>
        </is>
      </c>
      <c r="K1393" s="12" t="n">
        <v>6</v>
      </c>
    </row>
    <row r="1394">
      <c r="A1394" s="12" t="inlineStr">
        <is>
          <t>MOD-LV 480 V board + 480 V : 13.8 kV step-up</t>
        </is>
      </c>
      <c r="B1394" s="12" t="inlineStr"/>
      <c r="C1394" s="12" t="inlineStr">
        <is>
          <t>I</t>
        </is>
      </c>
      <c r="D1394" s="12" t="inlineStr">
        <is>
          <t>MT-6 microturbine output</t>
        </is>
      </c>
      <c r="E1394" s="12" t="n">
        <v>480</v>
      </c>
      <c r="F1394" s="12" t="n">
        <v>1000</v>
      </c>
      <c r="G1394" s="12" t="n">
        <v>1266.2</v>
      </c>
      <c r="H1394" s="12" t="inlineStr">
        <is>
          <t>MT-6: microturbine 1 MW (Capstone C1000 class)</t>
        </is>
      </c>
      <c r="I1394" s="12" t="inlineStr">
        <is>
          <t>LV 600 V</t>
        </is>
      </c>
      <c r="J1394" s="12" t="inlineStr">
        <is>
          <t>500 kcmil</t>
        </is>
      </c>
      <c r="K1394" s="12" t="n">
        <v>6</v>
      </c>
    </row>
    <row r="1395">
      <c r="A1395" s="12" t="inlineStr">
        <is>
          <t>PAD-TX 480 V : 13.8 kV</t>
        </is>
      </c>
      <c r="B1395" s="12" t="inlineStr">
        <is>
          <t>PAD-TX</t>
        </is>
      </c>
      <c r="C1395" s="12" t="inlineStr">
        <is>
          <t>I</t>
        </is>
      </c>
      <c r="D1395" s="12" t="inlineStr">
        <is>
          <t>PAD-LV to PAD-TX</t>
        </is>
      </c>
      <c r="E1395" s="12" t="n">
        <v>480</v>
      </c>
      <c r="F1395" s="12" t="n">
        <v>3000</v>
      </c>
      <c r="G1395" s="12" t="n">
        <v>3600</v>
      </c>
      <c r="H1395" s="12" t="inlineStr">
        <is>
          <t>PAD-LV 480 V paralleling switchboard</t>
        </is>
      </c>
      <c r="I1395" s="12" t="inlineStr">
        <is>
          <t>LV 600 V</t>
        </is>
      </c>
      <c r="J1395" s="12" t="inlineStr">
        <is>
          <t>500 kcmil</t>
        </is>
      </c>
      <c r="K1395" s="12" t="n">
        <v>12</v>
      </c>
    </row>
    <row r="1396">
      <c r="A1396" s="12" t="inlineStr">
        <is>
          <t>PCM: power control module</t>
        </is>
      </c>
      <c r="B1396" s="12" t="inlineStr"/>
      <c r="C1396" s="12" t="inlineStr">
        <is>
          <t>I</t>
        </is>
      </c>
      <c r="D1396" s="12" t="inlineStr">
        <is>
          <t>LV panel / distribution feeder</t>
        </is>
      </c>
      <c r="E1396" s="12" t="n">
        <v>480</v>
      </c>
      <c r="F1396" s="12" t="n">
        <v>38</v>
      </c>
      <c r="G1396" s="12" t="n">
        <v>53.8</v>
      </c>
      <c r="H1396" s="12" t="inlineStr">
        <is>
          <t>PCM: power control module</t>
        </is>
      </c>
      <c r="I1396" s="12" t="inlineStr">
        <is>
          <t>LV 600 V</t>
        </is>
      </c>
      <c r="J1396" s="12" t="inlineStr">
        <is>
          <t>4</t>
        </is>
      </c>
      <c r="K1396" s="12" t="n">
        <v>1</v>
      </c>
    </row>
    <row r="1397">
      <c r="A1397" s="12" t="inlineStr">
        <is>
          <t>RICE 1 SCR + oxidation catalyst and stack</t>
        </is>
      </c>
      <c r="B1397" s="12" t="inlineStr"/>
      <c r="C1397" s="12" t="inlineStr">
        <is>
          <t>I</t>
        </is>
      </c>
      <c r="D1397" s="12" t="inlineStr">
        <is>
          <t>Motor 1 of 1, 15 kW</t>
        </is>
      </c>
      <c r="E1397" s="12" t="n">
        <v>480</v>
      </c>
      <c r="F1397" s="12" t="n">
        <v>15</v>
      </c>
      <c r="G1397" s="12" t="n">
        <v>21.2</v>
      </c>
      <c r="H1397" s="12" t="inlineStr">
        <is>
          <t>PCM: power control module</t>
        </is>
      </c>
      <c r="I1397" s="12" t="inlineStr">
        <is>
          <t>LV 600 V</t>
        </is>
      </c>
      <c r="J1397" s="12" t="inlineStr">
        <is>
          <t>6</t>
        </is>
      </c>
      <c r="K1397" s="12" t="n">
        <v>1</v>
      </c>
    </row>
    <row r="1398">
      <c r="A1398" s="12" t="inlineStr">
        <is>
          <t>RICE 1 SCR + oxidation catalyst and stack</t>
        </is>
      </c>
      <c r="B1398" s="12" t="inlineStr"/>
      <c r="C1398" s="12" t="inlineStr">
        <is>
          <t>I</t>
        </is>
      </c>
      <c r="D1398" s="12" t="inlineStr">
        <is>
          <t>Area / platform lighting circuit 1 (6 fixtures)</t>
        </is>
      </c>
      <c r="E1398" s="12" t="n">
        <v>480</v>
      </c>
      <c r="F1398" s="12" t="n">
        <v>3</v>
      </c>
      <c r="G1398" s="12" t="n">
        <v>5</v>
      </c>
      <c r="H1398" s="12" t="inlineStr">
        <is>
          <t>PCM: power control module</t>
        </is>
      </c>
      <c r="I1398" s="12" t="inlineStr">
        <is>
          <t>LV 600 V</t>
        </is>
      </c>
      <c r="J1398" s="12" t="inlineStr">
        <is>
          <t>10</t>
        </is>
      </c>
      <c r="K1398" s="12" t="n">
        <v>1</v>
      </c>
    </row>
    <row r="1399">
      <c r="A1399" s="12" t="inlineStr">
        <is>
          <t>RICE 1 radiators (5)</t>
        </is>
      </c>
      <c r="B1399" s="12" t="inlineStr"/>
      <c r="C1399" s="12" t="inlineStr">
        <is>
          <t>I</t>
        </is>
      </c>
      <c r="D1399" s="12" t="inlineStr">
        <is>
          <t>Motor 1 of 5, 30 kW (VFD output)</t>
        </is>
      </c>
      <c r="E1399" s="12" t="n">
        <v>480</v>
      </c>
      <c r="F1399" s="12" t="n">
        <v>30</v>
      </c>
      <c r="G1399" s="12" t="n">
        <v>42</v>
      </c>
      <c r="H1399" s="12" t="inlineStr">
        <is>
          <t>PCM: power control module</t>
        </is>
      </c>
      <c r="I1399" s="12" t="inlineStr">
        <is>
          <t>LV 600 V</t>
        </is>
      </c>
      <c r="J1399" s="12" t="inlineStr">
        <is>
          <t>1</t>
        </is>
      </c>
      <c r="K1399" s="12" t="n">
        <v>1</v>
      </c>
    </row>
    <row r="1400">
      <c r="A1400" s="12" t="inlineStr">
        <is>
          <t>RICE 1 radiators (5)</t>
        </is>
      </c>
      <c r="B1400" s="12" t="inlineStr"/>
      <c r="C1400" s="12" t="inlineStr">
        <is>
          <t>I</t>
        </is>
      </c>
      <c r="D1400" s="12" t="inlineStr">
        <is>
          <t>Motor 2 of 5, 30 kW (VFD output)</t>
        </is>
      </c>
      <c r="E1400" s="12" t="n">
        <v>480</v>
      </c>
      <c r="F1400" s="12" t="n">
        <v>30</v>
      </c>
      <c r="G1400" s="12" t="n">
        <v>42</v>
      </c>
      <c r="H1400" s="12" t="inlineStr">
        <is>
          <t>PCM: power control module</t>
        </is>
      </c>
      <c r="I1400" s="12" t="inlineStr">
        <is>
          <t>LV 600 V</t>
        </is>
      </c>
      <c r="J1400" s="12" t="inlineStr">
        <is>
          <t>1</t>
        </is>
      </c>
      <c r="K1400" s="12" t="n">
        <v>1</v>
      </c>
    </row>
    <row r="1401">
      <c r="A1401" s="12" t="inlineStr">
        <is>
          <t>RICE 1 radiators (5)</t>
        </is>
      </c>
      <c r="B1401" s="12" t="inlineStr"/>
      <c r="C1401" s="12" t="inlineStr">
        <is>
          <t>I</t>
        </is>
      </c>
      <c r="D1401" s="12" t="inlineStr">
        <is>
          <t>Motor 3 of 5, 30 kW (VFD output)</t>
        </is>
      </c>
      <c r="E1401" s="12" t="n">
        <v>480</v>
      </c>
      <c r="F1401" s="12" t="n">
        <v>30</v>
      </c>
      <c r="G1401" s="12" t="n">
        <v>42</v>
      </c>
      <c r="H1401" s="12" t="inlineStr">
        <is>
          <t>PCM: power control module</t>
        </is>
      </c>
      <c r="I1401" s="12" t="inlineStr">
        <is>
          <t>LV 600 V</t>
        </is>
      </c>
      <c r="J1401" s="12" t="inlineStr">
        <is>
          <t>1</t>
        </is>
      </c>
      <c r="K1401" s="12" t="n">
        <v>1</v>
      </c>
    </row>
    <row r="1402">
      <c r="A1402" s="12" t="inlineStr">
        <is>
          <t>RICE 1 radiators (5)</t>
        </is>
      </c>
      <c r="B1402" s="12" t="inlineStr"/>
      <c r="C1402" s="12" t="inlineStr">
        <is>
          <t>I</t>
        </is>
      </c>
      <c r="D1402" s="12" t="inlineStr">
        <is>
          <t>Motor 4 of 5, 30 kW (VFD output)</t>
        </is>
      </c>
      <c r="E1402" s="12" t="n">
        <v>480</v>
      </c>
      <c r="F1402" s="12" t="n">
        <v>30</v>
      </c>
      <c r="G1402" s="12" t="n">
        <v>42</v>
      </c>
      <c r="H1402" s="12" t="inlineStr">
        <is>
          <t>PCM: power control module</t>
        </is>
      </c>
      <c r="I1402" s="12" t="inlineStr">
        <is>
          <t>LV 600 V</t>
        </is>
      </c>
      <c r="J1402" s="12" t="inlineStr">
        <is>
          <t>1</t>
        </is>
      </c>
      <c r="K1402" s="12" t="n">
        <v>1</v>
      </c>
    </row>
    <row r="1403">
      <c r="A1403" s="12" t="inlineStr">
        <is>
          <t>RICE 1 radiators (5)</t>
        </is>
      </c>
      <c r="B1403" s="12" t="inlineStr"/>
      <c r="C1403" s="12" t="inlineStr">
        <is>
          <t>I</t>
        </is>
      </c>
      <c r="D1403" s="12" t="inlineStr">
        <is>
          <t>Motor 5 of 5, 30 kW (VFD output)</t>
        </is>
      </c>
      <c r="E1403" s="12" t="n">
        <v>480</v>
      </c>
      <c r="F1403" s="12" t="n">
        <v>30</v>
      </c>
      <c r="G1403" s="12" t="n">
        <v>42</v>
      </c>
      <c r="H1403" s="12" t="inlineStr">
        <is>
          <t>PCM: power control module</t>
        </is>
      </c>
      <c r="I1403" s="12" t="inlineStr">
        <is>
          <t>LV 600 V</t>
        </is>
      </c>
      <c r="J1403" s="12" t="inlineStr">
        <is>
          <t>1</t>
        </is>
      </c>
      <c r="K1403" s="12" t="n">
        <v>1</v>
      </c>
    </row>
    <row r="1404">
      <c r="A1404" s="12" t="inlineStr">
        <is>
          <t>RICE 2 SCR + oxidation catalyst and stack</t>
        </is>
      </c>
      <c r="B1404" s="12" t="inlineStr"/>
      <c r="C1404" s="12" t="inlineStr">
        <is>
          <t>I</t>
        </is>
      </c>
      <c r="D1404" s="12" t="inlineStr">
        <is>
          <t>Motor 1 of 1, 15 kW</t>
        </is>
      </c>
      <c r="E1404" s="12" t="n">
        <v>480</v>
      </c>
      <c r="F1404" s="12" t="n">
        <v>15</v>
      </c>
      <c r="G1404" s="12" t="n">
        <v>21.2</v>
      </c>
      <c r="H1404" s="12" t="inlineStr">
        <is>
          <t>PCM: power control module</t>
        </is>
      </c>
      <c r="I1404" s="12" t="inlineStr">
        <is>
          <t>LV 600 V</t>
        </is>
      </c>
      <c r="J1404" s="12" t="inlineStr">
        <is>
          <t>6</t>
        </is>
      </c>
      <c r="K1404" s="12" t="n">
        <v>1</v>
      </c>
    </row>
    <row r="1405">
      <c r="A1405" s="12" t="inlineStr">
        <is>
          <t>RICE 2 SCR + oxidation catalyst and stack</t>
        </is>
      </c>
      <c r="B1405" s="12" t="inlineStr"/>
      <c r="C1405" s="12" t="inlineStr">
        <is>
          <t>I</t>
        </is>
      </c>
      <c r="D1405" s="12" t="inlineStr">
        <is>
          <t>Area / platform lighting circuit 1 (6 fixtures)</t>
        </is>
      </c>
      <c r="E1405" s="12" t="n">
        <v>480</v>
      </c>
      <c r="F1405" s="12" t="n">
        <v>3</v>
      </c>
      <c r="G1405" s="12" t="n">
        <v>5</v>
      </c>
      <c r="H1405" s="12" t="inlineStr">
        <is>
          <t>PCM: power control module</t>
        </is>
      </c>
      <c r="I1405" s="12" t="inlineStr">
        <is>
          <t>LV 600 V</t>
        </is>
      </c>
      <c r="J1405" s="12" t="inlineStr">
        <is>
          <t>10</t>
        </is>
      </c>
      <c r="K1405" s="12" t="n">
        <v>1</v>
      </c>
    </row>
    <row r="1406">
      <c r="A1406" s="12" t="inlineStr">
        <is>
          <t>RICE 2 radiators (5)</t>
        </is>
      </c>
      <c r="B1406" s="12" t="inlineStr"/>
      <c r="C1406" s="12" t="inlineStr">
        <is>
          <t>I</t>
        </is>
      </c>
      <c r="D1406" s="12" t="inlineStr">
        <is>
          <t>Motor 1 of 5, 30 kW (VFD output)</t>
        </is>
      </c>
      <c r="E1406" s="12" t="n">
        <v>480</v>
      </c>
      <c r="F1406" s="12" t="n">
        <v>30</v>
      </c>
      <c r="G1406" s="12" t="n">
        <v>42</v>
      </c>
      <c r="H1406" s="12" t="inlineStr">
        <is>
          <t>PCM: power control module</t>
        </is>
      </c>
      <c r="I1406" s="12" t="inlineStr">
        <is>
          <t>LV 600 V</t>
        </is>
      </c>
      <c r="J1406" s="12" t="inlineStr">
        <is>
          <t>2</t>
        </is>
      </c>
      <c r="K1406" s="12" t="n">
        <v>1</v>
      </c>
    </row>
    <row r="1407">
      <c r="A1407" s="12" t="inlineStr">
        <is>
          <t>RICE 2 radiators (5)</t>
        </is>
      </c>
      <c r="B1407" s="12" t="inlineStr"/>
      <c r="C1407" s="12" t="inlineStr">
        <is>
          <t>I</t>
        </is>
      </c>
      <c r="D1407" s="12" t="inlineStr">
        <is>
          <t>Motor 2 of 5, 30 kW (VFD output)</t>
        </is>
      </c>
      <c r="E1407" s="12" t="n">
        <v>480</v>
      </c>
      <c r="F1407" s="12" t="n">
        <v>30</v>
      </c>
      <c r="G1407" s="12" t="n">
        <v>42</v>
      </c>
      <c r="H1407" s="12" t="inlineStr">
        <is>
          <t>PCM: power control module</t>
        </is>
      </c>
      <c r="I1407" s="12" t="inlineStr">
        <is>
          <t>LV 600 V</t>
        </is>
      </c>
      <c r="J1407" s="12" t="inlineStr">
        <is>
          <t>2</t>
        </is>
      </c>
      <c r="K1407" s="12" t="n">
        <v>1</v>
      </c>
    </row>
    <row r="1408">
      <c r="A1408" s="12" t="inlineStr">
        <is>
          <t>RICE 2 radiators (5)</t>
        </is>
      </c>
      <c r="B1408" s="12" t="inlineStr"/>
      <c r="C1408" s="12" t="inlineStr">
        <is>
          <t>I</t>
        </is>
      </c>
      <c r="D1408" s="12" t="inlineStr">
        <is>
          <t>Motor 3 of 5, 30 kW (VFD output)</t>
        </is>
      </c>
      <c r="E1408" s="12" t="n">
        <v>480</v>
      </c>
      <c r="F1408" s="12" t="n">
        <v>30</v>
      </c>
      <c r="G1408" s="12" t="n">
        <v>42</v>
      </c>
      <c r="H1408" s="12" t="inlineStr">
        <is>
          <t>PCM: power control module</t>
        </is>
      </c>
      <c r="I1408" s="12" t="inlineStr">
        <is>
          <t>LV 600 V</t>
        </is>
      </c>
      <c r="J1408" s="12" t="inlineStr">
        <is>
          <t>2</t>
        </is>
      </c>
      <c r="K1408" s="12" t="n">
        <v>1</v>
      </c>
    </row>
    <row r="1409">
      <c r="A1409" s="12" t="inlineStr">
        <is>
          <t>RICE 2 radiators (5)</t>
        </is>
      </c>
      <c r="B1409" s="12" t="inlineStr"/>
      <c r="C1409" s="12" t="inlineStr">
        <is>
          <t>I</t>
        </is>
      </c>
      <c r="D1409" s="12" t="inlineStr">
        <is>
          <t>Motor 4 of 5, 30 kW (VFD output)</t>
        </is>
      </c>
      <c r="E1409" s="12" t="n">
        <v>480</v>
      </c>
      <c r="F1409" s="12" t="n">
        <v>30</v>
      </c>
      <c r="G1409" s="12" t="n">
        <v>42</v>
      </c>
      <c r="H1409" s="12" t="inlineStr">
        <is>
          <t>PCM: power control module</t>
        </is>
      </c>
      <c r="I1409" s="12" t="inlineStr">
        <is>
          <t>LV 600 V</t>
        </is>
      </c>
      <c r="J1409" s="12" t="inlineStr">
        <is>
          <t>2</t>
        </is>
      </c>
      <c r="K1409" s="12" t="n">
        <v>1</v>
      </c>
    </row>
    <row r="1410">
      <c r="A1410" s="12" t="inlineStr">
        <is>
          <t>RICE 2 radiators (5)</t>
        </is>
      </c>
      <c r="B1410" s="12" t="inlineStr"/>
      <c r="C1410" s="12" t="inlineStr">
        <is>
          <t>I</t>
        </is>
      </c>
      <c r="D1410" s="12" t="inlineStr">
        <is>
          <t>Motor 5 of 5, 30 kW (VFD output)</t>
        </is>
      </c>
      <c r="E1410" s="12" t="n">
        <v>480</v>
      </c>
      <c r="F1410" s="12" t="n">
        <v>30</v>
      </c>
      <c r="G1410" s="12" t="n">
        <v>42</v>
      </c>
      <c r="H1410" s="12" t="inlineStr">
        <is>
          <t>PCM: power control module</t>
        </is>
      </c>
      <c r="I1410" s="12" t="inlineStr">
        <is>
          <t>LV 600 V</t>
        </is>
      </c>
      <c r="J1410" s="12" t="inlineStr">
        <is>
          <t>2</t>
        </is>
      </c>
      <c r="K1410" s="12" t="n">
        <v>1</v>
      </c>
    </row>
    <row r="1411">
      <c r="A1411" s="12" t="inlineStr">
        <is>
          <t>RICE 3 SCR + oxidation catalyst and stack</t>
        </is>
      </c>
      <c r="B1411" s="12" t="inlineStr"/>
      <c r="C1411" s="12" t="inlineStr">
        <is>
          <t>I</t>
        </is>
      </c>
      <c r="D1411" s="12" t="inlineStr">
        <is>
          <t>Motor 1 of 1, 15 kW</t>
        </is>
      </c>
      <c r="E1411" s="12" t="n">
        <v>480</v>
      </c>
      <c r="F1411" s="12" t="n">
        <v>15</v>
      </c>
      <c r="G1411" s="12" t="n">
        <v>21.2</v>
      </c>
      <c r="H1411" s="12" t="inlineStr">
        <is>
          <t>PCM: power control module</t>
        </is>
      </c>
      <c r="I1411" s="12" t="inlineStr">
        <is>
          <t>LV 600 V</t>
        </is>
      </c>
      <c r="J1411" s="12" t="inlineStr">
        <is>
          <t>6</t>
        </is>
      </c>
      <c r="K1411" s="12" t="n">
        <v>1</v>
      </c>
    </row>
    <row r="1412">
      <c r="A1412" s="12" t="inlineStr">
        <is>
          <t>RICE 3 SCR + oxidation catalyst and stack</t>
        </is>
      </c>
      <c r="B1412" s="12" t="inlineStr"/>
      <c r="C1412" s="12" t="inlineStr">
        <is>
          <t>I</t>
        </is>
      </c>
      <c r="D1412" s="12" t="inlineStr">
        <is>
          <t>Area / platform lighting circuit 1 (6 fixtures)</t>
        </is>
      </c>
      <c r="E1412" s="12" t="n">
        <v>480</v>
      </c>
      <c r="F1412" s="12" t="n">
        <v>3</v>
      </c>
      <c r="G1412" s="12" t="n">
        <v>5</v>
      </c>
      <c r="H1412" s="12" t="inlineStr">
        <is>
          <t>PCM: power control module</t>
        </is>
      </c>
      <c r="I1412" s="12" t="inlineStr">
        <is>
          <t>LV 600 V</t>
        </is>
      </c>
      <c r="J1412" s="12" t="inlineStr">
        <is>
          <t>10</t>
        </is>
      </c>
      <c r="K1412" s="12" t="n">
        <v>1</v>
      </c>
    </row>
    <row r="1413">
      <c r="A1413" s="12" t="inlineStr">
        <is>
          <t>RICE 3 radiators (5)</t>
        </is>
      </c>
      <c r="B1413" s="12" t="inlineStr"/>
      <c r="C1413" s="12" t="inlineStr">
        <is>
          <t>I</t>
        </is>
      </c>
      <c r="D1413" s="12" t="inlineStr">
        <is>
          <t>Motor 1 of 5, 30 kW (VFD output)</t>
        </is>
      </c>
      <c r="E1413" s="12" t="n">
        <v>480</v>
      </c>
      <c r="F1413" s="12" t="n">
        <v>30</v>
      </c>
      <c r="G1413" s="12" t="n">
        <v>42</v>
      </c>
      <c r="H1413" s="12" t="inlineStr">
        <is>
          <t>PCM: power control module</t>
        </is>
      </c>
      <c r="I1413" s="12" t="inlineStr">
        <is>
          <t>LV 600 V</t>
        </is>
      </c>
      <c r="J1413" s="12" t="inlineStr">
        <is>
          <t>6</t>
        </is>
      </c>
      <c r="K1413" s="12" t="n">
        <v>1</v>
      </c>
    </row>
    <row r="1414">
      <c r="A1414" s="12" t="inlineStr">
        <is>
          <t>RICE 3 radiators (5)</t>
        </is>
      </c>
      <c r="B1414" s="12" t="inlineStr"/>
      <c r="C1414" s="12" t="inlineStr">
        <is>
          <t>I</t>
        </is>
      </c>
      <c r="D1414" s="12" t="inlineStr">
        <is>
          <t>Motor 2 of 5, 30 kW (VFD output)</t>
        </is>
      </c>
      <c r="E1414" s="12" t="n">
        <v>480</v>
      </c>
      <c r="F1414" s="12" t="n">
        <v>30</v>
      </c>
      <c r="G1414" s="12" t="n">
        <v>42</v>
      </c>
      <c r="H1414" s="12" t="inlineStr">
        <is>
          <t>PCM: power control module</t>
        </is>
      </c>
      <c r="I1414" s="12" t="inlineStr">
        <is>
          <t>LV 600 V</t>
        </is>
      </c>
      <c r="J1414" s="12" t="inlineStr">
        <is>
          <t>6</t>
        </is>
      </c>
      <c r="K1414" s="12" t="n">
        <v>1</v>
      </c>
    </row>
    <row r="1415">
      <c r="A1415" s="12" t="inlineStr">
        <is>
          <t>RICE 3 radiators (5)</t>
        </is>
      </c>
      <c r="B1415" s="12" t="inlineStr"/>
      <c r="C1415" s="12" t="inlineStr">
        <is>
          <t>I</t>
        </is>
      </c>
      <c r="D1415" s="12" t="inlineStr">
        <is>
          <t>Motor 3 of 5, 30 kW (VFD output)</t>
        </is>
      </c>
      <c r="E1415" s="12" t="n">
        <v>480</v>
      </c>
      <c r="F1415" s="12" t="n">
        <v>30</v>
      </c>
      <c r="G1415" s="12" t="n">
        <v>42</v>
      </c>
      <c r="H1415" s="12" t="inlineStr">
        <is>
          <t>PCM: power control module</t>
        </is>
      </c>
      <c r="I1415" s="12" t="inlineStr">
        <is>
          <t>LV 600 V</t>
        </is>
      </c>
      <c r="J1415" s="12" t="inlineStr">
        <is>
          <t>6</t>
        </is>
      </c>
      <c r="K1415" s="12" t="n">
        <v>1</v>
      </c>
    </row>
    <row r="1416">
      <c r="A1416" s="12" t="inlineStr">
        <is>
          <t>RICE 3 radiators (5)</t>
        </is>
      </c>
      <c r="B1416" s="12" t="inlineStr"/>
      <c r="C1416" s="12" t="inlineStr">
        <is>
          <t>I</t>
        </is>
      </c>
      <c r="D1416" s="12" t="inlineStr">
        <is>
          <t>Motor 4 of 5, 30 kW (VFD output)</t>
        </is>
      </c>
      <c r="E1416" s="12" t="n">
        <v>480</v>
      </c>
      <c r="F1416" s="12" t="n">
        <v>30</v>
      </c>
      <c r="G1416" s="12" t="n">
        <v>42</v>
      </c>
      <c r="H1416" s="12" t="inlineStr">
        <is>
          <t>PCM: power control module</t>
        </is>
      </c>
      <c r="I1416" s="12" t="inlineStr">
        <is>
          <t>LV 600 V</t>
        </is>
      </c>
      <c r="J1416" s="12" t="inlineStr">
        <is>
          <t>6</t>
        </is>
      </c>
      <c r="K1416" s="12" t="n">
        <v>1</v>
      </c>
    </row>
    <row r="1417">
      <c r="A1417" s="12" t="inlineStr">
        <is>
          <t>RICE 3 radiators (5)</t>
        </is>
      </c>
      <c r="B1417" s="12" t="inlineStr"/>
      <c r="C1417" s="12" t="inlineStr">
        <is>
          <t>I</t>
        </is>
      </c>
      <c r="D1417" s="12" t="inlineStr">
        <is>
          <t>Motor 5 of 5, 30 kW (VFD output)</t>
        </is>
      </c>
      <c r="E1417" s="12" t="n">
        <v>480</v>
      </c>
      <c r="F1417" s="12" t="n">
        <v>30</v>
      </c>
      <c r="G1417" s="12" t="n">
        <v>42</v>
      </c>
      <c r="H1417" s="12" t="inlineStr">
        <is>
          <t>PCM: power control module</t>
        </is>
      </c>
      <c r="I1417" s="12" t="inlineStr">
        <is>
          <t>LV 600 V</t>
        </is>
      </c>
      <c r="J1417" s="12" t="inlineStr">
        <is>
          <t>6</t>
        </is>
      </c>
      <c r="K1417" s="12" t="n">
        <v>1</v>
      </c>
    </row>
    <row r="1418">
      <c r="A1418" s="12" t="inlineStr">
        <is>
          <t>RICE 4 SCR + oxidation catalyst and stack</t>
        </is>
      </c>
      <c r="B1418" s="12" t="inlineStr"/>
      <c r="C1418" s="12" t="inlineStr">
        <is>
          <t>I</t>
        </is>
      </c>
      <c r="D1418" s="12" t="inlineStr">
        <is>
          <t>Motor 1 of 1, 15 kW</t>
        </is>
      </c>
      <c r="E1418" s="12" t="n">
        <v>480</v>
      </c>
      <c r="F1418" s="12" t="n">
        <v>15</v>
      </c>
      <c r="G1418" s="12" t="n">
        <v>21.2</v>
      </c>
      <c r="H1418" s="12" t="inlineStr">
        <is>
          <t>PCM: power control module</t>
        </is>
      </c>
      <c r="I1418" s="12" t="inlineStr">
        <is>
          <t>LV 600 V</t>
        </is>
      </c>
      <c r="J1418" s="12" t="inlineStr">
        <is>
          <t>6</t>
        </is>
      </c>
      <c r="K1418" s="12" t="n">
        <v>1</v>
      </c>
    </row>
    <row r="1419">
      <c r="A1419" s="12" t="inlineStr">
        <is>
          <t>RICE 4 SCR + oxidation catalyst and stack</t>
        </is>
      </c>
      <c r="B1419" s="12" t="inlineStr"/>
      <c r="C1419" s="12" t="inlineStr">
        <is>
          <t>I</t>
        </is>
      </c>
      <c r="D1419" s="12" t="inlineStr">
        <is>
          <t>Area / platform lighting circuit 1 (6 fixtures)</t>
        </is>
      </c>
      <c r="E1419" s="12" t="n">
        <v>480</v>
      </c>
      <c r="F1419" s="12" t="n">
        <v>3</v>
      </c>
      <c r="G1419" s="12" t="n">
        <v>5</v>
      </c>
      <c r="H1419" s="12" t="inlineStr">
        <is>
          <t>PCM: power control module</t>
        </is>
      </c>
      <c r="I1419" s="12" t="inlineStr">
        <is>
          <t>LV 600 V</t>
        </is>
      </c>
      <c r="J1419" s="12" t="inlineStr">
        <is>
          <t>10</t>
        </is>
      </c>
      <c r="K1419" s="12" t="n">
        <v>1</v>
      </c>
    </row>
    <row r="1420">
      <c r="A1420" s="12" t="inlineStr">
        <is>
          <t>RICE 4 radiators (5)</t>
        </is>
      </c>
      <c r="B1420" s="12" t="inlineStr"/>
      <c r="C1420" s="12" t="inlineStr">
        <is>
          <t>I</t>
        </is>
      </c>
      <c r="D1420" s="12" t="inlineStr">
        <is>
          <t>Motor 1 of 5, 30 kW (VFD output)</t>
        </is>
      </c>
      <c r="E1420" s="12" t="n">
        <v>480</v>
      </c>
      <c r="F1420" s="12" t="n">
        <v>30</v>
      </c>
      <c r="G1420" s="12" t="n">
        <v>42</v>
      </c>
      <c r="H1420" s="12" t="inlineStr">
        <is>
          <t>PCM: power control module</t>
        </is>
      </c>
      <c r="I1420" s="12" t="inlineStr">
        <is>
          <t>LV 600 V</t>
        </is>
      </c>
      <c r="J1420" s="12" t="inlineStr">
        <is>
          <t>6</t>
        </is>
      </c>
      <c r="K1420" s="12" t="n">
        <v>1</v>
      </c>
    </row>
    <row r="1421">
      <c r="A1421" s="12" t="inlineStr">
        <is>
          <t>RICE 4 radiators (5)</t>
        </is>
      </c>
      <c r="B1421" s="12" t="inlineStr"/>
      <c r="C1421" s="12" t="inlineStr">
        <is>
          <t>I</t>
        </is>
      </c>
      <c r="D1421" s="12" t="inlineStr">
        <is>
          <t>Motor 2 of 5, 30 kW (VFD output)</t>
        </is>
      </c>
      <c r="E1421" s="12" t="n">
        <v>480</v>
      </c>
      <c r="F1421" s="12" t="n">
        <v>30</v>
      </c>
      <c r="G1421" s="12" t="n">
        <v>42</v>
      </c>
      <c r="H1421" s="12" t="inlineStr">
        <is>
          <t>PCM: power control module</t>
        </is>
      </c>
      <c r="I1421" s="12" t="inlineStr">
        <is>
          <t>LV 600 V</t>
        </is>
      </c>
      <c r="J1421" s="12" t="inlineStr">
        <is>
          <t>6</t>
        </is>
      </c>
      <c r="K1421" s="12" t="n">
        <v>1</v>
      </c>
    </row>
    <row r="1422">
      <c r="A1422" s="12" t="inlineStr">
        <is>
          <t>RICE 4 radiators (5)</t>
        </is>
      </c>
      <c r="B1422" s="12" t="inlineStr"/>
      <c r="C1422" s="12" t="inlineStr">
        <is>
          <t>I</t>
        </is>
      </c>
      <c r="D1422" s="12" t="inlineStr">
        <is>
          <t>Motor 3 of 5, 30 kW (VFD output)</t>
        </is>
      </c>
      <c r="E1422" s="12" t="n">
        <v>480</v>
      </c>
      <c r="F1422" s="12" t="n">
        <v>30</v>
      </c>
      <c r="G1422" s="12" t="n">
        <v>42</v>
      </c>
      <c r="H1422" s="12" t="inlineStr">
        <is>
          <t>PCM: power control module</t>
        </is>
      </c>
      <c r="I1422" s="12" t="inlineStr">
        <is>
          <t>LV 600 V</t>
        </is>
      </c>
      <c r="J1422" s="12" t="inlineStr">
        <is>
          <t>6</t>
        </is>
      </c>
      <c r="K1422" s="12" t="n">
        <v>1</v>
      </c>
    </row>
    <row r="1423">
      <c r="A1423" s="12" t="inlineStr">
        <is>
          <t>RICE 4 radiators (5)</t>
        </is>
      </c>
      <c r="B1423" s="12" t="inlineStr"/>
      <c r="C1423" s="12" t="inlineStr">
        <is>
          <t>I</t>
        </is>
      </c>
      <c r="D1423" s="12" t="inlineStr">
        <is>
          <t>Motor 4 of 5, 30 kW (VFD output)</t>
        </is>
      </c>
      <c r="E1423" s="12" t="n">
        <v>480</v>
      </c>
      <c r="F1423" s="12" t="n">
        <v>30</v>
      </c>
      <c r="G1423" s="12" t="n">
        <v>42</v>
      </c>
      <c r="H1423" s="12" t="inlineStr">
        <is>
          <t>PCM: power control module</t>
        </is>
      </c>
      <c r="I1423" s="12" t="inlineStr">
        <is>
          <t>LV 600 V</t>
        </is>
      </c>
      <c r="J1423" s="12" t="inlineStr">
        <is>
          <t>6</t>
        </is>
      </c>
      <c r="K1423" s="12" t="n">
        <v>1</v>
      </c>
    </row>
    <row r="1424">
      <c r="A1424" s="12" t="inlineStr">
        <is>
          <t>RICE 4 radiators (5)</t>
        </is>
      </c>
      <c r="B1424" s="12" t="inlineStr"/>
      <c r="C1424" s="12" t="inlineStr">
        <is>
          <t>I</t>
        </is>
      </c>
      <c r="D1424" s="12" t="inlineStr">
        <is>
          <t>Motor 5 of 5, 30 kW (VFD output)</t>
        </is>
      </c>
      <c r="E1424" s="12" t="n">
        <v>480</v>
      </c>
      <c r="F1424" s="12" t="n">
        <v>30</v>
      </c>
      <c r="G1424" s="12" t="n">
        <v>42</v>
      </c>
      <c r="H1424" s="12" t="inlineStr">
        <is>
          <t>PCM: power control module</t>
        </is>
      </c>
      <c r="I1424" s="12" t="inlineStr">
        <is>
          <t>LV 600 V</t>
        </is>
      </c>
      <c r="J1424" s="12" t="inlineStr">
        <is>
          <t>6</t>
        </is>
      </c>
      <c r="K1424" s="12" t="n">
        <v>1</v>
      </c>
    </row>
    <row r="1425">
      <c r="A1425" s="12" t="inlineStr">
        <is>
          <t>RICE 5 SCR + oxidation catalyst and stack</t>
        </is>
      </c>
      <c r="B1425" s="12" t="inlineStr"/>
      <c r="C1425" s="12" t="inlineStr">
        <is>
          <t>I</t>
        </is>
      </c>
      <c r="D1425" s="12" t="inlineStr">
        <is>
          <t>Motor 1 of 1, 15 kW</t>
        </is>
      </c>
      <c r="E1425" s="12" t="n">
        <v>480</v>
      </c>
      <c r="F1425" s="12" t="n">
        <v>15</v>
      </c>
      <c r="G1425" s="12" t="n">
        <v>21.2</v>
      </c>
      <c r="H1425" s="12" t="inlineStr">
        <is>
          <t>PCM: power control module</t>
        </is>
      </c>
      <c r="I1425" s="12" t="inlineStr">
        <is>
          <t>LV 600 V</t>
        </is>
      </c>
      <c r="J1425" s="12" t="inlineStr">
        <is>
          <t>6</t>
        </is>
      </c>
      <c r="K1425" s="12" t="n">
        <v>1</v>
      </c>
    </row>
    <row r="1426">
      <c r="A1426" s="12" t="inlineStr">
        <is>
          <t>RICE 5 SCR + oxidation catalyst and stack</t>
        </is>
      </c>
      <c r="B1426" s="12" t="inlineStr"/>
      <c r="C1426" s="12" t="inlineStr">
        <is>
          <t>I</t>
        </is>
      </c>
      <c r="D1426" s="12" t="inlineStr">
        <is>
          <t>Area / platform lighting circuit 1 (6 fixtures)</t>
        </is>
      </c>
      <c r="E1426" s="12" t="n">
        <v>480</v>
      </c>
      <c r="F1426" s="12" t="n">
        <v>3</v>
      </c>
      <c r="G1426" s="12" t="n">
        <v>5</v>
      </c>
      <c r="H1426" s="12" t="inlineStr">
        <is>
          <t>PCM: power control module</t>
        </is>
      </c>
      <c r="I1426" s="12" t="inlineStr">
        <is>
          <t>LV 600 V</t>
        </is>
      </c>
      <c r="J1426" s="12" t="inlineStr">
        <is>
          <t>10</t>
        </is>
      </c>
      <c r="K1426" s="12" t="n">
        <v>1</v>
      </c>
    </row>
    <row r="1427">
      <c r="A1427" s="12" t="inlineStr">
        <is>
          <t>RICE 5 radiators (5)</t>
        </is>
      </c>
      <c r="B1427" s="12" t="inlineStr"/>
      <c r="C1427" s="12" t="inlineStr">
        <is>
          <t>I</t>
        </is>
      </c>
      <c r="D1427" s="12" t="inlineStr">
        <is>
          <t>Motor 1 of 5, 30 kW (VFD output)</t>
        </is>
      </c>
      <c r="E1427" s="12" t="n">
        <v>480</v>
      </c>
      <c r="F1427" s="12" t="n">
        <v>30</v>
      </c>
      <c r="G1427" s="12" t="n">
        <v>42</v>
      </c>
      <c r="H1427" s="12" t="inlineStr">
        <is>
          <t>PCM: power control module</t>
        </is>
      </c>
      <c r="I1427" s="12" t="inlineStr">
        <is>
          <t>LV 600 V</t>
        </is>
      </c>
      <c r="J1427" s="12" t="inlineStr">
        <is>
          <t>6</t>
        </is>
      </c>
      <c r="K1427" s="12" t="n">
        <v>1</v>
      </c>
    </row>
    <row r="1428">
      <c r="A1428" s="12" t="inlineStr">
        <is>
          <t>RICE 5 radiators (5)</t>
        </is>
      </c>
      <c r="B1428" s="12" t="inlineStr"/>
      <c r="C1428" s="12" t="inlineStr">
        <is>
          <t>I</t>
        </is>
      </c>
      <c r="D1428" s="12" t="inlineStr">
        <is>
          <t>Motor 2 of 5, 30 kW (VFD output)</t>
        </is>
      </c>
      <c r="E1428" s="12" t="n">
        <v>480</v>
      </c>
      <c r="F1428" s="12" t="n">
        <v>30</v>
      </c>
      <c r="G1428" s="12" t="n">
        <v>42</v>
      </c>
      <c r="H1428" s="12" t="inlineStr">
        <is>
          <t>PCM: power control module</t>
        </is>
      </c>
      <c r="I1428" s="12" t="inlineStr">
        <is>
          <t>LV 600 V</t>
        </is>
      </c>
      <c r="J1428" s="12" t="inlineStr">
        <is>
          <t>6</t>
        </is>
      </c>
      <c r="K1428" s="12" t="n">
        <v>1</v>
      </c>
    </row>
    <row r="1429">
      <c r="A1429" s="12" t="inlineStr">
        <is>
          <t>RICE 5 radiators (5)</t>
        </is>
      </c>
      <c r="B1429" s="12" t="inlineStr"/>
      <c r="C1429" s="12" t="inlineStr">
        <is>
          <t>I</t>
        </is>
      </c>
      <c r="D1429" s="12" t="inlineStr">
        <is>
          <t>Motor 3 of 5, 30 kW (VFD output)</t>
        </is>
      </c>
      <c r="E1429" s="12" t="n">
        <v>480</v>
      </c>
      <c r="F1429" s="12" t="n">
        <v>30</v>
      </c>
      <c r="G1429" s="12" t="n">
        <v>42</v>
      </c>
      <c r="H1429" s="12" t="inlineStr">
        <is>
          <t>PCM: power control module</t>
        </is>
      </c>
      <c r="I1429" s="12" t="inlineStr">
        <is>
          <t>LV 600 V</t>
        </is>
      </c>
      <c r="J1429" s="12" t="inlineStr">
        <is>
          <t>6</t>
        </is>
      </c>
      <c r="K1429" s="12" t="n">
        <v>1</v>
      </c>
    </row>
    <row r="1430">
      <c r="A1430" s="12" t="inlineStr">
        <is>
          <t>RICE 5 radiators (5)</t>
        </is>
      </c>
      <c r="B1430" s="12" t="inlineStr"/>
      <c r="C1430" s="12" t="inlineStr">
        <is>
          <t>I</t>
        </is>
      </c>
      <c r="D1430" s="12" t="inlineStr">
        <is>
          <t>Motor 4 of 5, 30 kW (VFD output)</t>
        </is>
      </c>
      <c r="E1430" s="12" t="n">
        <v>480</v>
      </c>
      <c r="F1430" s="12" t="n">
        <v>30</v>
      </c>
      <c r="G1430" s="12" t="n">
        <v>42</v>
      </c>
      <c r="H1430" s="12" t="inlineStr">
        <is>
          <t>PCM: power control module</t>
        </is>
      </c>
      <c r="I1430" s="12" t="inlineStr">
        <is>
          <t>LV 600 V</t>
        </is>
      </c>
      <c r="J1430" s="12" t="inlineStr">
        <is>
          <t>6</t>
        </is>
      </c>
      <c r="K1430" s="12" t="n">
        <v>1</v>
      </c>
    </row>
    <row r="1431">
      <c r="A1431" s="12" t="inlineStr">
        <is>
          <t>RICE 5 radiators (5)</t>
        </is>
      </c>
      <c r="B1431" s="12" t="inlineStr"/>
      <c r="C1431" s="12" t="inlineStr">
        <is>
          <t>I</t>
        </is>
      </c>
      <c r="D1431" s="12" t="inlineStr">
        <is>
          <t>Motor 5 of 5, 30 kW (VFD output)</t>
        </is>
      </c>
      <c r="E1431" s="12" t="n">
        <v>480</v>
      </c>
      <c r="F1431" s="12" t="n">
        <v>30</v>
      </c>
      <c r="G1431" s="12" t="n">
        <v>42</v>
      </c>
      <c r="H1431" s="12" t="inlineStr">
        <is>
          <t>PCM: power control module</t>
        </is>
      </c>
      <c r="I1431" s="12" t="inlineStr">
        <is>
          <t>LV 600 V</t>
        </is>
      </c>
      <c r="J1431" s="12" t="inlineStr">
        <is>
          <t>6</t>
        </is>
      </c>
      <c r="K1431" s="12" t="n">
        <v>1</v>
      </c>
    </row>
    <row r="1432">
      <c r="A1432" s="12" t="inlineStr">
        <is>
          <t>RICE 6 SCR + oxidation catalyst and stack</t>
        </is>
      </c>
      <c r="B1432" s="12" t="inlineStr"/>
      <c r="C1432" s="12" t="inlineStr">
        <is>
          <t>I</t>
        </is>
      </c>
      <c r="D1432" s="12" t="inlineStr">
        <is>
          <t>Motor 1 of 1, 15 kW</t>
        </is>
      </c>
      <c r="E1432" s="12" t="n">
        <v>480</v>
      </c>
      <c r="F1432" s="12" t="n">
        <v>15</v>
      </c>
      <c r="G1432" s="12" t="n">
        <v>21.2</v>
      </c>
      <c r="H1432" s="12" t="inlineStr">
        <is>
          <t>PCM: power control module</t>
        </is>
      </c>
      <c r="I1432" s="12" t="inlineStr">
        <is>
          <t>LV 600 V</t>
        </is>
      </c>
      <c r="J1432" s="12" t="inlineStr">
        <is>
          <t>6</t>
        </is>
      </c>
      <c r="K1432" s="12" t="n">
        <v>1</v>
      </c>
    </row>
    <row r="1433">
      <c r="A1433" s="12" t="inlineStr">
        <is>
          <t>RICE 6 SCR + oxidation catalyst and stack</t>
        </is>
      </c>
      <c r="B1433" s="12" t="inlineStr"/>
      <c r="C1433" s="12" t="inlineStr">
        <is>
          <t>I</t>
        </is>
      </c>
      <c r="D1433" s="12" t="inlineStr">
        <is>
          <t>Area / platform lighting circuit 1 (6 fixtures)</t>
        </is>
      </c>
      <c r="E1433" s="12" t="n">
        <v>480</v>
      </c>
      <c r="F1433" s="12" t="n">
        <v>3</v>
      </c>
      <c r="G1433" s="12" t="n">
        <v>5</v>
      </c>
      <c r="H1433" s="12" t="inlineStr">
        <is>
          <t>PCM: power control module</t>
        </is>
      </c>
      <c r="I1433" s="12" t="inlineStr">
        <is>
          <t>LV 600 V</t>
        </is>
      </c>
      <c r="J1433" s="12" t="inlineStr">
        <is>
          <t>10</t>
        </is>
      </c>
      <c r="K1433" s="12" t="n">
        <v>1</v>
      </c>
    </row>
    <row r="1434">
      <c r="A1434" s="12" t="inlineStr">
        <is>
          <t>RICE 6 radiators (5)</t>
        </is>
      </c>
      <c r="B1434" s="12" t="inlineStr"/>
      <c r="C1434" s="12" t="inlineStr">
        <is>
          <t>I</t>
        </is>
      </c>
      <c r="D1434" s="12" t="inlineStr">
        <is>
          <t>Motor 1 of 5, 30 kW (VFD output)</t>
        </is>
      </c>
      <c r="E1434" s="12" t="n">
        <v>480</v>
      </c>
      <c r="F1434" s="12" t="n">
        <v>30</v>
      </c>
      <c r="G1434" s="12" t="n">
        <v>42</v>
      </c>
      <c r="H1434" s="12" t="inlineStr">
        <is>
          <t>PCM: power control module</t>
        </is>
      </c>
      <c r="I1434" s="12" t="inlineStr">
        <is>
          <t>LV 600 V</t>
        </is>
      </c>
      <c r="J1434" s="12" t="inlineStr">
        <is>
          <t>6</t>
        </is>
      </c>
      <c r="K1434" s="12" t="n">
        <v>1</v>
      </c>
    </row>
    <row r="1435">
      <c r="A1435" s="12" t="inlineStr">
        <is>
          <t>RICE 6 radiators (5)</t>
        </is>
      </c>
      <c r="B1435" s="12" t="inlineStr"/>
      <c r="C1435" s="12" t="inlineStr">
        <is>
          <t>I</t>
        </is>
      </c>
      <c r="D1435" s="12" t="inlineStr">
        <is>
          <t>Motor 2 of 5, 30 kW (VFD output)</t>
        </is>
      </c>
      <c r="E1435" s="12" t="n">
        <v>480</v>
      </c>
      <c r="F1435" s="12" t="n">
        <v>30</v>
      </c>
      <c r="G1435" s="12" t="n">
        <v>42</v>
      </c>
      <c r="H1435" s="12" t="inlineStr">
        <is>
          <t>PCM: power control module</t>
        </is>
      </c>
      <c r="I1435" s="12" t="inlineStr">
        <is>
          <t>LV 600 V</t>
        </is>
      </c>
      <c r="J1435" s="12" t="inlineStr">
        <is>
          <t>6</t>
        </is>
      </c>
      <c r="K1435" s="12" t="n">
        <v>1</v>
      </c>
    </row>
    <row r="1436">
      <c r="A1436" s="12" t="inlineStr">
        <is>
          <t>RICE 6 radiators (5)</t>
        </is>
      </c>
      <c r="B1436" s="12" t="inlineStr"/>
      <c r="C1436" s="12" t="inlineStr">
        <is>
          <t>I</t>
        </is>
      </c>
      <c r="D1436" s="12" t="inlineStr">
        <is>
          <t>Motor 3 of 5, 30 kW (VFD output)</t>
        </is>
      </c>
      <c r="E1436" s="12" t="n">
        <v>480</v>
      </c>
      <c r="F1436" s="12" t="n">
        <v>30</v>
      </c>
      <c r="G1436" s="12" t="n">
        <v>42</v>
      </c>
      <c r="H1436" s="12" t="inlineStr">
        <is>
          <t>PCM: power control module</t>
        </is>
      </c>
      <c r="I1436" s="12" t="inlineStr">
        <is>
          <t>LV 600 V</t>
        </is>
      </c>
      <c r="J1436" s="12" t="inlineStr">
        <is>
          <t>6</t>
        </is>
      </c>
      <c r="K1436" s="12" t="n">
        <v>1</v>
      </c>
    </row>
    <row r="1437">
      <c r="A1437" s="12" t="inlineStr">
        <is>
          <t>RICE 6 radiators (5)</t>
        </is>
      </c>
      <c r="B1437" s="12" t="inlineStr"/>
      <c r="C1437" s="12" t="inlineStr">
        <is>
          <t>I</t>
        </is>
      </c>
      <c r="D1437" s="12" t="inlineStr">
        <is>
          <t>Motor 4 of 5, 30 kW (VFD output)</t>
        </is>
      </c>
      <c r="E1437" s="12" t="n">
        <v>480</v>
      </c>
      <c r="F1437" s="12" t="n">
        <v>30</v>
      </c>
      <c r="G1437" s="12" t="n">
        <v>42</v>
      </c>
      <c r="H1437" s="12" t="inlineStr">
        <is>
          <t>PCM: power control module</t>
        </is>
      </c>
      <c r="I1437" s="12" t="inlineStr">
        <is>
          <t>LV 600 V</t>
        </is>
      </c>
      <c r="J1437" s="12" t="inlineStr">
        <is>
          <t>6</t>
        </is>
      </c>
      <c r="K1437" s="12" t="n">
        <v>1</v>
      </c>
    </row>
    <row r="1438">
      <c r="A1438" s="12" t="inlineStr">
        <is>
          <t>RICE 6 radiators (5)</t>
        </is>
      </c>
      <c r="B1438" s="12" t="inlineStr"/>
      <c r="C1438" s="12" t="inlineStr">
        <is>
          <t>I</t>
        </is>
      </c>
      <c r="D1438" s="12" t="inlineStr">
        <is>
          <t>Motor 5 of 5, 30 kW (VFD output)</t>
        </is>
      </c>
      <c r="E1438" s="12" t="n">
        <v>480</v>
      </c>
      <c r="F1438" s="12" t="n">
        <v>30</v>
      </c>
      <c r="G1438" s="12" t="n">
        <v>42</v>
      </c>
      <c r="H1438" s="12" t="inlineStr">
        <is>
          <t>PCM: power control module</t>
        </is>
      </c>
      <c r="I1438" s="12" t="inlineStr">
        <is>
          <t>LV 600 V</t>
        </is>
      </c>
      <c r="J1438" s="12" t="inlineStr">
        <is>
          <t>6</t>
        </is>
      </c>
      <c r="K1438" s="12" t="n">
        <v>1</v>
      </c>
    </row>
    <row r="1439">
      <c r="A1439" s="12" t="inlineStr">
        <is>
          <t>RICE 7 SCR + oxidation catalyst and stack</t>
        </is>
      </c>
      <c r="B1439" s="12" t="inlineStr"/>
      <c r="C1439" s="12" t="inlineStr">
        <is>
          <t>I</t>
        </is>
      </c>
      <c r="D1439" s="12" t="inlineStr">
        <is>
          <t>Motor 1 of 1, 15 kW</t>
        </is>
      </c>
      <c r="E1439" s="12" t="n">
        <v>480</v>
      </c>
      <c r="F1439" s="12" t="n">
        <v>15</v>
      </c>
      <c r="G1439" s="12" t="n">
        <v>21.2</v>
      </c>
      <c r="H1439" s="12" t="inlineStr">
        <is>
          <t>PCM: power control module</t>
        </is>
      </c>
      <c r="I1439" s="12" t="inlineStr">
        <is>
          <t>LV 600 V</t>
        </is>
      </c>
      <c r="J1439" s="12" t="inlineStr">
        <is>
          <t>8</t>
        </is>
      </c>
      <c r="K1439" s="12" t="n">
        <v>1</v>
      </c>
    </row>
    <row r="1440">
      <c r="A1440" s="12" t="inlineStr">
        <is>
          <t>RICE 7 SCR + oxidation catalyst and stack</t>
        </is>
      </c>
      <c r="B1440" s="12" t="inlineStr"/>
      <c r="C1440" s="12" t="inlineStr">
        <is>
          <t>I</t>
        </is>
      </c>
      <c r="D1440" s="12" t="inlineStr">
        <is>
          <t>Area / platform lighting circuit 1 (6 fixtures)</t>
        </is>
      </c>
      <c r="E1440" s="12" t="n">
        <v>480</v>
      </c>
      <c r="F1440" s="12" t="n">
        <v>3</v>
      </c>
      <c r="G1440" s="12" t="n">
        <v>5</v>
      </c>
      <c r="H1440" s="12" t="inlineStr">
        <is>
          <t>PCM: power control module</t>
        </is>
      </c>
      <c r="I1440" s="12" t="inlineStr">
        <is>
          <t>LV 600 V</t>
        </is>
      </c>
      <c r="J1440" s="12" t="inlineStr">
        <is>
          <t>10</t>
        </is>
      </c>
      <c r="K1440" s="12" t="n">
        <v>1</v>
      </c>
    </row>
    <row r="1441">
      <c r="A1441" s="12" t="inlineStr">
        <is>
          <t>RICE 7 radiators (5)</t>
        </is>
      </c>
      <c r="B1441" s="12" t="inlineStr"/>
      <c r="C1441" s="12" t="inlineStr">
        <is>
          <t>I</t>
        </is>
      </c>
      <c r="D1441" s="12" t="inlineStr">
        <is>
          <t>Motor 1 of 5, 30 kW (VFD output)</t>
        </is>
      </c>
      <c r="E1441" s="12" t="n">
        <v>480</v>
      </c>
      <c r="F1441" s="12" t="n">
        <v>30</v>
      </c>
      <c r="G1441" s="12" t="n">
        <v>42</v>
      </c>
      <c r="H1441" s="12" t="inlineStr">
        <is>
          <t>PCM: power control module</t>
        </is>
      </c>
      <c r="I1441" s="12" t="inlineStr">
        <is>
          <t>LV 600 V</t>
        </is>
      </c>
      <c r="J1441" s="12" t="inlineStr">
        <is>
          <t>6</t>
        </is>
      </c>
      <c r="K1441" s="12" t="n">
        <v>1</v>
      </c>
    </row>
    <row r="1442">
      <c r="A1442" s="12" t="inlineStr">
        <is>
          <t>RICE 7 radiators (5)</t>
        </is>
      </c>
      <c r="B1442" s="12" t="inlineStr"/>
      <c r="C1442" s="12" t="inlineStr">
        <is>
          <t>I</t>
        </is>
      </c>
      <c r="D1442" s="12" t="inlineStr">
        <is>
          <t>Motor 2 of 5, 30 kW (VFD output)</t>
        </is>
      </c>
      <c r="E1442" s="12" t="n">
        <v>480</v>
      </c>
      <c r="F1442" s="12" t="n">
        <v>30</v>
      </c>
      <c r="G1442" s="12" t="n">
        <v>42</v>
      </c>
      <c r="H1442" s="12" t="inlineStr">
        <is>
          <t>PCM: power control module</t>
        </is>
      </c>
      <c r="I1442" s="12" t="inlineStr">
        <is>
          <t>LV 600 V</t>
        </is>
      </c>
      <c r="J1442" s="12" t="inlineStr">
        <is>
          <t>6</t>
        </is>
      </c>
      <c r="K1442" s="12" t="n">
        <v>1</v>
      </c>
    </row>
    <row r="1443">
      <c r="A1443" s="12" t="inlineStr">
        <is>
          <t>RICE 7 radiators (5)</t>
        </is>
      </c>
      <c r="B1443" s="12" t="inlineStr"/>
      <c r="C1443" s="12" t="inlineStr">
        <is>
          <t>I</t>
        </is>
      </c>
      <c r="D1443" s="12" t="inlineStr">
        <is>
          <t>Motor 3 of 5, 30 kW (VFD output)</t>
        </is>
      </c>
      <c r="E1443" s="12" t="n">
        <v>480</v>
      </c>
      <c r="F1443" s="12" t="n">
        <v>30</v>
      </c>
      <c r="G1443" s="12" t="n">
        <v>42</v>
      </c>
      <c r="H1443" s="12" t="inlineStr">
        <is>
          <t>PCM: power control module</t>
        </is>
      </c>
      <c r="I1443" s="12" t="inlineStr">
        <is>
          <t>LV 600 V</t>
        </is>
      </c>
      <c r="J1443" s="12" t="inlineStr">
        <is>
          <t>6</t>
        </is>
      </c>
      <c r="K1443" s="12" t="n">
        <v>1</v>
      </c>
    </row>
    <row r="1444">
      <c r="A1444" s="12" t="inlineStr">
        <is>
          <t>RICE 7 radiators (5)</t>
        </is>
      </c>
      <c r="B1444" s="12" t="inlineStr"/>
      <c r="C1444" s="12" t="inlineStr">
        <is>
          <t>I</t>
        </is>
      </c>
      <c r="D1444" s="12" t="inlineStr">
        <is>
          <t>Motor 4 of 5, 30 kW (VFD output)</t>
        </is>
      </c>
      <c r="E1444" s="12" t="n">
        <v>480</v>
      </c>
      <c r="F1444" s="12" t="n">
        <v>30</v>
      </c>
      <c r="G1444" s="12" t="n">
        <v>42</v>
      </c>
      <c r="H1444" s="12" t="inlineStr">
        <is>
          <t>PCM: power control module</t>
        </is>
      </c>
      <c r="I1444" s="12" t="inlineStr">
        <is>
          <t>LV 600 V</t>
        </is>
      </c>
      <c r="J1444" s="12" t="inlineStr">
        <is>
          <t>6</t>
        </is>
      </c>
      <c r="K1444" s="12" t="n">
        <v>1</v>
      </c>
    </row>
    <row r="1445">
      <c r="A1445" s="12" t="inlineStr">
        <is>
          <t>RICE 7 radiators (5)</t>
        </is>
      </c>
      <c r="B1445" s="12" t="inlineStr"/>
      <c r="C1445" s="12" t="inlineStr">
        <is>
          <t>I</t>
        </is>
      </c>
      <c r="D1445" s="12" t="inlineStr">
        <is>
          <t>Motor 5 of 5, 30 kW (VFD output)</t>
        </is>
      </c>
      <c r="E1445" s="12" t="n">
        <v>480</v>
      </c>
      <c r="F1445" s="12" t="n">
        <v>30</v>
      </c>
      <c r="G1445" s="12" t="n">
        <v>42</v>
      </c>
      <c r="H1445" s="12" t="inlineStr">
        <is>
          <t>PCM: power control module</t>
        </is>
      </c>
      <c r="I1445" s="12" t="inlineStr">
        <is>
          <t>LV 600 V</t>
        </is>
      </c>
      <c r="J1445" s="12" t="inlineStr">
        <is>
          <t>6</t>
        </is>
      </c>
      <c r="K1445" s="12" t="n">
        <v>1</v>
      </c>
    </row>
    <row r="1446">
      <c r="A1446" s="12" t="inlineStr">
        <is>
          <t>RICE 8 SCR + oxidation catalyst and stack</t>
        </is>
      </c>
      <c r="B1446" s="12" t="inlineStr"/>
      <c r="C1446" s="12" t="inlineStr">
        <is>
          <t>I</t>
        </is>
      </c>
      <c r="D1446" s="12" t="inlineStr">
        <is>
          <t>Motor 1 of 1, 15 kW</t>
        </is>
      </c>
      <c r="E1446" s="12" t="n">
        <v>480</v>
      </c>
      <c r="F1446" s="12" t="n">
        <v>15</v>
      </c>
      <c r="G1446" s="12" t="n">
        <v>21.2</v>
      </c>
      <c r="H1446" s="12" t="inlineStr">
        <is>
          <t>PCM: power control module</t>
        </is>
      </c>
      <c r="I1446" s="12" t="inlineStr">
        <is>
          <t>LV 600 V</t>
        </is>
      </c>
      <c r="J1446" s="12" t="inlineStr">
        <is>
          <t>8</t>
        </is>
      </c>
      <c r="K1446" s="12" t="n">
        <v>1</v>
      </c>
    </row>
    <row r="1447">
      <c r="A1447" s="12" t="inlineStr">
        <is>
          <t>RICE 8 SCR + oxidation catalyst and stack</t>
        </is>
      </c>
      <c r="B1447" s="12" t="inlineStr"/>
      <c r="C1447" s="12" t="inlineStr">
        <is>
          <t>I</t>
        </is>
      </c>
      <c r="D1447" s="12" t="inlineStr">
        <is>
          <t>Area / platform lighting circuit 1 (6 fixtures)</t>
        </is>
      </c>
      <c r="E1447" s="12" t="n">
        <v>480</v>
      </c>
      <c r="F1447" s="12" t="n">
        <v>3</v>
      </c>
      <c r="G1447" s="12" t="n">
        <v>5</v>
      </c>
      <c r="H1447" s="12" t="inlineStr">
        <is>
          <t>PCM: power control module</t>
        </is>
      </c>
      <c r="I1447" s="12" t="inlineStr">
        <is>
          <t>LV 600 V</t>
        </is>
      </c>
      <c r="J1447" s="12" t="inlineStr">
        <is>
          <t>10</t>
        </is>
      </c>
      <c r="K1447" s="12" t="n">
        <v>1</v>
      </c>
    </row>
    <row r="1448">
      <c r="A1448" s="12" t="inlineStr">
        <is>
          <t>RICE 8 radiators (5)</t>
        </is>
      </c>
      <c r="B1448" s="12" t="inlineStr"/>
      <c r="C1448" s="12" t="inlineStr">
        <is>
          <t>I</t>
        </is>
      </c>
      <c r="D1448" s="12" t="inlineStr">
        <is>
          <t>Motor 1 of 5, 30 kW (VFD output)</t>
        </is>
      </c>
      <c r="E1448" s="12" t="n">
        <v>480</v>
      </c>
      <c r="F1448" s="12" t="n">
        <v>30</v>
      </c>
      <c r="G1448" s="12" t="n">
        <v>42</v>
      </c>
      <c r="H1448" s="12" t="inlineStr">
        <is>
          <t>PCM: power control module</t>
        </is>
      </c>
      <c r="I1448" s="12" t="inlineStr">
        <is>
          <t>LV 600 V</t>
        </is>
      </c>
      <c r="J1448" s="12" t="inlineStr">
        <is>
          <t>6</t>
        </is>
      </c>
      <c r="K1448" s="12" t="n">
        <v>1</v>
      </c>
    </row>
    <row r="1449">
      <c r="A1449" s="12" t="inlineStr">
        <is>
          <t>RICE 8 radiators (5)</t>
        </is>
      </c>
      <c r="B1449" s="12" t="inlineStr"/>
      <c r="C1449" s="12" t="inlineStr">
        <is>
          <t>I</t>
        </is>
      </c>
      <c r="D1449" s="12" t="inlineStr">
        <is>
          <t>Motor 2 of 5, 30 kW (VFD output)</t>
        </is>
      </c>
      <c r="E1449" s="12" t="n">
        <v>480</v>
      </c>
      <c r="F1449" s="12" t="n">
        <v>30</v>
      </c>
      <c r="G1449" s="12" t="n">
        <v>42</v>
      </c>
      <c r="H1449" s="12" t="inlineStr">
        <is>
          <t>PCM: power control module</t>
        </is>
      </c>
      <c r="I1449" s="12" t="inlineStr">
        <is>
          <t>LV 600 V</t>
        </is>
      </c>
      <c r="J1449" s="12" t="inlineStr">
        <is>
          <t>6</t>
        </is>
      </c>
      <c r="K1449" s="12" t="n">
        <v>1</v>
      </c>
    </row>
    <row r="1450">
      <c r="A1450" s="12" t="inlineStr">
        <is>
          <t>RICE 8 radiators (5)</t>
        </is>
      </c>
      <c r="B1450" s="12" t="inlineStr"/>
      <c r="C1450" s="12" t="inlineStr">
        <is>
          <t>I</t>
        </is>
      </c>
      <c r="D1450" s="12" t="inlineStr">
        <is>
          <t>Motor 3 of 5, 30 kW (VFD output)</t>
        </is>
      </c>
      <c r="E1450" s="12" t="n">
        <v>480</v>
      </c>
      <c r="F1450" s="12" t="n">
        <v>30</v>
      </c>
      <c r="G1450" s="12" t="n">
        <v>42</v>
      </c>
      <c r="H1450" s="12" t="inlineStr">
        <is>
          <t>PCM: power control module</t>
        </is>
      </c>
      <c r="I1450" s="12" t="inlineStr">
        <is>
          <t>LV 600 V</t>
        </is>
      </c>
      <c r="J1450" s="12" t="inlineStr">
        <is>
          <t>6</t>
        </is>
      </c>
      <c r="K1450" s="12" t="n">
        <v>1</v>
      </c>
    </row>
    <row r="1451">
      <c r="A1451" s="12" t="inlineStr">
        <is>
          <t>RICE 8 radiators (5)</t>
        </is>
      </c>
      <c r="B1451" s="12" t="inlineStr"/>
      <c r="C1451" s="12" t="inlineStr">
        <is>
          <t>I</t>
        </is>
      </c>
      <c r="D1451" s="12" t="inlineStr">
        <is>
          <t>Motor 4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8 radiators (5)</t>
        </is>
      </c>
      <c r="B1452" s="12" t="inlineStr"/>
      <c r="C1452" s="12" t="inlineStr">
        <is>
          <t>I</t>
        </is>
      </c>
      <c r="D1452" s="12" t="inlineStr">
        <is>
          <t>Motor 5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CEMS</t>
        </is>
      </c>
      <c r="B1453" s="12" t="inlineStr"/>
      <c r="C1453" s="12" t="inlineStr">
        <is>
          <t>I</t>
        </is>
      </c>
      <c r="D1453" s="12" t="inlineStr">
        <is>
          <t>LV panel / distribution feeder</t>
        </is>
      </c>
      <c r="E1453" s="12" t="n">
        <v>480</v>
      </c>
      <c r="F1453" s="12" t="n">
        <v>30</v>
      </c>
      <c r="G1453" s="12" t="n">
        <v>42.5</v>
      </c>
      <c r="H1453" s="12" t="inlineStr">
        <is>
          <t>PCM: power control module</t>
        </is>
      </c>
      <c r="I1453" s="12" t="inlineStr">
        <is>
          <t>LV 600 V</t>
        </is>
      </c>
      <c r="J1453" s="12" t="inlineStr">
        <is>
          <t>4</t>
        </is>
      </c>
      <c r="K1453" s="12" t="n">
        <v>1</v>
      </c>
    </row>
    <row r="1454">
      <c r="A1454" s="12" t="inlineStr">
        <is>
          <t>RICE engine hall (8 engines)</t>
        </is>
      </c>
      <c r="B1454" s="12" t="inlineStr">
        <is>
          <t>RICE</t>
        </is>
      </c>
      <c r="C1454" s="12" t="inlineStr">
        <is>
          <t>I</t>
        </is>
      </c>
      <c r="D1454" s="12" t="inlineStr">
        <is>
          <t>LV power feeder</t>
        </is>
      </c>
      <c r="E1454" s="12" t="n">
        <v>480</v>
      </c>
      <c r="F1454" s="12" t="n">
        <v>15</v>
      </c>
      <c r="G1454" s="12" t="n">
        <v>21.2</v>
      </c>
      <c r="H1454" s="12" t="inlineStr">
        <is>
          <t>PCM: power control module</t>
        </is>
      </c>
      <c r="I1454" s="12" t="inlineStr">
        <is>
          <t>LV 600 V</t>
        </is>
      </c>
      <c r="J1454" s="12" t="inlineStr">
        <is>
          <t>8</t>
        </is>
      </c>
      <c r="K1454" s="12" t="n">
        <v>1</v>
      </c>
    </row>
    <row r="1455">
      <c r="A1455" s="12" t="inlineStr">
        <is>
          <t>RICE engine-generator 1</t>
        </is>
      </c>
      <c r="B1455" s="12" t="inlineStr">
        <is>
          <t>RICE-1</t>
        </is>
      </c>
      <c r="C1455" s="12" t="inlineStr">
        <is>
          <t>I</t>
        </is>
      </c>
      <c r="D1455" s="12" t="inlineStr">
        <is>
          <t>Motor 1 of 6, 22 kW</t>
        </is>
      </c>
      <c r="E1455" s="12" t="n">
        <v>480</v>
      </c>
      <c r="F1455" s="12" t="n">
        <v>22</v>
      </c>
      <c r="G1455" s="12" t="n">
        <v>31.1</v>
      </c>
      <c r="H1455" s="12" t="inlineStr">
        <is>
          <t>PCM: power control module</t>
        </is>
      </c>
      <c r="I1455" s="12" t="inlineStr">
        <is>
          <t>LV 600 V</t>
        </is>
      </c>
      <c r="J1455" s="12" t="inlineStr">
        <is>
          <t>4</t>
        </is>
      </c>
      <c r="K1455" s="12" t="n">
        <v>1</v>
      </c>
    </row>
    <row r="1456">
      <c r="A1456" s="12" t="inlineStr">
        <is>
          <t>RICE engine-generator 1</t>
        </is>
      </c>
      <c r="B1456" s="12" t="inlineStr">
        <is>
          <t>RICE-1</t>
        </is>
      </c>
      <c r="C1456" s="12" t="inlineStr">
        <is>
          <t>I</t>
        </is>
      </c>
      <c r="D1456" s="12" t="inlineStr">
        <is>
          <t>Motor 2 of 6, 22 kW</t>
        </is>
      </c>
      <c r="E1456" s="12" t="n">
        <v>480</v>
      </c>
      <c r="F1456" s="12" t="n">
        <v>22</v>
      </c>
      <c r="G1456" s="12" t="n">
        <v>31.1</v>
      </c>
      <c r="H1456" s="12" t="inlineStr">
        <is>
          <t>PCM: power control module</t>
        </is>
      </c>
      <c r="I1456" s="12" t="inlineStr">
        <is>
          <t>LV 600 V</t>
        </is>
      </c>
      <c r="J1456" s="12" t="inlineStr">
        <is>
          <t>4</t>
        </is>
      </c>
      <c r="K1456" s="12" t="n">
        <v>1</v>
      </c>
    </row>
    <row r="1457">
      <c r="A1457" s="12" t="inlineStr">
        <is>
          <t>RICE engine-generator 1</t>
        </is>
      </c>
      <c r="B1457" s="12" t="inlineStr">
        <is>
          <t>RICE-1</t>
        </is>
      </c>
      <c r="C1457" s="12" t="inlineStr">
        <is>
          <t>I</t>
        </is>
      </c>
      <c r="D1457" s="12" t="inlineStr">
        <is>
          <t>Motor 3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1</t>
        </is>
      </c>
      <c r="B1458" s="12" t="inlineStr">
        <is>
          <t>RICE-1</t>
        </is>
      </c>
      <c r="C1458" s="12" t="inlineStr">
        <is>
          <t>I</t>
        </is>
      </c>
      <c r="D1458" s="12" t="inlineStr">
        <is>
          <t>Motor 4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1</t>
        </is>
      </c>
      <c r="B1459" s="12" t="inlineStr">
        <is>
          <t>RICE-1</t>
        </is>
      </c>
      <c r="C1459" s="12" t="inlineStr">
        <is>
          <t>I</t>
        </is>
      </c>
      <c r="D1459" s="12" t="inlineStr">
        <is>
          <t>Motor 5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1</t>
        </is>
      </c>
      <c r="B1460" s="12" t="inlineStr">
        <is>
          <t>RICE-1</t>
        </is>
      </c>
      <c r="C1460" s="12" t="inlineStr">
        <is>
          <t>I</t>
        </is>
      </c>
      <c r="D1460" s="12" t="inlineStr">
        <is>
          <t>Motor 6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1</t>
        </is>
      </c>
      <c r="B1461" s="12" t="inlineStr">
        <is>
          <t>RICE-1</t>
        </is>
      </c>
      <c r="C1461" s="12" t="inlineStr">
        <is>
          <t>I</t>
        </is>
      </c>
      <c r="D1461" s="12" t="inlineStr">
        <is>
          <t>480 V welding receptacle 1</t>
        </is>
      </c>
      <c r="E1461" s="12" t="n">
        <v>480</v>
      </c>
      <c r="F1461" s="12" t="n">
        <v>60</v>
      </c>
      <c r="G1461" s="12" t="n">
        <v>76</v>
      </c>
      <c r="H1461" s="12" t="inlineStr">
        <is>
          <t>PCM: power control module</t>
        </is>
      </c>
      <c r="I1461" s="12" t="inlineStr">
        <is>
          <t>LV 600 V</t>
        </is>
      </c>
      <c r="J1461" s="12" t="inlineStr">
        <is>
          <t>1/0</t>
        </is>
      </c>
      <c r="K1461" s="12" t="n">
        <v>1</v>
      </c>
    </row>
    <row r="1462">
      <c r="A1462" s="12" t="inlineStr">
        <is>
          <t>RICE engine-generator 1</t>
        </is>
      </c>
      <c r="B1462" s="12" t="inlineStr">
        <is>
          <t>RICE-1</t>
        </is>
      </c>
      <c r="C1462" s="12" t="inlineStr">
        <is>
          <t>I</t>
        </is>
      </c>
      <c r="D1462" s="12" t="inlineStr">
        <is>
          <t>480 V welding receptacle 2</t>
        </is>
      </c>
      <c r="E1462" s="12" t="n">
        <v>480</v>
      </c>
      <c r="F1462" s="12" t="n">
        <v>60</v>
      </c>
      <c r="G1462" s="12" t="n">
        <v>76</v>
      </c>
      <c r="H1462" s="12" t="inlineStr">
        <is>
          <t>PCM: power control module</t>
        </is>
      </c>
      <c r="I1462" s="12" t="inlineStr">
        <is>
          <t>LV 600 V</t>
        </is>
      </c>
      <c r="J1462" s="12" t="inlineStr">
        <is>
          <t>1/0</t>
        </is>
      </c>
      <c r="K1462" s="12" t="n">
        <v>1</v>
      </c>
    </row>
    <row r="1463">
      <c r="A1463" s="12" t="inlineStr">
        <is>
          <t>RICE engine-generator 1</t>
        </is>
      </c>
      <c r="B1463" s="12" t="inlineStr">
        <is>
          <t>RICE-1</t>
        </is>
      </c>
      <c r="C1463" s="12" t="inlineStr">
        <is>
          <t>I</t>
        </is>
      </c>
      <c r="D1463" s="12" t="inlineStr">
        <is>
          <t>480 V welding receptacle 3</t>
        </is>
      </c>
      <c r="E1463" s="12" t="n">
        <v>480</v>
      </c>
      <c r="F1463" s="12" t="n">
        <v>60</v>
      </c>
      <c r="G1463" s="12" t="n">
        <v>76</v>
      </c>
      <c r="H1463" s="12" t="inlineStr">
        <is>
          <t>PCM: power control module</t>
        </is>
      </c>
      <c r="I1463" s="12" t="inlineStr">
        <is>
          <t>LV 600 V</t>
        </is>
      </c>
      <c r="J1463" s="12" t="inlineStr">
        <is>
          <t>1/0</t>
        </is>
      </c>
      <c r="K1463" s="12" t="n">
        <v>1</v>
      </c>
    </row>
    <row r="1464">
      <c r="A1464" s="12" t="inlineStr">
        <is>
          <t>RICE engine-generator 1</t>
        </is>
      </c>
      <c r="B1464" s="12" t="inlineStr">
        <is>
          <t>RICE-1</t>
        </is>
      </c>
      <c r="C1464" s="12" t="inlineStr">
        <is>
          <t>I</t>
        </is>
      </c>
      <c r="D1464" s="12" t="inlineStr">
        <is>
          <t>480 V welding receptacle 4</t>
        </is>
      </c>
      <c r="E1464" s="12" t="n">
        <v>480</v>
      </c>
      <c r="F1464" s="12" t="n">
        <v>60</v>
      </c>
      <c r="G1464" s="12" t="n">
        <v>76</v>
      </c>
      <c r="H1464" s="12" t="inlineStr">
        <is>
          <t>PCM: power control module</t>
        </is>
      </c>
      <c r="I1464" s="12" t="inlineStr">
        <is>
          <t>LV 600 V</t>
        </is>
      </c>
      <c r="J1464" s="12" t="inlineStr">
        <is>
          <t>1/0</t>
        </is>
      </c>
      <c r="K1464" s="12" t="n">
        <v>1</v>
      </c>
    </row>
    <row r="1465">
      <c r="A1465" s="12" t="inlineStr">
        <is>
          <t>RICE engine-generator 2</t>
        </is>
      </c>
      <c r="B1465" s="12" t="inlineStr">
        <is>
          <t>RICE-2</t>
        </is>
      </c>
      <c r="C1465" s="12" t="inlineStr">
        <is>
          <t>I</t>
        </is>
      </c>
      <c r="D1465" s="12" t="inlineStr">
        <is>
          <t>Motor 1 of 6, 22 kW</t>
        </is>
      </c>
      <c r="E1465" s="12" t="n">
        <v>480</v>
      </c>
      <c r="F1465" s="12" t="n">
        <v>22</v>
      </c>
      <c r="G1465" s="12" t="n">
        <v>31.1</v>
      </c>
      <c r="H1465" s="12" t="inlineStr">
        <is>
          <t>PCM: power control module</t>
        </is>
      </c>
      <c r="I1465" s="12" t="inlineStr">
        <is>
          <t>LV 600 V</t>
        </is>
      </c>
      <c r="J1465" s="12" t="inlineStr">
        <is>
          <t>4</t>
        </is>
      </c>
      <c r="K1465" s="12" t="n">
        <v>1</v>
      </c>
    </row>
    <row r="1466">
      <c r="A1466" s="12" t="inlineStr">
        <is>
          <t>RICE engine-generator 2</t>
        </is>
      </c>
      <c r="B1466" s="12" t="inlineStr">
        <is>
          <t>RICE-2</t>
        </is>
      </c>
      <c r="C1466" s="12" t="inlineStr">
        <is>
          <t>I</t>
        </is>
      </c>
      <c r="D1466" s="12" t="inlineStr">
        <is>
          <t>Motor 2 of 6, 22 kW</t>
        </is>
      </c>
      <c r="E1466" s="12" t="n">
        <v>480</v>
      </c>
      <c r="F1466" s="12" t="n">
        <v>22</v>
      </c>
      <c r="G1466" s="12" t="n">
        <v>31.1</v>
      </c>
      <c r="H1466" s="12" t="inlineStr">
        <is>
          <t>PCM: power control module</t>
        </is>
      </c>
      <c r="I1466" s="12" t="inlineStr">
        <is>
          <t>LV 600 V</t>
        </is>
      </c>
      <c r="J1466" s="12" t="inlineStr">
        <is>
          <t>4</t>
        </is>
      </c>
      <c r="K1466" s="12" t="n">
        <v>1</v>
      </c>
    </row>
    <row r="1467">
      <c r="A1467" s="12" t="inlineStr">
        <is>
          <t>RICE engine-generator 2</t>
        </is>
      </c>
      <c r="B1467" s="12" t="inlineStr">
        <is>
          <t>RICE-2</t>
        </is>
      </c>
      <c r="C1467" s="12" t="inlineStr">
        <is>
          <t>I</t>
        </is>
      </c>
      <c r="D1467" s="12" t="inlineStr">
        <is>
          <t>Motor 3 of 6, 22 kW</t>
        </is>
      </c>
      <c r="E1467" s="12" t="n">
        <v>480</v>
      </c>
      <c r="F1467" s="12" t="n">
        <v>22</v>
      </c>
      <c r="G1467" s="12" t="n">
        <v>31.1</v>
      </c>
      <c r="H1467" s="12" t="inlineStr">
        <is>
          <t>PCM: power control module</t>
        </is>
      </c>
      <c r="I1467" s="12" t="inlineStr">
        <is>
          <t>LV 600 V</t>
        </is>
      </c>
      <c r="J1467" s="12" t="inlineStr">
        <is>
          <t>4</t>
        </is>
      </c>
      <c r="K1467" s="12" t="n">
        <v>1</v>
      </c>
    </row>
    <row r="1468">
      <c r="A1468" s="12" t="inlineStr">
        <is>
          <t>RICE engine-generator 2</t>
        </is>
      </c>
      <c r="B1468" s="12" t="inlineStr">
        <is>
          <t>RICE-2</t>
        </is>
      </c>
      <c r="C1468" s="12" t="inlineStr">
        <is>
          <t>I</t>
        </is>
      </c>
      <c r="D1468" s="12" t="inlineStr">
        <is>
          <t>Motor 4 of 6, 22 kW</t>
        </is>
      </c>
      <c r="E1468" s="12" t="n">
        <v>480</v>
      </c>
      <c r="F1468" s="12" t="n">
        <v>22</v>
      </c>
      <c r="G1468" s="12" t="n">
        <v>31.1</v>
      </c>
      <c r="H1468" s="12" t="inlineStr">
        <is>
          <t>PCM: power control module</t>
        </is>
      </c>
      <c r="I1468" s="12" t="inlineStr">
        <is>
          <t>LV 600 V</t>
        </is>
      </c>
      <c r="J1468" s="12" t="inlineStr">
        <is>
          <t>4</t>
        </is>
      </c>
      <c r="K1468" s="12" t="n">
        <v>1</v>
      </c>
    </row>
    <row r="1469">
      <c r="A1469" s="12" t="inlineStr">
        <is>
          <t>RICE engine-generator 2</t>
        </is>
      </c>
      <c r="B1469" s="12" t="inlineStr">
        <is>
          <t>RICE-2</t>
        </is>
      </c>
      <c r="C1469" s="12" t="inlineStr">
        <is>
          <t>I</t>
        </is>
      </c>
      <c r="D1469" s="12" t="inlineStr">
        <is>
          <t>Motor 5 of 6, 22 kW</t>
        </is>
      </c>
      <c r="E1469" s="12" t="n">
        <v>480</v>
      </c>
      <c r="F1469" s="12" t="n">
        <v>22</v>
      </c>
      <c r="G1469" s="12" t="n">
        <v>31.1</v>
      </c>
      <c r="H1469" s="12" t="inlineStr">
        <is>
          <t>PCM: power control module</t>
        </is>
      </c>
      <c r="I1469" s="12" t="inlineStr">
        <is>
          <t>LV 600 V</t>
        </is>
      </c>
      <c r="J1469" s="12" t="inlineStr">
        <is>
          <t>4</t>
        </is>
      </c>
      <c r="K1469" s="12" t="n">
        <v>1</v>
      </c>
    </row>
    <row r="1470">
      <c r="A1470" s="12" t="inlineStr">
        <is>
          <t>RICE engine-generator 2</t>
        </is>
      </c>
      <c r="B1470" s="12" t="inlineStr">
        <is>
          <t>RICE-2</t>
        </is>
      </c>
      <c r="C1470" s="12" t="inlineStr">
        <is>
          <t>I</t>
        </is>
      </c>
      <c r="D1470" s="12" t="inlineStr">
        <is>
          <t>Motor 6 of 6, 22 kW</t>
        </is>
      </c>
      <c r="E1470" s="12" t="n">
        <v>480</v>
      </c>
      <c r="F1470" s="12" t="n">
        <v>22</v>
      </c>
      <c r="G1470" s="12" t="n">
        <v>31.1</v>
      </c>
      <c r="H1470" s="12" t="inlineStr">
        <is>
          <t>PCM: power control module</t>
        </is>
      </c>
      <c r="I1470" s="12" t="inlineStr">
        <is>
          <t>LV 600 V</t>
        </is>
      </c>
      <c r="J1470" s="12" t="inlineStr">
        <is>
          <t>4</t>
        </is>
      </c>
      <c r="K1470" s="12" t="n">
        <v>1</v>
      </c>
    </row>
    <row r="1471">
      <c r="A1471" s="12" t="inlineStr">
        <is>
          <t>RICE engine-generator 2</t>
        </is>
      </c>
      <c r="B1471" s="12" t="inlineStr">
        <is>
          <t>RICE-2</t>
        </is>
      </c>
      <c r="C1471" s="12" t="inlineStr">
        <is>
          <t>I</t>
        </is>
      </c>
      <c r="D1471" s="12" t="inlineStr">
        <is>
          <t>480 V welding receptacle 1</t>
        </is>
      </c>
      <c r="E1471" s="12" t="n">
        <v>480</v>
      </c>
      <c r="F1471" s="12" t="n">
        <v>60</v>
      </c>
      <c r="G1471" s="12" t="n">
        <v>76</v>
      </c>
      <c r="H1471" s="12" t="inlineStr">
        <is>
          <t>PCM: power control module</t>
        </is>
      </c>
      <c r="I1471" s="12" t="inlineStr">
        <is>
          <t>LV 600 V</t>
        </is>
      </c>
      <c r="J1471" s="12" t="inlineStr">
        <is>
          <t>1/0</t>
        </is>
      </c>
      <c r="K1471" s="12" t="n">
        <v>1</v>
      </c>
    </row>
    <row r="1472">
      <c r="A1472" s="12" t="inlineStr">
        <is>
          <t>RICE engine-generator 2</t>
        </is>
      </c>
      <c r="B1472" s="12" t="inlineStr">
        <is>
          <t>RICE-2</t>
        </is>
      </c>
      <c r="C1472" s="12" t="inlineStr">
        <is>
          <t>I</t>
        </is>
      </c>
      <c r="D1472" s="12" t="inlineStr">
        <is>
          <t>480 V welding receptacle 2</t>
        </is>
      </c>
      <c r="E1472" s="12" t="n">
        <v>480</v>
      </c>
      <c r="F1472" s="12" t="n">
        <v>60</v>
      </c>
      <c r="G1472" s="12" t="n">
        <v>76</v>
      </c>
      <c r="H1472" s="12" t="inlineStr">
        <is>
          <t>PCM: power control module</t>
        </is>
      </c>
      <c r="I1472" s="12" t="inlineStr">
        <is>
          <t>LV 600 V</t>
        </is>
      </c>
      <c r="J1472" s="12" t="inlineStr">
        <is>
          <t>1/0</t>
        </is>
      </c>
      <c r="K1472" s="12" t="n">
        <v>1</v>
      </c>
    </row>
    <row r="1473">
      <c r="A1473" s="12" t="inlineStr">
        <is>
          <t>RICE engine-generator 2</t>
        </is>
      </c>
      <c r="B1473" s="12" t="inlineStr">
        <is>
          <t>RICE-2</t>
        </is>
      </c>
      <c r="C1473" s="12" t="inlineStr">
        <is>
          <t>I</t>
        </is>
      </c>
      <c r="D1473" s="12" t="inlineStr">
        <is>
          <t>480 V welding receptacle 3</t>
        </is>
      </c>
      <c r="E1473" s="12" t="n">
        <v>480</v>
      </c>
      <c r="F1473" s="12" t="n">
        <v>60</v>
      </c>
      <c r="G1473" s="12" t="n">
        <v>76</v>
      </c>
      <c r="H1473" s="12" t="inlineStr">
        <is>
          <t>PCM: power control module</t>
        </is>
      </c>
      <c r="I1473" s="12" t="inlineStr">
        <is>
          <t>LV 600 V</t>
        </is>
      </c>
      <c r="J1473" s="12" t="inlineStr">
        <is>
          <t>1/0</t>
        </is>
      </c>
      <c r="K1473" s="12" t="n">
        <v>1</v>
      </c>
    </row>
    <row r="1474">
      <c r="A1474" s="12" t="inlineStr">
        <is>
          <t>RICE engine-generator 2</t>
        </is>
      </c>
      <c r="B1474" s="12" t="inlineStr">
        <is>
          <t>RICE-2</t>
        </is>
      </c>
      <c r="C1474" s="12" t="inlineStr">
        <is>
          <t>I</t>
        </is>
      </c>
      <c r="D1474" s="12" t="inlineStr">
        <is>
          <t>480 V welding receptacle 4</t>
        </is>
      </c>
      <c r="E1474" s="12" t="n">
        <v>480</v>
      </c>
      <c r="F1474" s="12" t="n">
        <v>60</v>
      </c>
      <c r="G1474" s="12" t="n">
        <v>76</v>
      </c>
      <c r="H1474" s="12" t="inlineStr">
        <is>
          <t>PCM: power control module</t>
        </is>
      </c>
      <c r="I1474" s="12" t="inlineStr">
        <is>
          <t>LV 600 V</t>
        </is>
      </c>
      <c r="J1474" s="12" t="inlineStr">
        <is>
          <t>1/0</t>
        </is>
      </c>
      <c r="K1474" s="12" t="n">
        <v>1</v>
      </c>
    </row>
    <row r="1475">
      <c r="A1475" s="12" t="inlineStr">
        <is>
          <t>RICE engine-generator 3</t>
        </is>
      </c>
      <c r="B1475" s="12" t="inlineStr">
        <is>
          <t>RICE-3</t>
        </is>
      </c>
      <c r="C1475" s="12" t="inlineStr">
        <is>
          <t>I</t>
        </is>
      </c>
      <c r="D1475" s="12" t="inlineStr">
        <is>
          <t>Motor 1 of 6, 22 kW</t>
        </is>
      </c>
      <c r="E1475" s="12" t="n">
        <v>480</v>
      </c>
      <c r="F1475" s="12" t="n">
        <v>22</v>
      </c>
      <c r="G1475" s="12" t="n">
        <v>31.1</v>
      </c>
      <c r="H1475" s="12" t="inlineStr">
        <is>
          <t>PCM: power control module</t>
        </is>
      </c>
      <c r="I1475" s="12" t="inlineStr">
        <is>
          <t>LV 600 V</t>
        </is>
      </c>
      <c r="J1475" s="12" t="inlineStr">
        <is>
          <t>4</t>
        </is>
      </c>
      <c r="K1475" s="12" t="n">
        <v>1</v>
      </c>
    </row>
    <row r="1476">
      <c r="A1476" s="12" t="inlineStr">
        <is>
          <t>RICE engine-generator 3</t>
        </is>
      </c>
      <c r="B1476" s="12" t="inlineStr">
        <is>
          <t>RICE-3</t>
        </is>
      </c>
      <c r="C1476" s="12" t="inlineStr">
        <is>
          <t>I</t>
        </is>
      </c>
      <c r="D1476" s="12" t="inlineStr">
        <is>
          <t>Motor 2 of 6, 22 kW</t>
        </is>
      </c>
      <c r="E1476" s="12" t="n">
        <v>480</v>
      </c>
      <c r="F1476" s="12" t="n">
        <v>22</v>
      </c>
      <c r="G1476" s="12" t="n">
        <v>31.1</v>
      </c>
      <c r="H1476" s="12" t="inlineStr">
        <is>
          <t>PCM: power control module</t>
        </is>
      </c>
      <c r="I1476" s="12" t="inlineStr">
        <is>
          <t>LV 600 V</t>
        </is>
      </c>
      <c r="J1476" s="12" t="inlineStr">
        <is>
          <t>4</t>
        </is>
      </c>
      <c r="K1476" s="12" t="n">
        <v>1</v>
      </c>
    </row>
    <row r="1477">
      <c r="A1477" s="12" t="inlineStr">
        <is>
          <t>RICE engine-generator 3</t>
        </is>
      </c>
      <c r="B1477" s="12" t="inlineStr">
        <is>
          <t>RICE-3</t>
        </is>
      </c>
      <c r="C1477" s="12" t="inlineStr">
        <is>
          <t>I</t>
        </is>
      </c>
      <c r="D1477" s="12" t="inlineStr">
        <is>
          <t>Motor 3 of 6, 22 kW</t>
        </is>
      </c>
      <c r="E1477" s="12" t="n">
        <v>480</v>
      </c>
      <c r="F1477" s="12" t="n">
        <v>22</v>
      </c>
      <c r="G1477" s="12" t="n">
        <v>31.1</v>
      </c>
      <c r="H1477" s="12" t="inlineStr">
        <is>
          <t>PCM: power control module</t>
        </is>
      </c>
      <c r="I1477" s="12" t="inlineStr">
        <is>
          <t>LV 600 V</t>
        </is>
      </c>
      <c r="J1477" s="12" t="inlineStr">
        <is>
          <t>4</t>
        </is>
      </c>
      <c r="K1477" s="12" t="n">
        <v>1</v>
      </c>
    </row>
    <row r="1478">
      <c r="A1478" s="12" t="inlineStr">
        <is>
          <t>RICE engine-generator 3</t>
        </is>
      </c>
      <c r="B1478" s="12" t="inlineStr">
        <is>
          <t>RICE-3</t>
        </is>
      </c>
      <c r="C1478" s="12" t="inlineStr">
        <is>
          <t>I</t>
        </is>
      </c>
      <c r="D1478" s="12" t="inlineStr">
        <is>
          <t>Motor 4 of 6, 22 kW</t>
        </is>
      </c>
      <c r="E1478" s="12" t="n">
        <v>480</v>
      </c>
      <c r="F1478" s="12" t="n">
        <v>22</v>
      </c>
      <c r="G1478" s="12" t="n">
        <v>31.1</v>
      </c>
      <c r="H1478" s="12" t="inlineStr">
        <is>
          <t>PCM: power control module</t>
        </is>
      </c>
      <c r="I1478" s="12" t="inlineStr">
        <is>
          <t>LV 600 V</t>
        </is>
      </c>
      <c r="J1478" s="12" t="inlineStr">
        <is>
          <t>4</t>
        </is>
      </c>
      <c r="K1478" s="12" t="n">
        <v>1</v>
      </c>
    </row>
    <row r="1479">
      <c r="A1479" s="12" t="inlineStr">
        <is>
          <t>RICE engine-generator 3</t>
        </is>
      </c>
      <c r="B1479" s="12" t="inlineStr">
        <is>
          <t>RICE-3</t>
        </is>
      </c>
      <c r="C1479" s="12" t="inlineStr">
        <is>
          <t>I</t>
        </is>
      </c>
      <c r="D1479" s="12" t="inlineStr">
        <is>
          <t>Motor 5 of 6, 22 kW</t>
        </is>
      </c>
      <c r="E1479" s="12" t="n">
        <v>480</v>
      </c>
      <c r="F1479" s="12" t="n">
        <v>22</v>
      </c>
      <c r="G1479" s="12" t="n">
        <v>31.1</v>
      </c>
      <c r="H1479" s="12" t="inlineStr">
        <is>
          <t>PCM: power control module</t>
        </is>
      </c>
      <c r="I1479" s="12" t="inlineStr">
        <is>
          <t>LV 600 V</t>
        </is>
      </c>
      <c r="J1479" s="12" t="inlineStr">
        <is>
          <t>4</t>
        </is>
      </c>
      <c r="K1479" s="12" t="n">
        <v>1</v>
      </c>
    </row>
    <row r="1480">
      <c r="A1480" s="12" t="inlineStr">
        <is>
          <t>RICE engine-generator 3</t>
        </is>
      </c>
      <c r="B1480" s="12" t="inlineStr">
        <is>
          <t>RICE-3</t>
        </is>
      </c>
      <c r="C1480" s="12" t="inlineStr">
        <is>
          <t>I</t>
        </is>
      </c>
      <c r="D1480" s="12" t="inlineStr">
        <is>
          <t>Motor 6 of 6, 22 kW</t>
        </is>
      </c>
      <c r="E1480" s="12" t="n">
        <v>480</v>
      </c>
      <c r="F1480" s="12" t="n">
        <v>22</v>
      </c>
      <c r="G1480" s="12" t="n">
        <v>31.1</v>
      </c>
      <c r="H1480" s="12" t="inlineStr">
        <is>
          <t>PCM: power control module</t>
        </is>
      </c>
      <c r="I1480" s="12" t="inlineStr">
        <is>
          <t>LV 600 V</t>
        </is>
      </c>
      <c r="J1480" s="12" t="inlineStr">
        <is>
          <t>4</t>
        </is>
      </c>
      <c r="K1480" s="12" t="n">
        <v>1</v>
      </c>
    </row>
    <row r="1481">
      <c r="A1481" s="12" t="inlineStr">
        <is>
          <t>RICE engine-generator 3</t>
        </is>
      </c>
      <c r="B1481" s="12" t="inlineStr">
        <is>
          <t>RICE-3</t>
        </is>
      </c>
      <c r="C1481" s="12" t="inlineStr">
        <is>
          <t>I</t>
        </is>
      </c>
      <c r="D1481" s="12" t="inlineStr">
        <is>
          <t>480 V welding receptacle 1</t>
        </is>
      </c>
      <c r="E1481" s="12" t="n">
        <v>480</v>
      </c>
      <c r="F1481" s="12" t="n">
        <v>60</v>
      </c>
      <c r="G1481" s="12" t="n">
        <v>76</v>
      </c>
      <c r="H1481" s="12" t="inlineStr">
        <is>
          <t>PCM: power control module</t>
        </is>
      </c>
      <c r="I1481" s="12" t="inlineStr">
        <is>
          <t>LV 600 V</t>
        </is>
      </c>
      <c r="J1481" s="12" t="inlineStr">
        <is>
          <t>1</t>
        </is>
      </c>
      <c r="K1481" s="12" t="n">
        <v>1</v>
      </c>
    </row>
    <row r="1482">
      <c r="A1482" s="12" t="inlineStr">
        <is>
          <t>RICE engine-generator 3</t>
        </is>
      </c>
      <c r="B1482" s="12" t="inlineStr">
        <is>
          <t>RICE-3</t>
        </is>
      </c>
      <c r="C1482" s="12" t="inlineStr">
        <is>
          <t>I</t>
        </is>
      </c>
      <c r="D1482" s="12" t="inlineStr">
        <is>
          <t>480 V welding receptacle 2</t>
        </is>
      </c>
      <c r="E1482" s="12" t="n">
        <v>480</v>
      </c>
      <c r="F1482" s="12" t="n">
        <v>60</v>
      </c>
      <c r="G1482" s="12" t="n">
        <v>76</v>
      </c>
      <c r="H1482" s="12" t="inlineStr">
        <is>
          <t>PCM: power control module</t>
        </is>
      </c>
      <c r="I1482" s="12" t="inlineStr">
        <is>
          <t>LV 600 V</t>
        </is>
      </c>
      <c r="J1482" s="12" t="inlineStr">
        <is>
          <t>1</t>
        </is>
      </c>
      <c r="K1482" s="12" t="n">
        <v>1</v>
      </c>
    </row>
    <row r="1483">
      <c r="A1483" s="12" t="inlineStr">
        <is>
          <t>RICE engine-generator 3</t>
        </is>
      </c>
      <c r="B1483" s="12" t="inlineStr">
        <is>
          <t>RICE-3</t>
        </is>
      </c>
      <c r="C1483" s="12" t="inlineStr">
        <is>
          <t>I</t>
        </is>
      </c>
      <c r="D1483" s="12" t="inlineStr">
        <is>
          <t>480 V welding receptacle 3</t>
        </is>
      </c>
      <c r="E1483" s="12" t="n">
        <v>480</v>
      </c>
      <c r="F1483" s="12" t="n">
        <v>60</v>
      </c>
      <c r="G1483" s="12" t="n">
        <v>76</v>
      </c>
      <c r="H1483" s="12" t="inlineStr">
        <is>
          <t>PCM: power control module</t>
        </is>
      </c>
      <c r="I1483" s="12" t="inlineStr">
        <is>
          <t>LV 600 V</t>
        </is>
      </c>
      <c r="J1483" s="12" t="inlineStr">
        <is>
          <t>1</t>
        </is>
      </c>
      <c r="K1483" s="12" t="n">
        <v>1</v>
      </c>
    </row>
    <row r="1484">
      <c r="A1484" s="12" t="inlineStr">
        <is>
          <t>RICE engine-generator 3</t>
        </is>
      </c>
      <c r="B1484" s="12" t="inlineStr">
        <is>
          <t>RICE-3</t>
        </is>
      </c>
      <c r="C1484" s="12" t="inlineStr">
        <is>
          <t>I</t>
        </is>
      </c>
      <c r="D1484" s="12" t="inlineStr">
        <is>
          <t>480 V welding receptacle 4</t>
        </is>
      </c>
      <c r="E1484" s="12" t="n">
        <v>480</v>
      </c>
      <c r="F1484" s="12" t="n">
        <v>60</v>
      </c>
      <c r="G1484" s="12" t="n">
        <v>76</v>
      </c>
      <c r="H1484" s="12" t="inlineStr">
        <is>
          <t>PCM: power control module</t>
        </is>
      </c>
      <c r="I1484" s="12" t="inlineStr">
        <is>
          <t>LV 600 V</t>
        </is>
      </c>
      <c r="J1484" s="12" t="inlineStr">
        <is>
          <t>1</t>
        </is>
      </c>
      <c r="K1484" s="12" t="n">
        <v>1</v>
      </c>
    </row>
    <row r="1485">
      <c r="A1485" s="12" t="inlineStr">
        <is>
          <t>RICE engine-generator 4</t>
        </is>
      </c>
      <c r="B1485" s="12" t="inlineStr">
        <is>
          <t>RICE-4</t>
        </is>
      </c>
      <c r="C1485" s="12" t="inlineStr">
        <is>
          <t>I</t>
        </is>
      </c>
      <c r="D1485" s="12" t="inlineStr">
        <is>
          <t>Motor 1 of 6, 22 kW</t>
        </is>
      </c>
      <c r="E1485" s="12" t="n">
        <v>480</v>
      </c>
      <c r="F1485" s="12" t="n">
        <v>22</v>
      </c>
      <c r="G1485" s="12" t="n">
        <v>31.1</v>
      </c>
      <c r="H1485" s="12" t="inlineStr">
        <is>
          <t>PCM: power control module</t>
        </is>
      </c>
      <c r="I1485" s="12" t="inlineStr">
        <is>
          <t>LV 600 V</t>
        </is>
      </c>
      <c r="J1485" s="12" t="inlineStr">
        <is>
          <t>4</t>
        </is>
      </c>
      <c r="K1485" s="12" t="n">
        <v>1</v>
      </c>
    </row>
    <row r="1486">
      <c r="A1486" s="12" t="inlineStr">
        <is>
          <t>RICE engine-generator 4</t>
        </is>
      </c>
      <c r="B1486" s="12" t="inlineStr">
        <is>
          <t>RICE-4</t>
        </is>
      </c>
      <c r="C1486" s="12" t="inlineStr">
        <is>
          <t>I</t>
        </is>
      </c>
      <c r="D1486" s="12" t="inlineStr">
        <is>
          <t>Motor 2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4</t>
        </is>
      </c>
      <c r="B1487" s="12" t="inlineStr">
        <is>
          <t>RICE-4</t>
        </is>
      </c>
      <c r="C1487" s="12" t="inlineStr">
        <is>
          <t>I</t>
        </is>
      </c>
      <c r="D1487" s="12" t="inlineStr">
        <is>
          <t>Motor 3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4</t>
        </is>
      </c>
      <c r="B1488" s="12" t="inlineStr">
        <is>
          <t>RICE-4</t>
        </is>
      </c>
      <c r="C1488" s="12" t="inlineStr">
        <is>
          <t>I</t>
        </is>
      </c>
      <c r="D1488" s="12" t="inlineStr">
        <is>
          <t>Motor 4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4</t>
        </is>
      </c>
      <c r="B1489" s="12" t="inlineStr">
        <is>
          <t>RICE-4</t>
        </is>
      </c>
      <c r="C1489" s="12" t="inlineStr">
        <is>
          <t>I</t>
        </is>
      </c>
      <c r="D1489" s="12" t="inlineStr">
        <is>
          <t>Motor 5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4</t>
        </is>
      </c>
      <c r="B1490" s="12" t="inlineStr">
        <is>
          <t>RICE-4</t>
        </is>
      </c>
      <c r="C1490" s="12" t="inlineStr">
        <is>
          <t>I</t>
        </is>
      </c>
      <c r="D1490" s="12" t="inlineStr">
        <is>
          <t>Motor 6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4</t>
        </is>
      </c>
      <c r="B1491" s="12" t="inlineStr">
        <is>
          <t>RICE-4</t>
        </is>
      </c>
      <c r="C1491" s="12" t="inlineStr">
        <is>
          <t>I</t>
        </is>
      </c>
      <c r="D1491" s="12" t="inlineStr">
        <is>
          <t>480 V welding receptacle 1</t>
        </is>
      </c>
      <c r="E1491" s="12" t="n">
        <v>480</v>
      </c>
      <c r="F1491" s="12" t="n">
        <v>60</v>
      </c>
      <c r="G1491" s="12" t="n">
        <v>76</v>
      </c>
      <c r="H1491" s="12" t="inlineStr">
        <is>
          <t>PCM: power control module</t>
        </is>
      </c>
      <c r="I1491" s="12" t="inlineStr">
        <is>
          <t>LV 600 V</t>
        </is>
      </c>
      <c r="J1491" s="12" t="inlineStr">
        <is>
          <t>1</t>
        </is>
      </c>
      <c r="K1491" s="12" t="n">
        <v>1</v>
      </c>
    </row>
    <row r="1492">
      <c r="A1492" s="12" t="inlineStr">
        <is>
          <t>RICE engine-generator 4</t>
        </is>
      </c>
      <c r="B1492" s="12" t="inlineStr">
        <is>
          <t>RICE-4</t>
        </is>
      </c>
      <c r="C1492" s="12" t="inlineStr">
        <is>
          <t>I</t>
        </is>
      </c>
      <c r="D1492" s="12" t="inlineStr">
        <is>
          <t>480 V welding receptacle 2</t>
        </is>
      </c>
      <c r="E1492" s="12" t="n">
        <v>480</v>
      </c>
      <c r="F1492" s="12" t="n">
        <v>60</v>
      </c>
      <c r="G1492" s="12" t="n">
        <v>76</v>
      </c>
      <c r="H1492" s="12" t="inlineStr">
        <is>
          <t>PCM: power control module</t>
        </is>
      </c>
      <c r="I1492" s="12" t="inlineStr">
        <is>
          <t>LV 600 V</t>
        </is>
      </c>
      <c r="J1492" s="12" t="inlineStr">
        <is>
          <t>1</t>
        </is>
      </c>
      <c r="K1492" s="12" t="n">
        <v>1</v>
      </c>
    </row>
    <row r="1493">
      <c r="A1493" s="12" t="inlineStr">
        <is>
          <t>RICE engine-generator 4</t>
        </is>
      </c>
      <c r="B1493" s="12" t="inlineStr">
        <is>
          <t>RICE-4</t>
        </is>
      </c>
      <c r="C1493" s="12" t="inlineStr">
        <is>
          <t>I</t>
        </is>
      </c>
      <c r="D1493" s="12" t="inlineStr">
        <is>
          <t>480 V welding receptacle 3</t>
        </is>
      </c>
      <c r="E1493" s="12" t="n">
        <v>480</v>
      </c>
      <c r="F1493" s="12" t="n">
        <v>60</v>
      </c>
      <c r="G1493" s="12" t="n">
        <v>76</v>
      </c>
      <c r="H1493" s="12" t="inlineStr">
        <is>
          <t>PCM: power control module</t>
        </is>
      </c>
      <c r="I1493" s="12" t="inlineStr">
        <is>
          <t>LV 600 V</t>
        </is>
      </c>
      <c r="J1493" s="12" t="inlineStr">
        <is>
          <t>1</t>
        </is>
      </c>
      <c r="K1493" s="12" t="n">
        <v>1</v>
      </c>
    </row>
    <row r="1494">
      <c r="A1494" s="12" t="inlineStr">
        <is>
          <t>RICE engine-generator 4</t>
        </is>
      </c>
      <c r="B1494" s="12" t="inlineStr">
        <is>
          <t>RICE-4</t>
        </is>
      </c>
      <c r="C1494" s="12" t="inlineStr">
        <is>
          <t>I</t>
        </is>
      </c>
      <c r="D1494" s="12" t="inlineStr">
        <is>
          <t>480 V welding receptacle 4</t>
        </is>
      </c>
      <c r="E1494" s="12" t="n">
        <v>480</v>
      </c>
      <c r="F1494" s="12" t="n">
        <v>60</v>
      </c>
      <c r="G1494" s="12" t="n">
        <v>76</v>
      </c>
      <c r="H1494" s="12" t="inlineStr">
        <is>
          <t>PCM: power control module</t>
        </is>
      </c>
      <c r="I1494" s="12" t="inlineStr">
        <is>
          <t>LV 600 V</t>
        </is>
      </c>
      <c r="J1494" s="12" t="inlineStr">
        <is>
          <t>1</t>
        </is>
      </c>
      <c r="K1494" s="12" t="n">
        <v>1</v>
      </c>
    </row>
    <row r="1495">
      <c r="A1495" s="12" t="inlineStr">
        <is>
          <t>RICE engine-generator 5</t>
        </is>
      </c>
      <c r="B1495" s="12" t="inlineStr">
        <is>
          <t>RICE-5</t>
        </is>
      </c>
      <c r="C1495" s="12" t="inlineStr">
        <is>
          <t>I</t>
        </is>
      </c>
      <c r="D1495" s="12" t="inlineStr">
        <is>
          <t>Motor 1 of 6, 22 kW</t>
        </is>
      </c>
      <c r="E1495" s="12" t="n">
        <v>480</v>
      </c>
      <c r="F1495" s="12" t="n">
        <v>22</v>
      </c>
      <c r="G1495" s="12" t="n">
        <v>31.1</v>
      </c>
      <c r="H1495" s="12" t="inlineStr">
        <is>
          <t>PCM: power control module</t>
        </is>
      </c>
      <c r="I1495" s="12" t="inlineStr">
        <is>
          <t>LV 600 V</t>
        </is>
      </c>
      <c r="J1495" s="12" t="inlineStr">
        <is>
          <t>4</t>
        </is>
      </c>
      <c r="K1495" s="12" t="n">
        <v>1</v>
      </c>
    </row>
    <row r="1496">
      <c r="A1496" s="12" t="inlineStr">
        <is>
          <t>RICE engine-generator 5</t>
        </is>
      </c>
      <c r="B1496" s="12" t="inlineStr">
        <is>
          <t>RICE-5</t>
        </is>
      </c>
      <c r="C1496" s="12" t="inlineStr">
        <is>
          <t>I</t>
        </is>
      </c>
      <c r="D1496" s="12" t="inlineStr">
        <is>
          <t>Motor 2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5</t>
        </is>
      </c>
      <c r="B1497" s="12" t="inlineStr">
        <is>
          <t>RICE-5</t>
        </is>
      </c>
      <c r="C1497" s="12" t="inlineStr">
        <is>
          <t>I</t>
        </is>
      </c>
      <c r="D1497" s="12" t="inlineStr">
        <is>
          <t>Motor 3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5</t>
        </is>
      </c>
      <c r="B1498" s="12" t="inlineStr">
        <is>
          <t>RICE-5</t>
        </is>
      </c>
      <c r="C1498" s="12" t="inlineStr">
        <is>
          <t>I</t>
        </is>
      </c>
      <c r="D1498" s="12" t="inlineStr">
        <is>
          <t>Motor 4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5</t>
        </is>
      </c>
      <c r="B1499" s="12" t="inlineStr">
        <is>
          <t>RICE-5</t>
        </is>
      </c>
      <c r="C1499" s="12" t="inlineStr">
        <is>
          <t>I</t>
        </is>
      </c>
      <c r="D1499" s="12" t="inlineStr">
        <is>
          <t>Motor 5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5</t>
        </is>
      </c>
      <c r="B1500" s="12" t="inlineStr">
        <is>
          <t>RICE-5</t>
        </is>
      </c>
      <c r="C1500" s="12" t="inlineStr">
        <is>
          <t>I</t>
        </is>
      </c>
      <c r="D1500" s="12" t="inlineStr">
        <is>
          <t>Motor 6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5</t>
        </is>
      </c>
      <c r="B1501" s="12" t="inlineStr">
        <is>
          <t>RICE-5</t>
        </is>
      </c>
      <c r="C1501" s="12" t="inlineStr">
        <is>
          <t>I</t>
        </is>
      </c>
      <c r="D1501" s="12" t="inlineStr">
        <is>
          <t>480 V welding receptacle 1</t>
        </is>
      </c>
      <c r="E1501" s="12" t="n">
        <v>480</v>
      </c>
      <c r="F1501" s="12" t="n">
        <v>60</v>
      </c>
      <c r="G1501" s="12" t="n">
        <v>76</v>
      </c>
      <c r="H1501" s="12" t="inlineStr">
        <is>
          <t>PCM: power control module</t>
        </is>
      </c>
      <c r="I1501" s="12" t="inlineStr">
        <is>
          <t>LV 600 V</t>
        </is>
      </c>
      <c r="J1501" s="12" t="inlineStr">
        <is>
          <t>1</t>
        </is>
      </c>
      <c r="K1501" s="12" t="n">
        <v>1</v>
      </c>
    </row>
    <row r="1502">
      <c r="A1502" s="12" t="inlineStr">
        <is>
          <t>RICE engine-generator 5</t>
        </is>
      </c>
      <c r="B1502" s="12" t="inlineStr">
        <is>
          <t>RICE-5</t>
        </is>
      </c>
      <c r="C1502" s="12" t="inlineStr">
        <is>
          <t>I</t>
        </is>
      </c>
      <c r="D1502" s="12" t="inlineStr">
        <is>
          <t>480 V welding receptacle 2</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5</t>
        </is>
      </c>
      <c r="B1503" s="12" t="inlineStr">
        <is>
          <t>RICE-5</t>
        </is>
      </c>
      <c r="C1503" s="12" t="inlineStr">
        <is>
          <t>I</t>
        </is>
      </c>
      <c r="D1503" s="12" t="inlineStr">
        <is>
          <t>480 V welding receptacle 3</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5</t>
        </is>
      </c>
      <c r="B1504" s="12" t="inlineStr">
        <is>
          <t>RICE-5</t>
        </is>
      </c>
      <c r="C1504" s="12" t="inlineStr">
        <is>
          <t>I</t>
        </is>
      </c>
      <c r="D1504" s="12" t="inlineStr">
        <is>
          <t>480 V welding receptacle 4</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6</t>
        </is>
      </c>
      <c r="B1505" s="12" t="inlineStr">
        <is>
          <t>RICE-6</t>
        </is>
      </c>
      <c r="C1505" s="12" t="inlineStr">
        <is>
          <t>I</t>
        </is>
      </c>
      <c r="D1505" s="12" t="inlineStr">
        <is>
          <t>Motor 1 of 6, 22 kW</t>
        </is>
      </c>
      <c r="E1505" s="12" t="n">
        <v>480</v>
      </c>
      <c r="F1505" s="12" t="n">
        <v>22</v>
      </c>
      <c r="G1505" s="12" t="n">
        <v>31.1</v>
      </c>
      <c r="H1505" s="12" t="inlineStr">
        <is>
          <t>PCM: power control module</t>
        </is>
      </c>
      <c r="I1505" s="12" t="inlineStr">
        <is>
          <t>LV 600 V</t>
        </is>
      </c>
      <c r="J1505" s="12" t="inlineStr">
        <is>
          <t>4</t>
        </is>
      </c>
      <c r="K1505" s="12" t="n">
        <v>1</v>
      </c>
    </row>
    <row r="1506">
      <c r="A1506" s="12" t="inlineStr">
        <is>
          <t>RICE engine-generator 6</t>
        </is>
      </c>
      <c r="B1506" s="12" t="inlineStr">
        <is>
          <t>RICE-6</t>
        </is>
      </c>
      <c r="C1506" s="12" t="inlineStr">
        <is>
          <t>I</t>
        </is>
      </c>
      <c r="D1506" s="12" t="inlineStr">
        <is>
          <t>Motor 2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6</t>
        </is>
      </c>
      <c r="B1507" s="12" t="inlineStr">
        <is>
          <t>RICE-6</t>
        </is>
      </c>
      <c r="C1507" s="12" t="inlineStr">
        <is>
          <t>I</t>
        </is>
      </c>
      <c r="D1507" s="12" t="inlineStr">
        <is>
          <t>Motor 3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6</t>
        </is>
      </c>
      <c r="B1508" s="12" t="inlineStr">
        <is>
          <t>RICE-6</t>
        </is>
      </c>
      <c r="C1508" s="12" t="inlineStr">
        <is>
          <t>I</t>
        </is>
      </c>
      <c r="D1508" s="12" t="inlineStr">
        <is>
          <t>Motor 4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6</t>
        </is>
      </c>
      <c r="B1509" s="12" t="inlineStr">
        <is>
          <t>RICE-6</t>
        </is>
      </c>
      <c r="C1509" s="12" t="inlineStr">
        <is>
          <t>I</t>
        </is>
      </c>
      <c r="D1509" s="12" t="inlineStr">
        <is>
          <t>Motor 5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6</t>
        </is>
      </c>
      <c r="B1510" s="12" t="inlineStr">
        <is>
          <t>RICE-6</t>
        </is>
      </c>
      <c r="C1510" s="12" t="inlineStr">
        <is>
          <t>I</t>
        </is>
      </c>
      <c r="D1510" s="12" t="inlineStr">
        <is>
          <t>Motor 6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6</t>
        </is>
      </c>
      <c r="B1511" s="12" t="inlineStr">
        <is>
          <t>RICE-6</t>
        </is>
      </c>
      <c r="C1511" s="12" t="inlineStr">
        <is>
          <t>I</t>
        </is>
      </c>
      <c r="D1511" s="12" t="inlineStr">
        <is>
          <t>480 V welding receptacle 1</t>
        </is>
      </c>
      <c r="E1511" s="12" t="n">
        <v>480</v>
      </c>
      <c r="F1511" s="12" t="n">
        <v>60</v>
      </c>
      <c r="G1511" s="12" t="n">
        <v>76</v>
      </c>
      <c r="H1511" s="12" t="inlineStr">
        <is>
          <t>PCM: power control module</t>
        </is>
      </c>
      <c r="I1511" s="12" t="inlineStr">
        <is>
          <t>LV 600 V</t>
        </is>
      </c>
      <c r="J1511" s="12" t="inlineStr">
        <is>
          <t>1</t>
        </is>
      </c>
      <c r="K1511" s="12" t="n">
        <v>1</v>
      </c>
    </row>
    <row r="1512">
      <c r="A1512" s="12" t="inlineStr">
        <is>
          <t>RICE engine-generator 6</t>
        </is>
      </c>
      <c r="B1512" s="12" t="inlineStr">
        <is>
          <t>RICE-6</t>
        </is>
      </c>
      <c r="C1512" s="12" t="inlineStr">
        <is>
          <t>I</t>
        </is>
      </c>
      <c r="D1512" s="12" t="inlineStr">
        <is>
          <t>480 V welding receptacle 2</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6</t>
        </is>
      </c>
      <c r="B1513" s="12" t="inlineStr">
        <is>
          <t>RICE-6</t>
        </is>
      </c>
      <c r="C1513" s="12" t="inlineStr">
        <is>
          <t>I</t>
        </is>
      </c>
      <c r="D1513" s="12" t="inlineStr">
        <is>
          <t>480 V welding receptacle 3</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6</t>
        </is>
      </c>
      <c r="B1514" s="12" t="inlineStr">
        <is>
          <t>RICE-6</t>
        </is>
      </c>
      <c r="C1514" s="12" t="inlineStr">
        <is>
          <t>I</t>
        </is>
      </c>
      <c r="D1514" s="12" t="inlineStr">
        <is>
          <t>480 V welding receptacle 4</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7</t>
        </is>
      </c>
      <c r="B1515" s="12" t="inlineStr">
        <is>
          <t>RICE-7</t>
        </is>
      </c>
      <c r="C1515" s="12" t="inlineStr">
        <is>
          <t>I</t>
        </is>
      </c>
      <c r="D1515" s="12" t="inlineStr">
        <is>
          <t>Motor 1 of 6, 22 kW</t>
        </is>
      </c>
      <c r="E1515" s="12" t="n">
        <v>480</v>
      </c>
      <c r="F1515" s="12" t="n">
        <v>22</v>
      </c>
      <c r="G1515" s="12" t="n">
        <v>31.1</v>
      </c>
      <c r="H1515" s="12" t="inlineStr">
        <is>
          <t>PCM: power control module</t>
        </is>
      </c>
      <c r="I1515" s="12" t="inlineStr">
        <is>
          <t>LV 600 V</t>
        </is>
      </c>
      <c r="J1515" s="12" t="inlineStr">
        <is>
          <t>8</t>
        </is>
      </c>
      <c r="K1515" s="12" t="n">
        <v>1</v>
      </c>
    </row>
    <row r="1516">
      <c r="A1516" s="12" t="inlineStr">
        <is>
          <t>RICE engine-generator 7</t>
        </is>
      </c>
      <c r="B1516" s="12" t="inlineStr">
        <is>
          <t>RICE-7</t>
        </is>
      </c>
      <c r="C1516" s="12" t="inlineStr">
        <is>
          <t>I</t>
        </is>
      </c>
      <c r="D1516" s="12" t="inlineStr">
        <is>
          <t>Motor 2 of 6, 22 kW</t>
        </is>
      </c>
      <c r="E1516" s="12" t="n">
        <v>480</v>
      </c>
      <c r="F1516" s="12" t="n">
        <v>22</v>
      </c>
      <c r="G1516" s="12" t="n">
        <v>31.1</v>
      </c>
      <c r="H1516" s="12" t="inlineStr">
        <is>
          <t>PCM: power control module</t>
        </is>
      </c>
      <c r="I1516" s="12" t="inlineStr">
        <is>
          <t>LV 600 V</t>
        </is>
      </c>
      <c r="J1516" s="12" t="inlineStr">
        <is>
          <t>8</t>
        </is>
      </c>
      <c r="K1516" s="12" t="n">
        <v>1</v>
      </c>
    </row>
    <row r="1517">
      <c r="A1517" s="12" t="inlineStr">
        <is>
          <t>RICE engine-generator 7</t>
        </is>
      </c>
      <c r="B1517" s="12" t="inlineStr">
        <is>
          <t>RICE-7</t>
        </is>
      </c>
      <c r="C1517" s="12" t="inlineStr">
        <is>
          <t>I</t>
        </is>
      </c>
      <c r="D1517" s="12" t="inlineStr">
        <is>
          <t>Motor 3 of 6, 22 kW</t>
        </is>
      </c>
      <c r="E1517" s="12" t="n">
        <v>480</v>
      </c>
      <c r="F1517" s="12" t="n">
        <v>22</v>
      </c>
      <c r="G1517" s="12" t="n">
        <v>31.1</v>
      </c>
      <c r="H1517" s="12" t="inlineStr">
        <is>
          <t>PCM: power control module</t>
        </is>
      </c>
      <c r="I1517" s="12" t="inlineStr">
        <is>
          <t>LV 600 V</t>
        </is>
      </c>
      <c r="J1517" s="12" t="inlineStr">
        <is>
          <t>8</t>
        </is>
      </c>
      <c r="K1517" s="12" t="n">
        <v>1</v>
      </c>
    </row>
    <row r="1518">
      <c r="A1518" s="12" t="inlineStr">
        <is>
          <t>RICE engine-generator 7</t>
        </is>
      </c>
      <c r="B1518" s="12" t="inlineStr">
        <is>
          <t>RICE-7</t>
        </is>
      </c>
      <c r="C1518" s="12" t="inlineStr">
        <is>
          <t>I</t>
        </is>
      </c>
      <c r="D1518" s="12" t="inlineStr">
        <is>
          <t>Motor 4 of 6, 22 kW</t>
        </is>
      </c>
      <c r="E1518" s="12" t="n">
        <v>480</v>
      </c>
      <c r="F1518" s="12" t="n">
        <v>22</v>
      </c>
      <c r="G1518" s="12" t="n">
        <v>31.1</v>
      </c>
      <c r="H1518" s="12" t="inlineStr">
        <is>
          <t>PCM: power control module</t>
        </is>
      </c>
      <c r="I1518" s="12" t="inlineStr">
        <is>
          <t>LV 600 V</t>
        </is>
      </c>
      <c r="J1518" s="12" t="inlineStr">
        <is>
          <t>8</t>
        </is>
      </c>
      <c r="K1518" s="12" t="n">
        <v>1</v>
      </c>
    </row>
    <row r="1519">
      <c r="A1519" s="12" t="inlineStr">
        <is>
          <t>RICE engine-generator 7</t>
        </is>
      </c>
      <c r="B1519" s="12" t="inlineStr">
        <is>
          <t>RICE-7</t>
        </is>
      </c>
      <c r="C1519" s="12" t="inlineStr">
        <is>
          <t>I</t>
        </is>
      </c>
      <c r="D1519" s="12" t="inlineStr">
        <is>
          <t>Motor 5 of 6, 22 kW</t>
        </is>
      </c>
      <c r="E1519" s="12" t="n">
        <v>480</v>
      </c>
      <c r="F1519" s="12" t="n">
        <v>22</v>
      </c>
      <c r="G1519" s="12" t="n">
        <v>31.1</v>
      </c>
      <c r="H1519" s="12" t="inlineStr">
        <is>
          <t>PCM: power control module</t>
        </is>
      </c>
      <c r="I1519" s="12" t="inlineStr">
        <is>
          <t>LV 600 V</t>
        </is>
      </c>
      <c r="J1519" s="12" t="inlineStr">
        <is>
          <t>8</t>
        </is>
      </c>
      <c r="K1519" s="12" t="n">
        <v>1</v>
      </c>
    </row>
    <row r="1520">
      <c r="A1520" s="12" t="inlineStr">
        <is>
          <t>RICE engine-generator 7</t>
        </is>
      </c>
      <c r="B1520" s="12" t="inlineStr">
        <is>
          <t>RICE-7</t>
        </is>
      </c>
      <c r="C1520" s="12" t="inlineStr">
        <is>
          <t>I</t>
        </is>
      </c>
      <c r="D1520" s="12" t="inlineStr">
        <is>
          <t>Motor 6 of 6, 22 kW</t>
        </is>
      </c>
      <c r="E1520" s="12" t="n">
        <v>480</v>
      </c>
      <c r="F1520" s="12" t="n">
        <v>22</v>
      </c>
      <c r="G1520" s="12" t="n">
        <v>31.1</v>
      </c>
      <c r="H1520" s="12" t="inlineStr">
        <is>
          <t>PCM: power control module</t>
        </is>
      </c>
      <c r="I1520" s="12" t="inlineStr">
        <is>
          <t>LV 600 V</t>
        </is>
      </c>
      <c r="J1520" s="12" t="inlineStr">
        <is>
          <t>8</t>
        </is>
      </c>
      <c r="K1520" s="12" t="n">
        <v>1</v>
      </c>
    </row>
    <row r="1521">
      <c r="A1521" s="12" t="inlineStr">
        <is>
          <t>RICE engine-generator 7</t>
        </is>
      </c>
      <c r="B1521" s="12" t="inlineStr">
        <is>
          <t>RICE-7</t>
        </is>
      </c>
      <c r="C1521" s="12" t="inlineStr">
        <is>
          <t>I</t>
        </is>
      </c>
      <c r="D1521" s="12" t="inlineStr">
        <is>
          <t>480 V welding receptacle 1</t>
        </is>
      </c>
      <c r="E1521" s="12" t="n">
        <v>480</v>
      </c>
      <c r="F1521" s="12" t="n">
        <v>60</v>
      </c>
      <c r="G1521" s="12" t="n">
        <v>76</v>
      </c>
      <c r="H1521" s="12" t="inlineStr">
        <is>
          <t>PCM: power control module</t>
        </is>
      </c>
      <c r="I1521" s="12" t="inlineStr">
        <is>
          <t>LV 600 V</t>
        </is>
      </c>
      <c r="J1521" s="12" t="inlineStr">
        <is>
          <t>2</t>
        </is>
      </c>
      <c r="K1521" s="12" t="n">
        <v>1</v>
      </c>
    </row>
    <row r="1522">
      <c r="A1522" s="12" t="inlineStr">
        <is>
          <t>RICE engine-generator 7</t>
        </is>
      </c>
      <c r="B1522" s="12" t="inlineStr">
        <is>
          <t>RICE-7</t>
        </is>
      </c>
      <c r="C1522" s="12" t="inlineStr">
        <is>
          <t>I</t>
        </is>
      </c>
      <c r="D1522" s="12" t="inlineStr">
        <is>
          <t>480 V welding receptacle 2</t>
        </is>
      </c>
      <c r="E1522" s="12" t="n">
        <v>480</v>
      </c>
      <c r="F1522" s="12" t="n">
        <v>60</v>
      </c>
      <c r="G1522" s="12" t="n">
        <v>76</v>
      </c>
      <c r="H1522" s="12" t="inlineStr">
        <is>
          <t>PCM: power control module</t>
        </is>
      </c>
      <c r="I1522" s="12" t="inlineStr">
        <is>
          <t>LV 600 V</t>
        </is>
      </c>
      <c r="J1522" s="12" t="inlineStr">
        <is>
          <t>2</t>
        </is>
      </c>
      <c r="K1522" s="12" t="n">
        <v>1</v>
      </c>
    </row>
    <row r="1523">
      <c r="A1523" s="12" t="inlineStr">
        <is>
          <t>RICE engine-generator 7</t>
        </is>
      </c>
      <c r="B1523" s="12" t="inlineStr">
        <is>
          <t>RICE-7</t>
        </is>
      </c>
      <c r="C1523" s="12" t="inlineStr">
        <is>
          <t>I</t>
        </is>
      </c>
      <c r="D1523" s="12" t="inlineStr">
        <is>
          <t>480 V welding receptacle 3</t>
        </is>
      </c>
      <c r="E1523" s="12" t="n">
        <v>480</v>
      </c>
      <c r="F1523" s="12" t="n">
        <v>60</v>
      </c>
      <c r="G1523" s="12" t="n">
        <v>76</v>
      </c>
      <c r="H1523" s="12" t="inlineStr">
        <is>
          <t>PCM: power control module</t>
        </is>
      </c>
      <c r="I1523" s="12" t="inlineStr">
        <is>
          <t>LV 600 V</t>
        </is>
      </c>
      <c r="J1523" s="12" t="inlineStr">
        <is>
          <t>2</t>
        </is>
      </c>
      <c r="K1523" s="12" t="n">
        <v>1</v>
      </c>
    </row>
    <row r="1524">
      <c r="A1524" s="12" t="inlineStr">
        <is>
          <t>RICE engine-generator 7</t>
        </is>
      </c>
      <c r="B1524" s="12" t="inlineStr">
        <is>
          <t>RICE-7</t>
        </is>
      </c>
      <c r="C1524" s="12" t="inlineStr">
        <is>
          <t>I</t>
        </is>
      </c>
      <c r="D1524" s="12" t="inlineStr">
        <is>
          <t>480 V welding receptacle 4</t>
        </is>
      </c>
      <c r="E1524" s="12" t="n">
        <v>480</v>
      </c>
      <c r="F1524" s="12" t="n">
        <v>60</v>
      </c>
      <c r="G1524" s="12" t="n">
        <v>76</v>
      </c>
      <c r="H1524" s="12" t="inlineStr">
        <is>
          <t>PCM: power control module</t>
        </is>
      </c>
      <c r="I1524" s="12" t="inlineStr">
        <is>
          <t>LV 600 V</t>
        </is>
      </c>
      <c r="J1524" s="12" t="inlineStr">
        <is>
          <t>2</t>
        </is>
      </c>
      <c r="K1524" s="12" t="n">
        <v>1</v>
      </c>
    </row>
    <row r="1525">
      <c r="A1525" s="12" t="inlineStr">
        <is>
          <t>RICE engine-generator 8</t>
        </is>
      </c>
      <c r="B1525" s="12" t="inlineStr">
        <is>
          <t>RICE-8</t>
        </is>
      </c>
      <c r="C1525" s="12" t="inlineStr">
        <is>
          <t>I</t>
        </is>
      </c>
      <c r="D1525" s="12" t="inlineStr">
        <is>
          <t>Motor 1 of 6, 22 kW</t>
        </is>
      </c>
      <c r="E1525" s="12" t="n">
        <v>480</v>
      </c>
      <c r="F1525" s="12" t="n">
        <v>22</v>
      </c>
      <c r="G1525" s="12" t="n">
        <v>31.1</v>
      </c>
      <c r="H1525" s="12" t="inlineStr">
        <is>
          <t>PCM: power control module</t>
        </is>
      </c>
      <c r="I1525" s="12" t="inlineStr">
        <is>
          <t>LV 600 V</t>
        </is>
      </c>
      <c r="J1525" s="12" t="inlineStr">
        <is>
          <t>8</t>
        </is>
      </c>
      <c r="K1525" s="12" t="n">
        <v>1</v>
      </c>
    </row>
    <row r="1526">
      <c r="A1526" s="12" t="inlineStr">
        <is>
          <t>RICE engine-generator 8</t>
        </is>
      </c>
      <c r="B1526" s="12" t="inlineStr">
        <is>
          <t>RICE-8</t>
        </is>
      </c>
      <c r="C1526" s="12" t="inlineStr">
        <is>
          <t>I</t>
        </is>
      </c>
      <c r="D1526" s="12" t="inlineStr">
        <is>
          <t>Motor 2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8</t>
        </is>
      </c>
      <c r="B1527" s="12" t="inlineStr">
        <is>
          <t>RICE-8</t>
        </is>
      </c>
      <c r="C1527" s="12" t="inlineStr">
        <is>
          <t>I</t>
        </is>
      </c>
      <c r="D1527" s="12" t="inlineStr">
        <is>
          <t>Motor 3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8</t>
        </is>
      </c>
      <c r="B1528" s="12" t="inlineStr">
        <is>
          <t>RICE-8</t>
        </is>
      </c>
      <c r="C1528" s="12" t="inlineStr">
        <is>
          <t>I</t>
        </is>
      </c>
      <c r="D1528" s="12" t="inlineStr">
        <is>
          <t>Motor 4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8</t>
        </is>
      </c>
      <c r="B1529" s="12" t="inlineStr">
        <is>
          <t>RICE-8</t>
        </is>
      </c>
      <c r="C1529" s="12" t="inlineStr">
        <is>
          <t>I</t>
        </is>
      </c>
      <c r="D1529" s="12" t="inlineStr">
        <is>
          <t>Motor 5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8</t>
        </is>
      </c>
      <c r="B1530" s="12" t="inlineStr">
        <is>
          <t>RICE-8</t>
        </is>
      </c>
      <c r="C1530" s="12" t="inlineStr">
        <is>
          <t>I</t>
        </is>
      </c>
      <c r="D1530" s="12" t="inlineStr">
        <is>
          <t>Motor 6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8</t>
        </is>
      </c>
      <c r="B1531" s="12" t="inlineStr">
        <is>
          <t>RICE-8</t>
        </is>
      </c>
      <c r="C1531" s="12" t="inlineStr">
        <is>
          <t>I</t>
        </is>
      </c>
      <c r="D1531" s="12" t="inlineStr">
        <is>
          <t>480 V welding receptacle 1</t>
        </is>
      </c>
      <c r="E1531" s="12" t="n">
        <v>480</v>
      </c>
      <c r="F1531" s="12" t="n">
        <v>60</v>
      </c>
      <c r="G1531" s="12" t="n">
        <v>76</v>
      </c>
      <c r="H1531" s="12" t="inlineStr">
        <is>
          <t>PCM: power control module</t>
        </is>
      </c>
      <c r="I1531" s="12" t="inlineStr">
        <is>
          <t>LV 600 V</t>
        </is>
      </c>
      <c r="J1531" s="12" t="inlineStr">
        <is>
          <t>2</t>
        </is>
      </c>
      <c r="K1531" s="12" t="n">
        <v>1</v>
      </c>
    </row>
    <row r="1532">
      <c r="A1532" s="12" t="inlineStr">
        <is>
          <t>RICE engine-generator 8</t>
        </is>
      </c>
      <c r="B1532" s="12" t="inlineStr">
        <is>
          <t>RICE-8</t>
        </is>
      </c>
      <c r="C1532" s="12" t="inlineStr">
        <is>
          <t>I</t>
        </is>
      </c>
      <c r="D1532" s="12" t="inlineStr">
        <is>
          <t>480 V welding receptacle 2</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8</t>
        </is>
      </c>
      <c r="B1533" s="12" t="inlineStr">
        <is>
          <t>RICE-8</t>
        </is>
      </c>
      <c r="C1533" s="12" t="inlineStr">
        <is>
          <t>I</t>
        </is>
      </c>
      <c r="D1533" s="12" t="inlineStr">
        <is>
          <t>480 V welding receptacle 3</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8</t>
        </is>
      </c>
      <c r="B1534" s="12" t="inlineStr">
        <is>
          <t>RICE-8</t>
        </is>
      </c>
      <c r="C1534" s="12" t="inlineStr">
        <is>
          <t>I</t>
        </is>
      </c>
      <c r="D1534" s="12" t="inlineStr">
        <is>
          <t>480 V welding receptacle 4</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Reagent storage</t>
        </is>
      </c>
      <c r="B1535" s="12" t="inlineStr"/>
      <c r="C1535" s="12" t="inlineStr">
        <is>
          <t>I</t>
        </is>
      </c>
      <c r="D1535" s="12" t="inlineStr">
        <is>
          <t>LV power feeder</t>
        </is>
      </c>
      <c r="E1535" s="12" t="n">
        <v>480</v>
      </c>
      <c r="F1535" s="12" t="n">
        <v>15</v>
      </c>
      <c r="G1535" s="12" t="n">
        <v>21.2</v>
      </c>
      <c r="H1535" s="12" t="inlineStr">
        <is>
          <t>PCM: power control module</t>
        </is>
      </c>
      <c r="I1535" s="12" t="inlineStr">
        <is>
          <t>LV 600 V</t>
        </is>
      </c>
      <c r="J1535" s="12" t="inlineStr">
        <is>
          <t>10</t>
        </is>
      </c>
      <c r="K1535" s="12" t="n">
        <v>1</v>
      </c>
    </row>
    <row r="1536">
      <c r="A1536" s="12" t="inlineStr">
        <is>
          <t>SC-1 CEMS shelter</t>
        </is>
      </c>
      <c r="B1536" s="12" t="inlineStr"/>
      <c r="C1536" s="12" t="inlineStr">
        <is>
          <t>I</t>
        </is>
      </c>
      <c r="D1536" s="12" t="inlineStr">
        <is>
          <t>SC-1 CEMS shelter panel: analysers, heated sample line, lighting</t>
        </is>
      </c>
      <c r="E1536" s="12" t="n">
        <v>480</v>
      </c>
      <c r="F1536" s="12" t="n">
        <v>15</v>
      </c>
      <c r="G1536" s="12" t="n">
        <v>19</v>
      </c>
      <c r="H1536" s="12" t="inlineStr">
        <is>
          <t>SC-1 PCM + 15 kV GCB</t>
        </is>
      </c>
      <c r="I1536" s="12" t="inlineStr">
        <is>
          <t>LV 600 V</t>
        </is>
      </c>
      <c r="J1536" s="12" t="inlineStr">
        <is>
          <t>10</t>
        </is>
      </c>
      <c r="K1536" s="12" t="n">
        <v>1</v>
      </c>
    </row>
    <row r="1537">
      <c r="A1537" s="12" t="inlineStr">
        <is>
          <t>SC-1 CEMS shelter</t>
        </is>
      </c>
      <c r="B1537" s="12" t="inlineStr"/>
      <c r="C1537" s="12" t="inlineStr">
        <is>
          <t>I</t>
        </is>
      </c>
      <c r="D1537" s="12" t="inlineStr">
        <is>
          <t>Motor 1 of 2, 5 kW</t>
        </is>
      </c>
      <c r="E1537" s="12" t="n">
        <v>480</v>
      </c>
      <c r="F1537" s="12" t="n">
        <v>5</v>
      </c>
      <c r="G1537" s="12" t="n">
        <v>7.1</v>
      </c>
      <c r="H1537" s="12" t="inlineStr">
        <is>
          <t>SC-1 PCM + 15 kV GCB</t>
        </is>
      </c>
      <c r="I1537" s="12" t="inlineStr">
        <is>
          <t>LV 600 V</t>
        </is>
      </c>
      <c r="J1537" s="12" t="inlineStr">
        <is>
          <t>10</t>
        </is>
      </c>
      <c r="K1537" s="12" t="n">
        <v>1</v>
      </c>
    </row>
    <row r="1538">
      <c r="A1538" s="12" t="inlineStr">
        <is>
          <t>SC-1 CEMS shelter</t>
        </is>
      </c>
      <c r="B1538" s="12" t="inlineStr"/>
      <c r="C1538" s="12" t="inlineStr">
        <is>
          <t>I</t>
        </is>
      </c>
      <c r="D1538" s="12" t="inlineStr">
        <is>
          <t>Motor 2 of 2, 5 kW</t>
        </is>
      </c>
      <c r="E1538" s="12" t="n">
        <v>480</v>
      </c>
      <c r="F1538" s="12" t="n">
        <v>5</v>
      </c>
      <c r="G1538" s="12" t="n">
        <v>7.1</v>
      </c>
      <c r="H1538" s="12" t="inlineStr">
        <is>
          <t>SC-1 PCM + 15 kV GCB</t>
        </is>
      </c>
      <c r="I1538" s="12" t="inlineStr">
        <is>
          <t>LV 600 V</t>
        </is>
      </c>
      <c r="J1538" s="12" t="inlineStr">
        <is>
          <t>10</t>
        </is>
      </c>
      <c r="K1538" s="12" t="n">
        <v>1</v>
      </c>
    </row>
    <row r="1539">
      <c r="A1539" s="12" t="inlineStr">
        <is>
          <t>SC-1 PCM + 15 kV GCB</t>
        </is>
      </c>
      <c r="B1539" s="12" t="inlineStr"/>
      <c r="C1539" s="12" t="inlineStr">
        <is>
          <t>I</t>
        </is>
      </c>
      <c r="D1539" s="12" t="inlineStr">
        <is>
          <t>SC-1 PCM lighting, receptacles and HVAC (from its own 480 V board)</t>
        </is>
      </c>
      <c r="E1539" s="12" t="n">
        <v>480</v>
      </c>
      <c r="F1539" s="12" t="n">
        <v>40</v>
      </c>
      <c r="G1539" s="12" t="n"/>
      <c r="H1539" s="12" t="inlineStr">
        <is>
          <t>SC-1 PCM + 15 kV GCB</t>
        </is>
      </c>
      <c r="I1539" s="12" t="inlineStr">
        <is>
          <t>LV 600 V</t>
        </is>
      </c>
      <c r="J1539" s="12" t="inlineStr">
        <is>
          <t>2</t>
        </is>
      </c>
      <c r="K1539" s="12" t="n">
        <v>1</v>
      </c>
    </row>
    <row r="1540">
      <c r="A1540" s="12" t="inlineStr">
        <is>
          <t>SC-1 SCR / CO catalyst</t>
        </is>
      </c>
      <c r="B1540" s="12" t="inlineStr"/>
      <c r="C1540" s="12" t="inlineStr">
        <is>
          <t>I</t>
        </is>
      </c>
      <c r="D1540" s="12" t="inlineStr">
        <is>
          <t>Area / platform lighting circuit 1 (10 fixtures)</t>
        </is>
      </c>
      <c r="E1540" s="12" t="n">
        <v>480</v>
      </c>
      <c r="F1540" s="12" t="n">
        <v>3</v>
      </c>
      <c r="G1540" s="12" t="n">
        <v>5</v>
      </c>
      <c r="H1540" s="12" t="inlineStr">
        <is>
          <t>SC-1 PCM + 15 kV GCB</t>
        </is>
      </c>
      <c r="I1540" s="12" t="inlineStr">
        <is>
          <t>LV 600 V</t>
        </is>
      </c>
      <c r="J1540" s="12" t="inlineStr">
        <is>
          <t>10</t>
        </is>
      </c>
      <c r="K1540" s="12" t="n">
        <v>1</v>
      </c>
    </row>
    <row r="1541">
      <c r="A1541" s="12" t="inlineStr">
        <is>
          <t>SC-1 ammonia flow-control unit</t>
        </is>
      </c>
      <c r="B1541" s="12" t="inlineStr"/>
      <c r="C1541" s="12" t="inlineStr">
        <is>
          <t>I</t>
        </is>
      </c>
      <c r="D1541" s="12" t="inlineStr">
        <is>
          <t>SC-1 ammonia vaporiser electric heater</t>
        </is>
      </c>
      <c r="E1541" s="12" t="n">
        <v>480</v>
      </c>
      <c r="F1541" s="12" t="n">
        <v>45</v>
      </c>
      <c r="G1541" s="12" t="n">
        <v>57</v>
      </c>
      <c r="H1541" s="12" t="inlineStr">
        <is>
          <t>SC-1 PCM + 15 kV GCB</t>
        </is>
      </c>
      <c r="I1541" s="12" t="inlineStr">
        <is>
          <t>LV 600 V</t>
        </is>
      </c>
      <c r="J1541" s="12" t="inlineStr">
        <is>
          <t>4</t>
        </is>
      </c>
      <c r="K1541" s="12" t="n">
        <v>1</v>
      </c>
    </row>
    <row r="1542">
      <c r="A1542" s="12" t="inlineStr">
        <is>
          <t>SC-1 ammonia flow-control unit</t>
        </is>
      </c>
      <c r="B1542" s="12" t="inlineStr"/>
      <c r="C1542" s="12" t="inlineStr">
        <is>
          <t>I</t>
        </is>
      </c>
      <c r="D1542" s="12" t="inlineStr">
        <is>
          <t>Motor 1 of 2, 7.5 kW</t>
        </is>
      </c>
      <c r="E1542" s="12" t="n">
        <v>480</v>
      </c>
      <c r="F1542" s="12" t="n">
        <v>7.5</v>
      </c>
      <c r="G1542" s="12" t="n">
        <v>10.6</v>
      </c>
      <c r="H1542" s="12" t="inlineStr">
        <is>
          <t>SC-1 PCM + 15 kV GCB</t>
        </is>
      </c>
      <c r="I1542" s="12" t="inlineStr">
        <is>
          <t>LV 600 V</t>
        </is>
      </c>
      <c r="J1542" s="12" t="inlineStr">
        <is>
          <t>10</t>
        </is>
      </c>
      <c r="K1542" s="12" t="n">
        <v>1</v>
      </c>
    </row>
    <row r="1543">
      <c r="A1543" s="12" t="inlineStr">
        <is>
          <t>SC-1 ammonia flow-control unit</t>
        </is>
      </c>
      <c r="B1543" s="12" t="inlineStr"/>
      <c r="C1543" s="12" t="inlineStr">
        <is>
          <t>I</t>
        </is>
      </c>
      <c r="D1543" s="12" t="inlineStr">
        <is>
          <t>Motor 2 of 2, 7.5 kW</t>
        </is>
      </c>
      <c r="E1543" s="12" t="n">
        <v>480</v>
      </c>
      <c r="F1543" s="12" t="n">
        <v>7.5</v>
      </c>
      <c r="G1543" s="12" t="n">
        <v>10.6</v>
      </c>
      <c r="H1543" s="12" t="inlineStr">
        <is>
          <t>SC-1 PCM + 15 kV GCB</t>
        </is>
      </c>
      <c r="I1543" s="12" t="inlineStr">
        <is>
          <t>LV 600 V</t>
        </is>
      </c>
      <c r="J1543" s="12" t="inlineStr">
        <is>
          <t>10</t>
        </is>
      </c>
      <c r="K1543" s="12" t="n">
        <v>1</v>
      </c>
    </row>
    <row r="1544">
      <c r="A1544" s="12" t="inlineStr">
        <is>
          <t>SC-1 auxiliary skids: fuel-gas module, water-wash skid</t>
        </is>
      </c>
      <c r="B1544" s="12" t="inlineStr"/>
      <c r="C1544" s="12" t="inlineStr">
        <is>
          <t>I</t>
        </is>
      </c>
      <c r="D1544" s="12" t="inlineStr">
        <is>
          <t>SC-1 water-wash tank heater</t>
        </is>
      </c>
      <c r="E1544" s="12" t="n">
        <v>480</v>
      </c>
      <c r="F1544" s="12" t="n">
        <v>6</v>
      </c>
      <c r="G1544" s="12" t="n">
        <v>7.6</v>
      </c>
      <c r="H1544" s="12" t="inlineStr">
        <is>
          <t>SC-1 PCM + 15 kV GCB</t>
        </is>
      </c>
      <c r="I1544" s="12" t="inlineStr">
        <is>
          <t>LV 600 V</t>
        </is>
      </c>
      <c r="J1544" s="12" t="inlineStr">
        <is>
          <t>10</t>
        </is>
      </c>
      <c r="K1544" s="12" t="n">
        <v>1</v>
      </c>
    </row>
    <row r="1545">
      <c r="A1545" s="12" t="inlineStr">
        <is>
          <t>SC-1 auxiliary skids: fuel-gas module, water-wash skid</t>
        </is>
      </c>
      <c r="B1545" s="12" t="inlineStr"/>
      <c r="C1545" s="12" t="inlineStr">
        <is>
          <t>I</t>
        </is>
      </c>
      <c r="D1545" s="12" t="inlineStr">
        <is>
          <t>Motor 1 of 1, 7.5 kW</t>
        </is>
      </c>
      <c r="E1545" s="12" t="n">
        <v>480</v>
      </c>
      <c r="F1545" s="12" t="n">
        <v>7.5</v>
      </c>
      <c r="G1545" s="12" t="n">
        <v>10.6</v>
      </c>
      <c r="H1545" s="12" t="inlineStr">
        <is>
          <t>SC-1 PCM + 15 kV GCB</t>
        </is>
      </c>
      <c r="I1545" s="12" t="inlineStr">
        <is>
          <t>LV 600 V</t>
        </is>
      </c>
      <c r="J1545" s="12" t="inlineStr">
        <is>
          <t>10</t>
        </is>
      </c>
      <c r="K1545" s="12" t="n">
        <v>1</v>
      </c>
    </row>
    <row r="1546">
      <c r="A1546" s="12" t="inlineStr">
        <is>
          <t>SC-1 lube-oil fin-fan cooler</t>
        </is>
      </c>
      <c r="B1546" s="12" t="inlineStr"/>
      <c r="C1546" s="12" t="inlineStr">
        <is>
          <t>I</t>
        </is>
      </c>
      <c r="D1546" s="12" t="inlineStr">
        <is>
          <t>Motor 1 of 4, 15 kW</t>
        </is>
      </c>
      <c r="E1546" s="12" t="n">
        <v>480</v>
      </c>
      <c r="F1546" s="12" t="n">
        <v>15</v>
      </c>
      <c r="G1546" s="12" t="n">
        <v>21.2</v>
      </c>
      <c r="H1546" s="12" t="inlineStr">
        <is>
          <t>SC-1 PCM + 15 kV GCB</t>
        </is>
      </c>
      <c r="I1546" s="12" t="inlineStr">
        <is>
          <t>LV 600 V</t>
        </is>
      </c>
      <c r="J1546" s="12" t="inlineStr">
        <is>
          <t>10</t>
        </is>
      </c>
      <c r="K1546" s="12" t="n">
        <v>1</v>
      </c>
    </row>
    <row r="1547">
      <c r="A1547" s="12" t="inlineStr">
        <is>
          <t>SC-1 lube-oil fin-fan cooler</t>
        </is>
      </c>
      <c r="B1547" s="12" t="inlineStr"/>
      <c r="C1547" s="12" t="inlineStr">
        <is>
          <t>I</t>
        </is>
      </c>
      <c r="D1547" s="12" t="inlineStr">
        <is>
          <t>Motor 2 of 4, 15 kW</t>
        </is>
      </c>
      <c r="E1547" s="12" t="n">
        <v>480</v>
      </c>
      <c r="F1547" s="12" t="n">
        <v>15</v>
      </c>
      <c r="G1547" s="12" t="n">
        <v>21.2</v>
      </c>
      <c r="H1547" s="12" t="inlineStr">
        <is>
          <t>SC-1 PCM + 15 kV GCB</t>
        </is>
      </c>
      <c r="I1547" s="12" t="inlineStr">
        <is>
          <t>LV 600 V</t>
        </is>
      </c>
      <c r="J1547" s="12" t="inlineStr">
        <is>
          <t>10</t>
        </is>
      </c>
      <c r="K1547" s="12" t="n">
        <v>1</v>
      </c>
    </row>
    <row r="1548">
      <c r="A1548" s="12" t="inlineStr">
        <is>
          <t>SC-1 lube-oil fin-fan cooler</t>
        </is>
      </c>
      <c r="B1548" s="12" t="inlineStr"/>
      <c r="C1548" s="12" t="inlineStr">
        <is>
          <t>I</t>
        </is>
      </c>
      <c r="D1548" s="12" t="inlineStr">
        <is>
          <t>Motor 3 of 4, 15 kW</t>
        </is>
      </c>
      <c r="E1548" s="12" t="n">
        <v>480</v>
      </c>
      <c r="F1548" s="12" t="n">
        <v>15</v>
      </c>
      <c r="G1548" s="12" t="n">
        <v>21.2</v>
      </c>
      <c r="H1548" s="12" t="inlineStr">
        <is>
          <t>SC-1 PCM + 15 kV GCB</t>
        </is>
      </c>
      <c r="I1548" s="12" t="inlineStr">
        <is>
          <t>LV 600 V</t>
        </is>
      </c>
      <c r="J1548" s="12" t="inlineStr">
        <is>
          <t>10</t>
        </is>
      </c>
      <c r="K1548" s="12" t="n">
        <v>1</v>
      </c>
    </row>
    <row r="1549">
      <c r="A1549" s="12" t="inlineStr">
        <is>
          <t>SC-1 lube-oil fin-fan cooler</t>
        </is>
      </c>
      <c r="B1549" s="12" t="inlineStr"/>
      <c r="C1549" s="12" t="inlineStr">
        <is>
          <t>I</t>
        </is>
      </c>
      <c r="D1549" s="12" t="inlineStr">
        <is>
          <t>Motor 4 of 4, 15 kW</t>
        </is>
      </c>
      <c r="E1549" s="12" t="n">
        <v>480</v>
      </c>
      <c r="F1549" s="12" t="n">
        <v>15</v>
      </c>
      <c r="G1549" s="12" t="n">
        <v>21.2</v>
      </c>
      <c r="H1549" s="12" t="inlineStr">
        <is>
          <t>SC-1 PCM + 15 kV GCB</t>
        </is>
      </c>
      <c r="I1549" s="12" t="inlineStr">
        <is>
          <t>LV 600 V</t>
        </is>
      </c>
      <c r="J1549" s="12" t="inlineStr">
        <is>
          <t>10</t>
        </is>
      </c>
      <c r="K1549" s="12" t="n">
        <v>1</v>
      </c>
    </row>
    <row r="1550">
      <c r="A1550" s="12" t="inlineStr">
        <is>
          <t>SC-1 stack (80 ft)</t>
        </is>
      </c>
      <c r="B1550" s="12" t="inlineStr"/>
      <c r="C1550" s="12" t="inlineStr">
        <is>
          <t>I</t>
        </is>
      </c>
      <c r="D1550" s="12" t="inlineStr">
        <is>
          <t>Area / platform lighting circuit 1 (4 fixtures)</t>
        </is>
      </c>
      <c r="E1550" s="12" t="n">
        <v>480</v>
      </c>
      <c r="F1550" s="12" t="n">
        <v>3</v>
      </c>
      <c r="G1550" s="12" t="n">
        <v>5</v>
      </c>
      <c r="H1550" s="12" t="inlineStr">
        <is>
          <t>SC-1 PCM + 15 kV GCB</t>
        </is>
      </c>
      <c r="I1550" s="12" t="inlineStr">
        <is>
          <t>LV 600 V</t>
        </is>
      </c>
      <c r="J1550" s="12" t="inlineStr">
        <is>
          <t>10</t>
        </is>
      </c>
      <c r="K1550" s="12" t="n">
        <v>1</v>
      </c>
    </row>
    <row r="1551">
      <c r="A1551" s="12" t="inlineStr">
        <is>
          <t>SC-1 tempering-air fans (2 x 100 %)</t>
        </is>
      </c>
      <c r="B1551" s="12" t="inlineStr"/>
      <c r="C1551" s="12" t="inlineStr">
        <is>
          <t>I</t>
        </is>
      </c>
      <c r="D1551" s="12" t="inlineStr">
        <is>
          <t>Motor 1 of 2, 185 kW</t>
        </is>
      </c>
      <c r="E1551" s="12" t="n">
        <v>480</v>
      </c>
      <c r="F1551" s="12" t="n">
        <v>185</v>
      </c>
      <c r="G1551" s="12" t="n">
        <v>261.8</v>
      </c>
      <c r="H1551" s="12" t="inlineStr">
        <is>
          <t>SC-1 PCM + 15 kV GCB</t>
        </is>
      </c>
      <c r="I1551" s="12" t="inlineStr">
        <is>
          <t>LV 600 V</t>
        </is>
      </c>
      <c r="J1551" s="12" t="inlineStr">
        <is>
          <t>500 kcmil</t>
        </is>
      </c>
      <c r="K1551" s="12" t="n">
        <v>1</v>
      </c>
    </row>
    <row r="1552">
      <c r="A1552" s="12" t="inlineStr">
        <is>
          <t>SC-1 tempering-air fans (2 x 100 %)</t>
        </is>
      </c>
      <c r="B1552" s="12" t="inlineStr"/>
      <c r="C1552" s="12" t="inlineStr">
        <is>
          <t>I</t>
        </is>
      </c>
      <c r="D1552" s="12" t="inlineStr">
        <is>
          <t>Motor 2 of 2, 185 kW</t>
        </is>
      </c>
      <c r="E1552" s="12" t="n">
        <v>480</v>
      </c>
      <c r="F1552" s="12" t="n">
        <v>185</v>
      </c>
      <c r="G1552" s="12" t="n">
        <v>261.8</v>
      </c>
      <c r="H1552" s="12" t="inlineStr">
        <is>
          <t>SC-1 PCM + 15 kV GCB</t>
        </is>
      </c>
      <c r="I1552" s="12" t="inlineStr">
        <is>
          <t>LV 600 V</t>
        </is>
      </c>
      <c r="J1552" s="12" t="inlineStr">
        <is>
          <t>500 kcmil</t>
        </is>
      </c>
      <c r="K1552" s="12" t="n">
        <v>1</v>
      </c>
    </row>
    <row r="1553">
      <c r="A1553" s="12" t="inlineStr">
        <is>
          <t>SC-1 tempering-air fans (2 x 100 %)</t>
        </is>
      </c>
      <c r="B1553" s="12" t="inlineStr"/>
      <c r="C1553" s="12" t="inlineStr">
        <is>
          <t>I</t>
        </is>
      </c>
      <c r="D1553" s="12" t="inlineStr">
        <is>
          <t>Area / platform lighting circuit 1 (4 fixtures)</t>
        </is>
      </c>
      <c r="E1553" s="12" t="n">
        <v>480</v>
      </c>
      <c r="F1553" s="12" t="n">
        <v>3</v>
      </c>
      <c r="G1553" s="12" t="n">
        <v>5</v>
      </c>
      <c r="H1553" s="12" t="inlineStr">
        <is>
          <t>SC-1 PCM + 15 kV GCB</t>
        </is>
      </c>
      <c r="I1553" s="12" t="inlineStr">
        <is>
          <t>LV 600 V</t>
        </is>
      </c>
      <c r="J1553" s="12" t="inlineStr">
        <is>
          <t>10</t>
        </is>
      </c>
      <c r="K1553" s="12" t="n">
        <v>1</v>
      </c>
    </row>
    <row r="1554">
      <c r="A1554" s="12" t="inlineStr">
        <is>
          <t>SC-1: aeroderivative simple-cycle unit (LM6000 class)</t>
        </is>
      </c>
      <c r="B1554" s="12" t="inlineStr">
        <is>
          <t>SC-1</t>
        </is>
      </c>
      <c r="C1554" s="12" t="inlineStr">
        <is>
          <t>I</t>
        </is>
      </c>
      <c r="D1554" s="12" t="inlineStr">
        <is>
          <t>SC-1 emergency DC lube-oil pump (125 V DC, coast-down)</t>
        </is>
      </c>
      <c r="E1554" s="12" t="n">
        <v>125</v>
      </c>
      <c r="F1554" s="12" t="n">
        <v>7.5</v>
      </c>
      <c r="G1554" s="12" t="n">
        <v>65</v>
      </c>
      <c r="H1554" s="12" t="inlineStr">
        <is>
          <t>SC-1 PCM + 15 kV GCB</t>
        </is>
      </c>
      <c r="I1554" s="12" t="inlineStr">
        <is>
          <t>LV 600 V</t>
        </is>
      </c>
      <c r="J1554" s="12" t="inlineStr">
        <is>
          <t>2</t>
        </is>
      </c>
      <c r="K1554" s="12" t="n">
        <v>1</v>
      </c>
    </row>
    <row r="1555">
      <c r="A1555" s="12" t="inlineStr">
        <is>
          <t>SC-1: aeroderivative simple-cycle unit (LM6000 class)</t>
        </is>
      </c>
      <c r="B1555" s="12" t="inlineStr">
        <is>
          <t>SC-1</t>
        </is>
      </c>
      <c r="C1555" s="12" t="inlineStr">
        <is>
          <t>I</t>
        </is>
      </c>
      <c r="D1555" s="12" t="inlineStr">
        <is>
          <t>SC-1 120 V AC UPS to the unit control and protection</t>
        </is>
      </c>
      <c r="E1555" s="12" t="n">
        <v>120</v>
      </c>
      <c r="F1555" s="12" t="n">
        <v>5</v>
      </c>
      <c r="G1555" s="12" t="n"/>
      <c r="H1555" s="12" t="inlineStr">
        <is>
          <t>SC-1 PCM + 15 kV GCB</t>
        </is>
      </c>
      <c r="I1555" s="12" t="inlineStr">
        <is>
          <t>LV 600 V</t>
        </is>
      </c>
      <c r="J1555" s="12" t="inlineStr">
        <is>
          <t>6</t>
        </is>
      </c>
      <c r="K1555" s="12" t="n">
        <v>1</v>
      </c>
    </row>
    <row r="1556">
      <c r="A1556" s="12" t="inlineStr">
        <is>
          <t>SC-1: aeroderivative simple-cycle unit (LM6000 class)</t>
        </is>
      </c>
      <c r="B1556" s="12" t="inlineStr">
        <is>
          <t>SC-1</t>
        </is>
      </c>
      <c r="C1556" s="12" t="inlineStr">
        <is>
          <t>I</t>
        </is>
      </c>
      <c r="D1556" s="12" t="inlineStr">
        <is>
          <t>SC-1 hydraulic starter pump motor (start sequence only)</t>
        </is>
      </c>
      <c r="E1556" s="12" t="n">
        <v>480</v>
      </c>
      <c r="F1556" s="12" t="n">
        <v>225</v>
      </c>
      <c r="G1556" s="12" t="n">
        <v>318.4</v>
      </c>
      <c r="H1556" s="12" t="inlineStr">
        <is>
          <t>SC-1 PCM + 15 kV GCB</t>
        </is>
      </c>
      <c r="I1556" s="12" t="inlineStr">
        <is>
          <t>LV 600 V</t>
        </is>
      </c>
      <c r="J1556" s="12" t="inlineStr">
        <is>
          <t>3/0</t>
        </is>
      </c>
      <c r="K1556" s="12" t="n">
        <v>2</v>
      </c>
    </row>
    <row r="1557">
      <c r="A1557" s="12" t="inlineStr">
        <is>
          <t>SC-1: aeroderivative simple-cycle unit (LM6000 class)</t>
        </is>
      </c>
      <c r="B1557" s="12" t="inlineStr">
        <is>
          <t>SC-1</t>
        </is>
      </c>
      <c r="C1557" s="12" t="inlineStr">
        <is>
          <t>I</t>
        </is>
      </c>
      <c r="D1557" s="12" t="inlineStr">
        <is>
          <t>SC-1 480 V welding receptacle 1</t>
        </is>
      </c>
      <c r="E1557" s="12" t="n">
        <v>480</v>
      </c>
      <c r="F1557" s="12" t="n">
        <v>60</v>
      </c>
      <c r="G1557" s="12" t="n">
        <v>76</v>
      </c>
      <c r="H1557" s="12" t="inlineStr">
        <is>
          <t>SC-1 PCM + 15 kV GCB</t>
        </is>
      </c>
      <c r="I1557" s="12" t="inlineStr">
        <is>
          <t>LV 600 V</t>
        </is>
      </c>
      <c r="J1557" s="12" t="inlineStr">
        <is>
          <t>2</t>
        </is>
      </c>
      <c r="K1557" s="12" t="n">
        <v>1</v>
      </c>
    </row>
    <row r="1558">
      <c r="A1558" s="12" t="inlineStr">
        <is>
          <t>SC-1: aeroderivative simple-cycle unit (LM6000 class)</t>
        </is>
      </c>
      <c r="B1558" s="12" t="inlineStr">
        <is>
          <t>SC-1</t>
        </is>
      </c>
      <c r="C1558" s="12" t="inlineStr">
        <is>
          <t>I</t>
        </is>
      </c>
      <c r="D1558" s="12" t="inlineStr">
        <is>
          <t>SC-1 480 V welding receptacle 2</t>
        </is>
      </c>
      <c r="E1558" s="12" t="n">
        <v>480</v>
      </c>
      <c r="F1558" s="12" t="n">
        <v>60</v>
      </c>
      <c r="G1558" s="12" t="n">
        <v>76</v>
      </c>
      <c r="H1558" s="12" t="inlineStr">
        <is>
          <t>SC-1 PCM + 15 kV GCB</t>
        </is>
      </c>
      <c r="I1558" s="12" t="inlineStr">
        <is>
          <t>LV 600 V</t>
        </is>
      </c>
      <c r="J1558" s="12" t="inlineStr">
        <is>
          <t>2</t>
        </is>
      </c>
      <c r="K1558" s="12" t="n">
        <v>1</v>
      </c>
    </row>
    <row r="1559">
      <c r="A1559" s="12" t="inlineStr">
        <is>
          <t>SC-1: aeroderivative simple-cycle unit (LM6000 class)</t>
        </is>
      </c>
      <c r="B1559" s="12" t="inlineStr">
        <is>
          <t>SC-1</t>
        </is>
      </c>
      <c r="C1559" s="12" t="inlineStr">
        <is>
          <t>I</t>
        </is>
      </c>
      <c r="D1559" s="12" t="inlineStr">
        <is>
          <t>Motor 1 of 10, 30 kW</t>
        </is>
      </c>
      <c r="E1559" s="12" t="n">
        <v>480</v>
      </c>
      <c r="F1559" s="12" t="n">
        <v>30</v>
      </c>
      <c r="G1559" s="12" t="n">
        <v>42.5</v>
      </c>
      <c r="H1559" s="12" t="inlineStr">
        <is>
          <t>SC-1 PCM + 15 kV GCB</t>
        </is>
      </c>
      <c r="I1559" s="12" t="inlineStr">
        <is>
          <t>LV 600 V</t>
        </is>
      </c>
      <c r="J1559" s="12" t="inlineStr">
        <is>
          <t>6</t>
        </is>
      </c>
      <c r="K1559" s="12" t="n">
        <v>1</v>
      </c>
    </row>
    <row r="1560">
      <c r="A1560" s="12" t="inlineStr">
        <is>
          <t>SC-1: aeroderivative simple-cycle unit (LM6000 class)</t>
        </is>
      </c>
      <c r="B1560" s="12" t="inlineStr">
        <is>
          <t>SC-1</t>
        </is>
      </c>
      <c r="C1560" s="12" t="inlineStr">
        <is>
          <t>I</t>
        </is>
      </c>
      <c r="D1560" s="12" t="inlineStr">
        <is>
          <t>Motor 2 of 10, 30 kW</t>
        </is>
      </c>
      <c r="E1560" s="12" t="n">
        <v>480</v>
      </c>
      <c r="F1560" s="12" t="n">
        <v>30</v>
      </c>
      <c r="G1560" s="12" t="n">
        <v>42.5</v>
      </c>
      <c r="H1560" s="12" t="inlineStr">
        <is>
          <t>SC-1 PCM + 15 kV GCB</t>
        </is>
      </c>
      <c r="I1560" s="12" t="inlineStr">
        <is>
          <t>LV 600 V</t>
        </is>
      </c>
      <c r="J1560" s="12" t="inlineStr">
        <is>
          <t>6</t>
        </is>
      </c>
      <c r="K1560" s="12" t="n">
        <v>1</v>
      </c>
    </row>
    <row r="1561">
      <c r="A1561" s="12" t="inlineStr">
        <is>
          <t>SC-1: aeroderivative simple-cycle unit (LM6000 class)</t>
        </is>
      </c>
      <c r="B1561" s="12" t="inlineStr">
        <is>
          <t>SC-1</t>
        </is>
      </c>
      <c r="C1561" s="12" t="inlineStr">
        <is>
          <t>I</t>
        </is>
      </c>
      <c r="D1561" s="12" t="inlineStr">
        <is>
          <t>Motor 3 of 10, 30 kW</t>
        </is>
      </c>
      <c r="E1561" s="12" t="n">
        <v>480</v>
      </c>
      <c r="F1561" s="12" t="n">
        <v>30</v>
      </c>
      <c r="G1561" s="12" t="n">
        <v>42.5</v>
      </c>
      <c r="H1561" s="12" t="inlineStr">
        <is>
          <t>SC-1 PCM + 15 kV GCB</t>
        </is>
      </c>
      <c r="I1561" s="12" t="inlineStr">
        <is>
          <t>LV 600 V</t>
        </is>
      </c>
      <c r="J1561" s="12" t="inlineStr">
        <is>
          <t>6</t>
        </is>
      </c>
      <c r="K1561" s="12" t="n">
        <v>1</v>
      </c>
    </row>
    <row r="1562">
      <c r="A1562" s="12" t="inlineStr">
        <is>
          <t>SC-1: aeroderivative simple-cycle unit (LM6000 class)</t>
        </is>
      </c>
      <c r="B1562" s="12" t="inlineStr">
        <is>
          <t>SC-1</t>
        </is>
      </c>
      <c r="C1562" s="12" t="inlineStr">
        <is>
          <t>I</t>
        </is>
      </c>
      <c r="D1562" s="12" t="inlineStr">
        <is>
          <t>Motor 4 of 10, 30 kW</t>
        </is>
      </c>
      <c r="E1562" s="12" t="n">
        <v>480</v>
      </c>
      <c r="F1562" s="12" t="n">
        <v>30</v>
      </c>
      <c r="G1562" s="12" t="n">
        <v>42.5</v>
      </c>
      <c r="H1562" s="12" t="inlineStr">
        <is>
          <t>SC-1 PCM + 15 kV GCB</t>
        </is>
      </c>
      <c r="I1562" s="12" t="inlineStr">
        <is>
          <t>LV 600 V</t>
        </is>
      </c>
      <c r="J1562" s="12" t="inlineStr">
        <is>
          <t>6</t>
        </is>
      </c>
      <c r="K1562" s="12" t="n">
        <v>1</v>
      </c>
    </row>
    <row r="1563">
      <c r="A1563" s="12" t="inlineStr">
        <is>
          <t>SC-1: aeroderivative simple-cycle unit (LM6000 class)</t>
        </is>
      </c>
      <c r="B1563" s="12" t="inlineStr">
        <is>
          <t>SC-1</t>
        </is>
      </c>
      <c r="C1563" s="12" t="inlineStr">
        <is>
          <t>I</t>
        </is>
      </c>
      <c r="D1563" s="12" t="inlineStr">
        <is>
          <t>Motor 5 of 10, 30 kW</t>
        </is>
      </c>
      <c r="E1563" s="12" t="n">
        <v>480</v>
      </c>
      <c r="F1563" s="12" t="n">
        <v>30</v>
      </c>
      <c r="G1563" s="12" t="n">
        <v>42.5</v>
      </c>
      <c r="H1563" s="12" t="inlineStr">
        <is>
          <t>SC-1 PCM + 15 kV GCB</t>
        </is>
      </c>
      <c r="I1563" s="12" t="inlineStr">
        <is>
          <t>LV 600 V</t>
        </is>
      </c>
      <c r="J1563" s="12" t="inlineStr">
        <is>
          <t>6</t>
        </is>
      </c>
      <c r="K1563" s="12" t="n">
        <v>1</v>
      </c>
    </row>
    <row r="1564">
      <c r="A1564" s="12" t="inlineStr">
        <is>
          <t>SC-1: aeroderivative simple-cycle unit (LM6000 class)</t>
        </is>
      </c>
      <c r="B1564" s="12" t="inlineStr">
        <is>
          <t>SC-1</t>
        </is>
      </c>
      <c r="C1564" s="12" t="inlineStr">
        <is>
          <t>I</t>
        </is>
      </c>
      <c r="D1564" s="12" t="inlineStr">
        <is>
          <t>Motor 6 of 10, 30 kW</t>
        </is>
      </c>
      <c r="E1564" s="12" t="n">
        <v>480</v>
      </c>
      <c r="F1564" s="12" t="n">
        <v>30</v>
      </c>
      <c r="G1564" s="12" t="n">
        <v>42.5</v>
      </c>
      <c r="H1564" s="12" t="inlineStr">
        <is>
          <t>SC-1 PCM + 15 kV GCB</t>
        </is>
      </c>
      <c r="I1564" s="12" t="inlineStr">
        <is>
          <t>LV 600 V</t>
        </is>
      </c>
      <c r="J1564" s="12" t="inlineStr">
        <is>
          <t>6</t>
        </is>
      </c>
      <c r="K1564" s="12" t="n">
        <v>1</v>
      </c>
    </row>
    <row r="1565">
      <c r="A1565" s="12" t="inlineStr">
        <is>
          <t>SC-1: aeroderivative simple-cycle unit (LM6000 class)</t>
        </is>
      </c>
      <c r="B1565" s="12" t="inlineStr">
        <is>
          <t>SC-1</t>
        </is>
      </c>
      <c r="C1565" s="12" t="inlineStr">
        <is>
          <t>I</t>
        </is>
      </c>
      <c r="D1565" s="12" t="inlineStr">
        <is>
          <t>Motor 7 of 10, 30 kW</t>
        </is>
      </c>
      <c r="E1565" s="12" t="n">
        <v>480</v>
      </c>
      <c r="F1565" s="12" t="n">
        <v>30</v>
      </c>
      <c r="G1565" s="12" t="n">
        <v>42.5</v>
      </c>
      <c r="H1565" s="12" t="inlineStr">
        <is>
          <t>SC-1 PCM + 15 kV GCB</t>
        </is>
      </c>
      <c r="I1565" s="12" t="inlineStr">
        <is>
          <t>LV 600 V</t>
        </is>
      </c>
      <c r="J1565" s="12" t="inlineStr">
        <is>
          <t>6</t>
        </is>
      </c>
      <c r="K1565" s="12" t="n">
        <v>1</v>
      </c>
    </row>
    <row r="1566">
      <c r="A1566" s="12" t="inlineStr">
        <is>
          <t>SC-1: aeroderivative simple-cycle unit (LM6000 class)</t>
        </is>
      </c>
      <c r="B1566" s="12" t="inlineStr">
        <is>
          <t>SC-1</t>
        </is>
      </c>
      <c r="C1566" s="12" t="inlineStr">
        <is>
          <t>I</t>
        </is>
      </c>
      <c r="D1566" s="12" t="inlineStr">
        <is>
          <t>Motor 8 of 10, 30 kW</t>
        </is>
      </c>
      <c r="E1566" s="12" t="n">
        <v>480</v>
      </c>
      <c r="F1566" s="12" t="n">
        <v>30</v>
      </c>
      <c r="G1566" s="12" t="n">
        <v>42.5</v>
      </c>
      <c r="H1566" s="12" t="inlineStr">
        <is>
          <t>SC-1 PCM + 15 kV GCB</t>
        </is>
      </c>
      <c r="I1566" s="12" t="inlineStr">
        <is>
          <t>LV 600 V</t>
        </is>
      </c>
      <c r="J1566" s="12" t="inlineStr">
        <is>
          <t>6</t>
        </is>
      </c>
      <c r="K1566" s="12" t="n">
        <v>1</v>
      </c>
    </row>
    <row r="1567">
      <c r="A1567" s="12" t="inlineStr">
        <is>
          <t>SC-1: aeroderivative simple-cycle unit (LM6000 class)</t>
        </is>
      </c>
      <c r="B1567" s="12" t="inlineStr">
        <is>
          <t>SC-1</t>
        </is>
      </c>
      <c r="C1567" s="12" t="inlineStr">
        <is>
          <t>I</t>
        </is>
      </c>
      <c r="D1567" s="12" t="inlineStr">
        <is>
          <t>Motor 9 of 10, 30 kW</t>
        </is>
      </c>
      <c r="E1567" s="12" t="n">
        <v>480</v>
      </c>
      <c r="F1567" s="12" t="n">
        <v>30</v>
      </c>
      <c r="G1567" s="12" t="n">
        <v>42.5</v>
      </c>
      <c r="H1567" s="12" t="inlineStr">
        <is>
          <t>SC-1 PCM + 15 kV GCB</t>
        </is>
      </c>
      <c r="I1567" s="12" t="inlineStr">
        <is>
          <t>LV 600 V</t>
        </is>
      </c>
      <c r="J1567" s="12" t="inlineStr">
        <is>
          <t>6</t>
        </is>
      </c>
      <c r="K1567" s="12" t="n">
        <v>1</v>
      </c>
    </row>
    <row r="1568">
      <c r="A1568" s="12" t="inlineStr">
        <is>
          <t>SC-1: aeroderivative simple-cycle unit (LM6000 class)</t>
        </is>
      </c>
      <c r="B1568" s="12" t="inlineStr">
        <is>
          <t>SC-1</t>
        </is>
      </c>
      <c r="C1568" s="12" t="inlineStr">
        <is>
          <t>I</t>
        </is>
      </c>
      <c r="D1568" s="12" t="inlineStr">
        <is>
          <t>Motor 10 of 10, 30 kW</t>
        </is>
      </c>
      <c r="E1568" s="12" t="n">
        <v>480</v>
      </c>
      <c r="F1568" s="12" t="n">
        <v>30</v>
      </c>
      <c r="G1568" s="12" t="n">
        <v>42.5</v>
      </c>
      <c r="H1568" s="12" t="inlineStr">
        <is>
          <t>SC-1 PCM + 15 kV GCB</t>
        </is>
      </c>
      <c r="I1568" s="12" t="inlineStr">
        <is>
          <t>LV 600 V</t>
        </is>
      </c>
      <c r="J1568" s="12" t="inlineStr">
        <is>
          <t>6</t>
        </is>
      </c>
      <c r="K1568" s="12" t="n">
        <v>1</v>
      </c>
    </row>
    <row r="1569">
      <c r="A1569" s="12" t="inlineStr">
        <is>
          <t>SC-1: aeroderivative simple-cycle unit (LM6000 class)</t>
        </is>
      </c>
      <c r="B1569" s="12" t="inlineStr">
        <is>
          <t>SC-1</t>
        </is>
      </c>
      <c r="C1569" s="12" t="inlineStr">
        <is>
          <t>I</t>
        </is>
      </c>
      <c r="D1569" s="12" t="inlineStr">
        <is>
          <t>Area / platform lighting circuit 1 (8 fixtures)</t>
        </is>
      </c>
      <c r="E1569" s="12" t="n">
        <v>480</v>
      </c>
      <c r="F1569" s="12" t="n">
        <v>3</v>
      </c>
      <c r="G1569" s="12" t="n">
        <v>5</v>
      </c>
      <c r="H1569" s="12" t="inlineStr">
        <is>
          <t>SC-1 PCM + 15 kV GCB</t>
        </is>
      </c>
      <c r="I1569" s="12" t="inlineStr">
        <is>
          <t>LV 600 V</t>
        </is>
      </c>
      <c r="J1569" s="12" t="inlineStr">
        <is>
          <t>10</t>
        </is>
      </c>
      <c r="K1569" s="12" t="n">
        <v>1</v>
      </c>
    </row>
    <row r="1570">
      <c r="A1570" s="12" t="inlineStr">
        <is>
          <t>SC-2 CEMS shelter</t>
        </is>
      </c>
      <c r="B1570" s="12" t="inlineStr"/>
      <c r="C1570" s="12" t="inlineStr">
        <is>
          <t>I</t>
        </is>
      </c>
      <c r="D1570" s="12" t="inlineStr">
        <is>
          <t>SC-2 CEMS shelter panel: analysers, heated sample line, lighting</t>
        </is>
      </c>
      <c r="E1570" s="12" t="n">
        <v>480</v>
      </c>
      <c r="F1570" s="12" t="n">
        <v>15</v>
      </c>
      <c r="G1570" s="12" t="n">
        <v>19</v>
      </c>
      <c r="H1570" s="12" t="inlineStr">
        <is>
          <t>SC-2 PCM + 15 kV GCB</t>
        </is>
      </c>
      <c r="I1570" s="12" t="inlineStr">
        <is>
          <t>LV 600 V</t>
        </is>
      </c>
      <c r="J1570" s="12" t="inlineStr">
        <is>
          <t>10</t>
        </is>
      </c>
      <c r="K1570" s="12" t="n">
        <v>1</v>
      </c>
    </row>
    <row r="1571">
      <c r="A1571" s="12" t="inlineStr">
        <is>
          <t>SC-2 CEMS shelter</t>
        </is>
      </c>
      <c r="B1571" s="12" t="inlineStr"/>
      <c r="C1571" s="12" t="inlineStr">
        <is>
          <t>I</t>
        </is>
      </c>
      <c r="D1571" s="12" t="inlineStr">
        <is>
          <t>Motor 1 of 2, 5 kW</t>
        </is>
      </c>
      <c r="E1571" s="12" t="n">
        <v>480</v>
      </c>
      <c r="F1571" s="12" t="n">
        <v>5</v>
      </c>
      <c r="G1571" s="12" t="n">
        <v>7.1</v>
      </c>
      <c r="H1571" s="12" t="inlineStr">
        <is>
          <t>SC-2 PCM + 15 kV GCB</t>
        </is>
      </c>
      <c r="I1571" s="12" t="inlineStr">
        <is>
          <t>LV 600 V</t>
        </is>
      </c>
      <c r="J1571" s="12" t="inlineStr">
        <is>
          <t>10</t>
        </is>
      </c>
      <c r="K1571" s="12" t="n">
        <v>1</v>
      </c>
    </row>
    <row r="1572">
      <c r="A1572" s="12" t="inlineStr">
        <is>
          <t>SC-2 CEMS shelter</t>
        </is>
      </c>
      <c r="B1572" s="12" t="inlineStr"/>
      <c r="C1572" s="12" t="inlineStr">
        <is>
          <t>I</t>
        </is>
      </c>
      <c r="D1572" s="12" t="inlineStr">
        <is>
          <t>Motor 2 of 2, 5 kW</t>
        </is>
      </c>
      <c r="E1572" s="12" t="n">
        <v>480</v>
      </c>
      <c r="F1572" s="12" t="n">
        <v>5</v>
      </c>
      <c r="G1572" s="12" t="n">
        <v>7.1</v>
      </c>
      <c r="H1572" s="12" t="inlineStr">
        <is>
          <t>SC-2 PCM + 15 kV GCB</t>
        </is>
      </c>
      <c r="I1572" s="12" t="inlineStr">
        <is>
          <t>LV 600 V</t>
        </is>
      </c>
      <c r="J1572" s="12" t="inlineStr">
        <is>
          <t>10</t>
        </is>
      </c>
      <c r="K1572" s="12" t="n">
        <v>1</v>
      </c>
    </row>
    <row r="1573">
      <c r="A1573" s="12" t="inlineStr">
        <is>
          <t>SC-2 PCM + 15 kV GCB</t>
        </is>
      </c>
      <c r="B1573" s="12" t="inlineStr"/>
      <c r="C1573" s="12" t="inlineStr">
        <is>
          <t>I</t>
        </is>
      </c>
      <c r="D1573" s="12" t="inlineStr">
        <is>
          <t>SC-2 PCM lighting, receptacles and HVAC (from its own 480 V board)</t>
        </is>
      </c>
      <c r="E1573" s="12" t="n">
        <v>480</v>
      </c>
      <c r="F1573" s="12" t="n">
        <v>40</v>
      </c>
      <c r="G1573" s="12" t="n"/>
      <c r="H1573" s="12" t="inlineStr">
        <is>
          <t>SC-2 PCM + 15 kV GCB</t>
        </is>
      </c>
      <c r="I1573" s="12" t="inlineStr">
        <is>
          <t>LV 600 V</t>
        </is>
      </c>
      <c r="J1573" s="12" t="inlineStr">
        <is>
          <t>2</t>
        </is>
      </c>
      <c r="K1573" s="12" t="n">
        <v>1</v>
      </c>
    </row>
    <row r="1574">
      <c r="A1574" s="12" t="inlineStr">
        <is>
          <t>SC-2 SCR / CO catalyst</t>
        </is>
      </c>
      <c r="B1574" s="12" t="inlineStr"/>
      <c r="C1574" s="12" t="inlineStr">
        <is>
          <t>I</t>
        </is>
      </c>
      <c r="D1574" s="12" t="inlineStr">
        <is>
          <t>Area / platform lighting circuit 1 (10 fixtures)</t>
        </is>
      </c>
      <c r="E1574" s="12" t="n">
        <v>480</v>
      </c>
      <c r="F1574" s="12" t="n">
        <v>3</v>
      </c>
      <c r="G1574" s="12" t="n">
        <v>5</v>
      </c>
      <c r="H1574" s="12" t="inlineStr">
        <is>
          <t>SC-2 PCM + 15 kV GCB</t>
        </is>
      </c>
      <c r="I1574" s="12" t="inlineStr">
        <is>
          <t>LV 600 V</t>
        </is>
      </c>
      <c r="J1574" s="12" t="inlineStr">
        <is>
          <t>10</t>
        </is>
      </c>
      <c r="K1574" s="12" t="n">
        <v>1</v>
      </c>
    </row>
    <row r="1575">
      <c r="A1575" s="12" t="inlineStr">
        <is>
          <t>SC-2 ammonia flow-control unit</t>
        </is>
      </c>
      <c r="B1575" s="12" t="inlineStr"/>
      <c r="C1575" s="12" t="inlineStr">
        <is>
          <t>I</t>
        </is>
      </c>
      <c r="D1575" s="12" t="inlineStr">
        <is>
          <t>SC-2 ammonia vaporiser electric heater</t>
        </is>
      </c>
      <c r="E1575" s="12" t="n">
        <v>480</v>
      </c>
      <c r="F1575" s="12" t="n">
        <v>45</v>
      </c>
      <c r="G1575" s="12" t="n">
        <v>57</v>
      </c>
      <c r="H1575" s="12" t="inlineStr">
        <is>
          <t>SC-2 PCM + 15 kV GCB</t>
        </is>
      </c>
      <c r="I1575" s="12" t="inlineStr">
        <is>
          <t>LV 600 V</t>
        </is>
      </c>
      <c r="J1575" s="12" t="inlineStr">
        <is>
          <t>4</t>
        </is>
      </c>
      <c r="K1575" s="12" t="n">
        <v>1</v>
      </c>
    </row>
    <row r="1576">
      <c r="A1576" s="12" t="inlineStr">
        <is>
          <t>SC-2 ammonia flow-control unit</t>
        </is>
      </c>
      <c r="B1576" s="12" t="inlineStr"/>
      <c r="C1576" s="12" t="inlineStr">
        <is>
          <t>I</t>
        </is>
      </c>
      <c r="D1576" s="12" t="inlineStr">
        <is>
          <t>Motor 1 of 2, 7.5 kW</t>
        </is>
      </c>
      <c r="E1576" s="12" t="n">
        <v>480</v>
      </c>
      <c r="F1576" s="12" t="n">
        <v>7.5</v>
      </c>
      <c r="G1576" s="12" t="n">
        <v>10.6</v>
      </c>
      <c r="H1576" s="12" t="inlineStr">
        <is>
          <t>SC-2 PCM + 15 kV GCB</t>
        </is>
      </c>
      <c r="I1576" s="12" t="inlineStr">
        <is>
          <t>LV 600 V</t>
        </is>
      </c>
      <c r="J1576" s="12" t="inlineStr">
        <is>
          <t>10</t>
        </is>
      </c>
      <c r="K1576" s="12" t="n">
        <v>1</v>
      </c>
    </row>
    <row r="1577">
      <c r="A1577" s="12" t="inlineStr">
        <is>
          <t>SC-2 ammonia flow-control unit</t>
        </is>
      </c>
      <c r="B1577" s="12" t="inlineStr"/>
      <c r="C1577" s="12" t="inlineStr">
        <is>
          <t>I</t>
        </is>
      </c>
      <c r="D1577" s="12" t="inlineStr">
        <is>
          <t>Motor 2 of 2, 7.5 kW</t>
        </is>
      </c>
      <c r="E1577" s="12" t="n">
        <v>480</v>
      </c>
      <c r="F1577" s="12" t="n">
        <v>7.5</v>
      </c>
      <c r="G1577" s="12" t="n">
        <v>10.6</v>
      </c>
      <c r="H1577" s="12" t="inlineStr">
        <is>
          <t>SC-2 PCM + 15 kV GCB</t>
        </is>
      </c>
      <c r="I1577" s="12" t="inlineStr">
        <is>
          <t>LV 600 V</t>
        </is>
      </c>
      <c r="J1577" s="12" t="inlineStr">
        <is>
          <t>10</t>
        </is>
      </c>
      <c r="K1577" s="12" t="n">
        <v>1</v>
      </c>
    </row>
    <row r="1578">
      <c r="A1578" s="12" t="inlineStr">
        <is>
          <t>SC-2 auxiliary skids: fuel-gas module, water-wash skid</t>
        </is>
      </c>
      <c r="B1578" s="12" t="inlineStr"/>
      <c r="C1578" s="12" t="inlineStr">
        <is>
          <t>I</t>
        </is>
      </c>
      <c r="D1578" s="12" t="inlineStr">
        <is>
          <t>SC-2 water-wash tank heater</t>
        </is>
      </c>
      <c r="E1578" s="12" t="n">
        <v>480</v>
      </c>
      <c r="F1578" s="12" t="n">
        <v>6</v>
      </c>
      <c r="G1578" s="12" t="n">
        <v>7.6</v>
      </c>
      <c r="H1578" s="12" t="inlineStr">
        <is>
          <t>SC-2 PCM + 15 kV GCB</t>
        </is>
      </c>
      <c r="I1578" s="12" t="inlineStr">
        <is>
          <t>LV 600 V</t>
        </is>
      </c>
      <c r="J1578" s="12" t="inlineStr">
        <is>
          <t>10</t>
        </is>
      </c>
      <c r="K1578" s="12" t="n">
        <v>1</v>
      </c>
    </row>
    <row r="1579">
      <c r="A1579" s="12" t="inlineStr">
        <is>
          <t>SC-2 auxiliary skids: fuel-gas module, water-wash skid</t>
        </is>
      </c>
      <c r="B1579" s="12" t="inlineStr"/>
      <c r="C1579" s="12" t="inlineStr">
        <is>
          <t>I</t>
        </is>
      </c>
      <c r="D1579" s="12" t="inlineStr">
        <is>
          <t>Motor 1 of 1, 7.5 kW</t>
        </is>
      </c>
      <c r="E1579" s="12" t="n">
        <v>480</v>
      </c>
      <c r="F1579" s="12" t="n">
        <v>7.5</v>
      </c>
      <c r="G1579" s="12" t="n">
        <v>10.6</v>
      </c>
      <c r="H1579" s="12" t="inlineStr">
        <is>
          <t>SC-2 PCM + 15 kV GCB</t>
        </is>
      </c>
      <c r="I1579" s="12" t="inlineStr">
        <is>
          <t>LV 600 V</t>
        </is>
      </c>
      <c r="J1579" s="12" t="inlineStr">
        <is>
          <t>10</t>
        </is>
      </c>
      <c r="K1579" s="12" t="n">
        <v>1</v>
      </c>
    </row>
    <row r="1580">
      <c r="A1580" s="12" t="inlineStr">
        <is>
          <t>SC-2 lube-oil fin-fan cooler</t>
        </is>
      </c>
      <c r="B1580" s="12" t="inlineStr"/>
      <c r="C1580" s="12" t="inlineStr">
        <is>
          <t>I</t>
        </is>
      </c>
      <c r="D1580" s="12" t="inlineStr">
        <is>
          <t>Motor 1 of 4, 15 kW</t>
        </is>
      </c>
      <c r="E1580" s="12" t="n">
        <v>480</v>
      </c>
      <c r="F1580" s="12" t="n">
        <v>15</v>
      </c>
      <c r="G1580" s="12" t="n">
        <v>21.2</v>
      </c>
      <c r="H1580" s="12" t="inlineStr">
        <is>
          <t>SC-2 PCM + 15 kV GCB</t>
        </is>
      </c>
      <c r="I1580" s="12" t="inlineStr">
        <is>
          <t>LV 600 V</t>
        </is>
      </c>
      <c r="J1580" s="12" t="inlineStr">
        <is>
          <t>10</t>
        </is>
      </c>
      <c r="K1580" s="12" t="n">
        <v>1</v>
      </c>
    </row>
    <row r="1581">
      <c r="A1581" s="12" t="inlineStr">
        <is>
          <t>SC-2 lube-oil fin-fan cooler</t>
        </is>
      </c>
      <c r="B1581" s="12" t="inlineStr"/>
      <c r="C1581" s="12" t="inlineStr">
        <is>
          <t>I</t>
        </is>
      </c>
      <c r="D1581" s="12" t="inlineStr">
        <is>
          <t>Motor 2 of 4, 15 kW</t>
        </is>
      </c>
      <c r="E1581" s="12" t="n">
        <v>480</v>
      </c>
      <c r="F1581" s="12" t="n">
        <v>15</v>
      </c>
      <c r="G1581" s="12" t="n">
        <v>21.2</v>
      </c>
      <c r="H1581" s="12" t="inlineStr">
        <is>
          <t>SC-2 PCM + 15 kV GCB</t>
        </is>
      </c>
      <c r="I1581" s="12" t="inlineStr">
        <is>
          <t>LV 600 V</t>
        </is>
      </c>
      <c r="J1581" s="12" t="inlineStr">
        <is>
          <t>10</t>
        </is>
      </c>
      <c r="K1581" s="12" t="n">
        <v>1</v>
      </c>
    </row>
    <row r="1582">
      <c r="A1582" s="12" t="inlineStr">
        <is>
          <t>SC-2 lube-oil fin-fan cooler</t>
        </is>
      </c>
      <c r="B1582" s="12" t="inlineStr"/>
      <c r="C1582" s="12" t="inlineStr">
        <is>
          <t>I</t>
        </is>
      </c>
      <c r="D1582" s="12" t="inlineStr">
        <is>
          <t>Motor 3 of 4, 15 kW</t>
        </is>
      </c>
      <c r="E1582" s="12" t="n">
        <v>480</v>
      </c>
      <c r="F1582" s="12" t="n">
        <v>15</v>
      </c>
      <c r="G1582" s="12" t="n">
        <v>21.2</v>
      </c>
      <c r="H1582" s="12" t="inlineStr">
        <is>
          <t>SC-2 PCM + 15 kV GCB</t>
        </is>
      </c>
      <c r="I1582" s="12" t="inlineStr">
        <is>
          <t>LV 600 V</t>
        </is>
      </c>
      <c r="J1582" s="12" t="inlineStr">
        <is>
          <t>10</t>
        </is>
      </c>
      <c r="K1582" s="12" t="n">
        <v>1</v>
      </c>
    </row>
    <row r="1583">
      <c r="A1583" s="12" t="inlineStr">
        <is>
          <t>SC-2 lube-oil fin-fan cooler</t>
        </is>
      </c>
      <c r="B1583" s="12" t="inlineStr"/>
      <c r="C1583" s="12" t="inlineStr">
        <is>
          <t>I</t>
        </is>
      </c>
      <c r="D1583" s="12" t="inlineStr">
        <is>
          <t>Motor 4 of 4, 15 kW</t>
        </is>
      </c>
      <c r="E1583" s="12" t="n">
        <v>480</v>
      </c>
      <c r="F1583" s="12" t="n">
        <v>15</v>
      </c>
      <c r="G1583" s="12" t="n">
        <v>21.2</v>
      </c>
      <c r="H1583" s="12" t="inlineStr">
        <is>
          <t>SC-2 PCM + 15 kV GCB</t>
        </is>
      </c>
      <c r="I1583" s="12" t="inlineStr">
        <is>
          <t>LV 600 V</t>
        </is>
      </c>
      <c r="J1583" s="12" t="inlineStr">
        <is>
          <t>10</t>
        </is>
      </c>
      <c r="K1583" s="12" t="n">
        <v>1</v>
      </c>
    </row>
    <row r="1584">
      <c r="A1584" s="12" t="inlineStr">
        <is>
          <t>SC-2 stack (80 ft)</t>
        </is>
      </c>
      <c r="B1584" s="12" t="inlineStr"/>
      <c r="C1584" s="12" t="inlineStr">
        <is>
          <t>I</t>
        </is>
      </c>
      <c r="D1584" s="12" t="inlineStr">
        <is>
          <t>Area / platform lighting circuit 1 (4 fixtures)</t>
        </is>
      </c>
      <c r="E1584" s="12" t="n">
        <v>480</v>
      </c>
      <c r="F1584" s="12" t="n">
        <v>3</v>
      </c>
      <c r="G1584" s="12" t="n">
        <v>5</v>
      </c>
      <c r="H1584" s="12" t="inlineStr">
        <is>
          <t>SC-2 PCM + 15 kV GCB</t>
        </is>
      </c>
      <c r="I1584" s="12" t="inlineStr">
        <is>
          <t>LV 600 V</t>
        </is>
      </c>
      <c r="J1584" s="12" t="inlineStr">
        <is>
          <t>10</t>
        </is>
      </c>
      <c r="K1584" s="12" t="n">
        <v>1</v>
      </c>
    </row>
    <row r="1585">
      <c r="A1585" s="12" t="inlineStr">
        <is>
          <t>SC-2 tempering-air fans (2 x 100 %)</t>
        </is>
      </c>
      <c r="B1585" s="12" t="inlineStr"/>
      <c r="C1585" s="12" t="inlineStr">
        <is>
          <t>I</t>
        </is>
      </c>
      <c r="D1585" s="12" t="inlineStr">
        <is>
          <t>Motor 1 of 2, 185 kW</t>
        </is>
      </c>
      <c r="E1585" s="12" t="n">
        <v>480</v>
      </c>
      <c r="F1585" s="12" t="n">
        <v>185</v>
      </c>
      <c r="G1585" s="12" t="n">
        <v>261.8</v>
      </c>
      <c r="H1585" s="12" t="inlineStr">
        <is>
          <t>SC-2 PCM + 15 kV GCB</t>
        </is>
      </c>
      <c r="I1585" s="12" t="inlineStr">
        <is>
          <t>LV 600 V</t>
        </is>
      </c>
      <c r="J1585" s="12" t="inlineStr">
        <is>
          <t>500 kcmil</t>
        </is>
      </c>
      <c r="K1585" s="12" t="n">
        <v>1</v>
      </c>
    </row>
    <row r="1586">
      <c r="A1586" s="12" t="inlineStr">
        <is>
          <t>SC-2 tempering-air fans (2 x 100 %)</t>
        </is>
      </c>
      <c r="B1586" s="12" t="inlineStr"/>
      <c r="C1586" s="12" t="inlineStr">
        <is>
          <t>I</t>
        </is>
      </c>
      <c r="D1586" s="12" t="inlineStr">
        <is>
          <t>Motor 2 of 2, 185 kW</t>
        </is>
      </c>
      <c r="E1586" s="12" t="n">
        <v>480</v>
      </c>
      <c r="F1586" s="12" t="n">
        <v>185</v>
      </c>
      <c r="G1586" s="12" t="n">
        <v>261.8</v>
      </c>
      <c r="H1586" s="12" t="inlineStr">
        <is>
          <t>SC-2 PCM + 15 kV GCB</t>
        </is>
      </c>
      <c r="I1586" s="12" t="inlineStr">
        <is>
          <t>LV 600 V</t>
        </is>
      </c>
      <c r="J1586" s="12" t="inlineStr">
        <is>
          <t>500 kcmil</t>
        </is>
      </c>
      <c r="K1586" s="12" t="n">
        <v>1</v>
      </c>
    </row>
    <row r="1587">
      <c r="A1587" s="12" t="inlineStr">
        <is>
          <t>SC-2 tempering-air fans (2 x 100 %)</t>
        </is>
      </c>
      <c r="B1587" s="12" t="inlineStr"/>
      <c r="C1587" s="12" t="inlineStr">
        <is>
          <t>I</t>
        </is>
      </c>
      <c r="D1587" s="12" t="inlineStr">
        <is>
          <t>Area / platform lighting circuit 1 (4 fixtures)</t>
        </is>
      </c>
      <c r="E1587" s="12" t="n">
        <v>480</v>
      </c>
      <c r="F1587" s="12" t="n">
        <v>3</v>
      </c>
      <c r="G1587" s="12" t="n">
        <v>5</v>
      </c>
      <c r="H1587" s="12" t="inlineStr">
        <is>
          <t>SC-2 PCM + 15 kV GCB</t>
        </is>
      </c>
      <c r="I1587" s="12" t="inlineStr">
        <is>
          <t>LV 600 V</t>
        </is>
      </c>
      <c r="J1587" s="12" t="inlineStr">
        <is>
          <t>10</t>
        </is>
      </c>
      <c r="K1587" s="12" t="n">
        <v>1</v>
      </c>
    </row>
    <row r="1588">
      <c r="A1588" s="12" t="inlineStr">
        <is>
          <t>SC-2: aeroderivative simple-cycle unit (LM6000 class)</t>
        </is>
      </c>
      <c r="B1588" s="12" t="inlineStr">
        <is>
          <t>SC-2</t>
        </is>
      </c>
      <c r="C1588" s="12" t="inlineStr">
        <is>
          <t>I</t>
        </is>
      </c>
      <c r="D1588" s="12" t="inlineStr">
        <is>
          <t>SC-2 emergency DC lube-oil pump (125 V DC, coast-down)</t>
        </is>
      </c>
      <c r="E1588" s="12" t="n">
        <v>125</v>
      </c>
      <c r="F1588" s="12" t="n">
        <v>7.5</v>
      </c>
      <c r="G1588" s="12" t="n">
        <v>65</v>
      </c>
      <c r="H1588" s="12" t="inlineStr">
        <is>
          <t>SC-2 PCM + 15 kV GCB</t>
        </is>
      </c>
      <c r="I1588" s="12" t="inlineStr">
        <is>
          <t>LV 600 V</t>
        </is>
      </c>
      <c r="J1588" s="12" t="inlineStr">
        <is>
          <t>2</t>
        </is>
      </c>
      <c r="K1588" s="12" t="n">
        <v>1</v>
      </c>
    </row>
    <row r="1589">
      <c r="A1589" s="12" t="inlineStr">
        <is>
          <t>SC-2: aeroderivative simple-cycle unit (LM6000 class)</t>
        </is>
      </c>
      <c r="B1589" s="12" t="inlineStr">
        <is>
          <t>SC-2</t>
        </is>
      </c>
      <c r="C1589" s="12" t="inlineStr">
        <is>
          <t>I</t>
        </is>
      </c>
      <c r="D1589" s="12" t="inlineStr">
        <is>
          <t>SC-2 120 V AC UPS to the unit control and protection</t>
        </is>
      </c>
      <c r="E1589" s="12" t="n">
        <v>120</v>
      </c>
      <c r="F1589" s="12" t="n">
        <v>5</v>
      </c>
      <c r="G1589" s="12" t="n"/>
      <c r="H1589" s="12" t="inlineStr">
        <is>
          <t>SC-2 PCM + 15 kV GCB</t>
        </is>
      </c>
      <c r="I1589" s="12" t="inlineStr">
        <is>
          <t>LV 600 V</t>
        </is>
      </c>
      <c r="J1589" s="12" t="inlineStr">
        <is>
          <t>6</t>
        </is>
      </c>
      <c r="K1589" s="12" t="n">
        <v>1</v>
      </c>
    </row>
    <row r="1590">
      <c r="A1590" s="12" t="inlineStr">
        <is>
          <t>SC-2: aeroderivative simple-cycle unit (LM6000 class)</t>
        </is>
      </c>
      <c r="B1590" s="12" t="inlineStr">
        <is>
          <t>SC-2</t>
        </is>
      </c>
      <c r="C1590" s="12" t="inlineStr">
        <is>
          <t>I</t>
        </is>
      </c>
      <c r="D1590" s="12" t="inlineStr">
        <is>
          <t>SC-2 hydraulic starter pump motor (start sequence only)</t>
        </is>
      </c>
      <c r="E1590" s="12" t="n">
        <v>480</v>
      </c>
      <c r="F1590" s="12" t="n">
        <v>225</v>
      </c>
      <c r="G1590" s="12" t="n">
        <v>318.4</v>
      </c>
      <c r="H1590" s="12" t="inlineStr">
        <is>
          <t>SC-2 PCM + 15 kV GCB</t>
        </is>
      </c>
      <c r="I1590" s="12" t="inlineStr">
        <is>
          <t>LV 600 V</t>
        </is>
      </c>
      <c r="J1590" s="12" t="inlineStr">
        <is>
          <t>3/0</t>
        </is>
      </c>
      <c r="K1590" s="12" t="n">
        <v>2</v>
      </c>
    </row>
    <row r="1591">
      <c r="A1591" s="12" t="inlineStr">
        <is>
          <t>SC-2: aeroderivative simple-cycle unit (LM6000 class)</t>
        </is>
      </c>
      <c r="B1591" s="12" t="inlineStr">
        <is>
          <t>SC-2</t>
        </is>
      </c>
      <c r="C1591" s="12" t="inlineStr">
        <is>
          <t>I</t>
        </is>
      </c>
      <c r="D1591" s="12" t="inlineStr">
        <is>
          <t>SC-2 480 V welding receptacle 1</t>
        </is>
      </c>
      <c r="E1591" s="12" t="n">
        <v>480</v>
      </c>
      <c r="F1591" s="12" t="n">
        <v>60</v>
      </c>
      <c r="G1591" s="12" t="n">
        <v>76</v>
      </c>
      <c r="H1591" s="12" t="inlineStr">
        <is>
          <t>SC-2 PCM + 15 kV GCB</t>
        </is>
      </c>
      <c r="I1591" s="12" t="inlineStr">
        <is>
          <t>LV 600 V</t>
        </is>
      </c>
      <c r="J1591" s="12" t="inlineStr">
        <is>
          <t>2</t>
        </is>
      </c>
      <c r="K1591" s="12" t="n">
        <v>1</v>
      </c>
    </row>
    <row r="1592">
      <c r="A1592" s="12" t="inlineStr">
        <is>
          <t>SC-2: aeroderivative simple-cycle unit (LM6000 class)</t>
        </is>
      </c>
      <c r="B1592" s="12" t="inlineStr">
        <is>
          <t>SC-2</t>
        </is>
      </c>
      <c r="C1592" s="12" t="inlineStr">
        <is>
          <t>I</t>
        </is>
      </c>
      <c r="D1592" s="12" t="inlineStr">
        <is>
          <t>SC-2 480 V welding receptacle 2</t>
        </is>
      </c>
      <c r="E1592" s="12" t="n">
        <v>480</v>
      </c>
      <c r="F1592" s="12" t="n">
        <v>60</v>
      </c>
      <c r="G1592" s="12" t="n">
        <v>76</v>
      </c>
      <c r="H1592" s="12" t="inlineStr">
        <is>
          <t>SC-2 PCM + 15 kV GCB</t>
        </is>
      </c>
      <c r="I1592" s="12" t="inlineStr">
        <is>
          <t>LV 600 V</t>
        </is>
      </c>
      <c r="J1592" s="12" t="inlineStr">
        <is>
          <t>2</t>
        </is>
      </c>
      <c r="K1592" s="12" t="n">
        <v>1</v>
      </c>
    </row>
    <row r="1593">
      <c r="A1593" s="12" t="inlineStr">
        <is>
          <t>SC-2: aeroderivative simple-cycle unit (LM6000 class)</t>
        </is>
      </c>
      <c r="B1593" s="12" t="inlineStr">
        <is>
          <t>SC-2</t>
        </is>
      </c>
      <c r="C1593" s="12" t="inlineStr">
        <is>
          <t>I</t>
        </is>
      </c>
      <c r="D1593" s="12" t="inlineStr">
        <is>
          <t>Motor 1 of 10, 30 kW</t>
        </is>
      </c>
      <c r="E1593" s="12" t="n">
        <v>480</v>
      </c>
      <c r="F1593" s="12" t="n">
        <v>30</v>
      </c>
      <c r="G1593" s="12" t="n">
        <v>42.5</v>
      </c>
      <c r="H1593" s="12" t="inlineStr">
        <is>
          <t>SC-2 PCM + 15 kV GCB</t>
        </is>
      </c>
      <c r="I1593" s="12" t="inlineStr">
        <is>
          <t>LV 600 V</t>
        </is>
      </c>
      <c r="J1593" s="12" t="inlineStr">
        <is>
          <t>6</t>
        </is>
      </c>
      <c r="K1593" s="12" t="n">
        <v>1</v>
      </c>
    </row>
    <row r="1594">
      <c r="A1594" s="12" t="inlineStr">
        <is>
          <t>SC-2: aeroderivative simple-cycle unit (LM6000 class)</t>
        </is>
      </c>
      <c r="B1594" s="12" t="inlineStr">
        <is>
          <t>SC-2</t>
        </is>
      </c>
      <c r="C1594" s="12" t="inlineStr">
        <is>
          <t>I</t>
        </is>
      </c>
      <c r="D1594" s="12" t="inlineStr">
        <is>
          <t>Motor 2 of 10, 30 kW</t>
        </is>
      </c>
      <c r="E1594" s="12" t="n">
        <v>480</v>
      </c>
      <c r="F1594" s="12" t="n">
        <v>30</v>
      </c>
      <c r="G1594" s="12" t="n">
        <v>42.5</v>
      </c>
      <c r="H1594" s="12" t="inlineStr">
        <is>
          <t>SC-2 PCM + 15 kV GCB</t>
        </is>
      </c>
      <c r="I1594" s="12" t="inlineStr">
        <is>
          <t>LV 600 V</t>
        </is>
      </c>
      <c r="J1594" s="12" t="inlineStr">
        <is>
          <t>6</t>
        </is>
      </c>
      <c r="K1594" s="12" t="n">
        <v>1</v>
      </c>
    </row>
    <row r="1595">
      <c r="A1595" s="12" t="inlineStr">
        <is>
          <t>SC-2: aeroderivative simple-cycle unit (LM6000 class)</t>
        </is>
      </c>
      <c r="B1595" s="12" t="inlineStr">
        <is>
          <t>SC-2</t>
        </is>
      </c>
      <c r="C1595" s="12" t="inlineStr">
        <is>
          <t>I</t>
        </is>
      </c>
      <c r="D1595" s="12" t="inlineStr">
        <is>
          <t>Motor 3 of 10, 30 kW</t>
        </is>
      </c>
      <c r="E1595" s="12" t="n">
        <v>480</v>
      </c>
      <c r="F1595" s="12" t="n">
        <v>30</v>
      </c>
      <c r="G1595" s="12" t="n">
        <v>42.5</v>
      </c>
      <c r="H1595" s="12" t="inlineStr">
        <is>
          <t>SC-2 PCM + 15 kV GCB</t>
        </is>
      </c>
      <c r="I1595" s="12" t="inlineStr">
        <is>
          <t>LV 600 V</t>
        </is>
      </c>
      <c r="J1595" s="12" t="inlineStr">
        <is>
          <t>6</t>
        </is>
      </c>
      <c r="K1595" s="12" t="n">
        <v>1</v>
      </c>
    </row>
    <row r="1596">
      <c r="A1596" s="12" t="inlineStr">
        <is>
          <t>SC-2: aeroderivative simple-cycle unit (LM6000 class)</t>
        </is>
      </c>
      <c r="B1596" s="12" t="inlineStr">
        <is>
          <t>SC-2</t>
        </is>
      </c>
      <c r="C1596" s="12" t="inlineStr">
        <is>
          <t>I</t>
        </is>
      </c>
      <c r="D1596" s="12" t="inlineStr">
        <is>
          <t>Motor 4 of 10, 30 kW</t>
        </is>
      </c>
      <c r="E1596" s="12" t="n">
        <v>480</v>
      </c>
      <c r="F1596" s="12" t="n">
        <v>30</v>
      </c>
      <c r="G1596" s="12" t="n">
        <v>42.5</v>
      </c>
      <c r="H1596" s="12" t="inlineStr">
        <is>
          <t>SC-2 PCM + 15 kV GCB</t>
        </is>
      </c>
      <c r="I1596" s="12" t="inlineStr">
        <is>
          <t>LV 600 V</t>
        </is>
      </c>
      <c r="J1596" s="12" t="inlineStr">
        <is>
          <t>6</t>
        </is>
      </c>
      <c r="K1596" s="12" t="n">
        <v>1</v>
      </c>
    </row>
    <row r="1597">
      <c r="A1597" s="12" t="inlineStr">
        <is>
          <t>SC-2: aeroderivative simple-cycle unit (LM6000 class)</t>
        </is>
      </c>
      <c r="B1597" s="12" t="inlineStr">
        <is>
          <t>SC-2</t>
        </is>
      </c>
      <c r="C1597" s="12" t="inlineStr">
        <is>
          <t>I</t>
        </is>
      </c>
      <c r="D1597" s="12" t="inlineStr">
        <is>
          <t>Motor 5 of 10, 30 kW</t>
        </is>
      </c>
      <c r="E1597" s="12" t="n">
        <v>480</v>
      </c>
      <c r="F1597" s="12" t="n">
        <v>30</v>
      </c>
      <c r="G1597" s="12" t="n">
        <v>42.5</v>
      </c>
      <c r="H1597" s="12" t="inlineStr">
        <is>
          <t>SC-2 PCM + 15 kV GCB</t>
        </is>
      </c>
      <c r="I1597" s="12" t="inlineStr">
        <is>
          <t>LV 600 V</t>
        </is>
      </c>
      <c r="J1597" s="12" t="inlineStr">
        <is>
          <t>6</t>
        </is>
      </c>
      <c r="K1597" s="12" t="n">
        <v>1</v>
      </c>
    </row>
    <row r="1598">
      <c r="A1598" s="12" t="inlineStr">
        <is>
          <t>SC-2: aeroderivative simple-cycle unit (LM6000 class)</t>
        </is>
      </c>
      <c r="B1598" s="12" t="inlineStr">
        <is>
          <t>SC-2</t>
        </is>
      </c>
      <c r="C1598" s="12" t="inlineStr">
        <is>
          <t>I</t>
        </is>
      </c>
      <c r="D1598" s="12" t="inlineStr">
        <is>
          <t>Motor 6 of 10, 30 kW</t>
        </is>
      </c>
      <c r="E1598" s="12" t="n">
        <v>480</v>
      </c>
      <c r="F1598" s="12" t="n">
        <v>30</v>
      </c>
      <c r="G1598" s="12" t="n">
        <v>42.5</v>
      </c>
      <c r="H1598" s="12" t="inlineStr">
        <is>
          <t>SC-2 PCM + 15 kV GCB</t>
        </is>
      </c>
      <c r="I1598" s="12" t="inlineStr">
        <is>
          <t>LV 600 V</t>
        </is>
      </c>
      <c r="J1598" s="12" t="inlineStr">
        <is>
          <t>6</t>
        </is>
      </c>
      <c r="K1598" s="12" t="n">
        <v>1</v>
      </c>
    </row>
    <row r="1599">
      <c r="A1599" s="12" t="inlineStr">
        <is>
          <t>SC-2: aeroderivative simple-cycle unit (LM6000 class)</t>
        </is>
      </c>
      <c r="B1599" s="12" t="inlineStr">
        <is>
          <t>SC-2</t>
        </is>
      </c>
      <c r="C1599" s="12" t="inlineStr">
        <is>
          <t>I</t>
        </is>
      </c>
      <c r="D1599" s="12" t="inlineStr">
        <is>
          <t>Motor 7 of 10, 30 kW</t>
        </is>
      </c>
      <c r="E1599" s="12" t="n">
        <v>480</v>
      </c>
      <c r="F1599" s="12" t="n">
        <v>30</v>
      </c>
      <c r="G1599" s="12" t="n">
        <v>42.5</v>
      </c>
      <c r="H1599" s="12" t="inlineStr">
        <is>
          <t>SC-2 PCM + 15 kV GCB</t>
        </is>
      </c>
      <c r="I1599" s="12" t="inlineStr">
        <is>
          <t>LV 600 V</t>
        </is>
      </c>
      <c r="J1599" s="12" t="inlineStr">
        <is>
          <t>6</t>
        </is>
      </c>
      <c r="K1599" s="12" t="n">
        <v>1</v>
      </c>
    </row>
    <row r="1600">
      <c r="A1600" s="12" t="inlineStr">
        <is>
          <t>SC-2: aeroderivative simple-cycle unit (LM6000 class)</t>
        </is>
      </c>
      <c r="B1600" s="12" t="inlineStr">
        <is>
          <t>SC-2</t>
        </is>
      </c>
      <c r="C1600" s="12" t="inlineStr">
        <is>
          <t>I</t>
        </is>
      </c>
      <c r="D1600" s="12" t="inlineStr">
        <is>
          <t>Motor 8 of 10, 30 kW</t>
        </is>
      </c>
      <c r="E1600" s="12" t="n">
        <v>480</v>
      </c>
      <c r="F1600" s="12" t="n">
        <v>30</v>
      </c>
      <c r="G1600" s="12" t="n">
        <v>42.5</v>
      </c>
      <c r="H1600" s="12" t="inlineStr">
        <is>
          <t>SC-2 PCM + 15 kV GCB</t>
        </is>
      </c>
      <c r="I1600" s="12" t="inlineStr">
        <is>
          <t>LV 600 V</t>
        </is>
      </c>
      <c r="J1600" s="12" t="inlineStr">
        <is>
          <t>6</t>
        </is>
      </c>
      <c r="K1600" s="12" t="n">
        <v>1</v>
      </c>
    </row>
    <row r="1601">
      <c r="A1601" s="12" t="inlineStr">
        <is>
          <t>SC-2: aeroderivative simple-cycle unit (LM6000 class)</t>
        </is>
      </c>
      <c r="B1601" s="12" t="inlineStr">
        <is>
          <t>SC-2</t>
        </is>
      </c>
      <c r="C1601" s="12" t="inlineStr">
        <is>
          <t>I</t>
        </is>
      </c>
      <c r="D1601" s="12" t="inlineStr">
        <is>
          <t>Motor 9 of 10, 30 kW</t>
        </is>
      </c>
      <c r="E1601" s="12" t="n">
        <v>480</v>
      </c>
      <c r="F1601" s="12" t="n">
        <v>30</v>
      </c>
      <c r="G1601" s="12" t="n">
        <v>42.5</v>
      </c>
      <c r="H1601" s="12" t="inlineStr">
        <is>
          <t>SC-2 PCM + 15 kV GCB</t>
        </is>
      </c>
      <c r="I1601" s="12" t="inlineStr">
        <is>
          <t>LV 600 V</t>
        </is>
      </c>
      <c r="J1601" s="12" t="inlineStr">
        <is>
          <t>6</t>
        </is>
      </c>
      <c r="K1601" s="12" t="n">
        <v>1</v>
      </c>
    </row>
    <row r="1602">
      <c r="A1602" s="12" t="inlineStr">
        <is>
          <t>SC-2: aeroderivative simple-cycle unit (LM6000 class)</t>
        </is>
      </c>
      <c r="B1602" s="12" t="inlineStr">
        <is>
          <t>SC-2</t>
        </is>
      </c>
      <c r="C1602" s="12" t="inlineStr">
        <is>
          <t>I</t>
        </is>
      </c>
      <c r="D1602" s="12" t="inlineStr">
        <is>
          <t>Motor 10 of 10, 30 kW</t>
        </is>
      </c>
      <c r="E1602" s="12" t="n">
        <v>480</v>
      </c>
      <c r="F1602" s="12" t="n">
        <v>30</v>
      </c>
      <c r="G1602" s="12" t="n">
        <v>42.5</v>
      </c>
      <c r="H1602" s="12" t="inlineStr">
        <is>
          <t>SC-2 PCM + 15 kV GCB</t>
        </is>
      </c>
      <c r="I1602" s="12" t="inlineStr">
        <is>
          <t>LV 600 V</t>
        </is>
      </c>
      <c r="J1602" s="12" t="inlineStr">
        <is>
          <t>6</t>
        </is>
      </c>
      <c r="K1602" s="12" t="n">
        <v>1</v>
      </c>
    </row>
    <row r="1603">
      <c r="A1603" s="12" t="inlineStr">
        <is>
          <t>SC-2: aeroderivative simple-cycle unit (LM6000 class)</t>
        </is>
      </c>
      <c r="B1603" s="12" t="inlineStr">
        <is>
          <t>SC-2</t>
        </is>
      </c>
      <c r="C1603" s="12" t="inlineStr">
        <is>
          <t>I</t>
        </is>
      </c>
      <c r="D1603" s="12" t="inlineStr">
        <is>
          <t>Area / platform lighting circuit 1 (8 fixtures)</t>
        </is>
      </c>
      <c r="E1603" s="12" t="n">
        <v>480</v>
      </c>
      <c r="F1603" s="12" t="n">
        <v>3</v>
      </c>
      <c r="G1603" s="12" t="n">
        <v>5</v>
      </c>
      <c r="H1603" s="12" t="inlineStr">
        <is>
          <t>SC-2 PCM + 15 kV GCB</t>
        </is>
      </c>
      <c r="I1603" s="12" t="inlineStr">
        <is>
          <t>LV 600 V</t>
        </is>
      </c>
      <c r="J1603" s="12" t="inlineStr">
        <is>
          <t>10</t>
        </is>
      </c>
      <c r="K1603" s="12" t="n">
        <v>1</v>
      </c>
    </row>
    <row r="1604">
      <c r="A1604" s="12" t="inlineStr">
        <is>
          <t>T-MOD 230 kV take-off gantry with arresters</t>
        </is>
      </c>
      <c r="B1604" s="12" t="inlineStr"/>
      <c r="C1604" s="12" t="inlineStr">
        <is>
          <t>I</t>
        </is>
      </c>
      <c r="D1604" s="12" t="inlineStr">
        <is>
          <t>Motor 1 of 6, 2 kW</t>
        </is>
      </c>
      <c r="E1604" s="12" t="n">
        <v>480</v>
      </c>
      <c r="F1604" s="12" t="n">
        <v>2</v>
      </c>
      <c r="G1604" s="12" t="n">
        <v>2.8</v>
      </c>
      <c r="H1604" s="12" t="inlineStr">
        <is>
          <t>MOD-LV 480 V board + 480 V : 13.8 kV step-up</t>
        </is>
      </c>
      <c r="I1604" s="12" t="inlineStr">
        <is>
          <t>LV 600 V</t>
        </is>
      </c>
      <c r="J1604" s="12" t="inlineStr">
        <is>
          <t>10</t>
        </is>
      </c>
      <c r="K1604" s="12" t="n">
        <v>1</v>
      </c>
    </row>
    <row r="1605">
      <c r="A1605" s="12" t="inlineStr">
        <is>
          <t>T-MOD 230 kV take-off gantry with arresters</t>
        </is>
      </c>
      <c r="B1605" s="12" t="inlineStr"/>
      <c r="C1605" s="12" t="inlineStr">
        <is>
          <t>I</t>
        </is>
      </c>
      <c r="D1605" s="12" t="inlineStr">
        <is>
          <t>Motor 2 of 6, 2 kW</t>
        </is>
      </c>
      <c r="E1605" s="12" t="n">
        <v>480</v>
      </c>
      <c r="F1605" s="12" t="n">
        <v>2</v>
      </c>
      <c r="G1605" s="12" t="n">
        <v>2.8</v>
      </c>
      <c r="H1605" s="12" t="inlineStr">
        <is>
          <t>MOD-LV 480 V board + 480 V : 13.8 kV step-up</t>
        </is>
      </c>
      <c r="I1605" s="12" t="inlineStr">
        <is>
          <t>LV 600 V</t>
        </is>
      </c>
      <c r="J1605" s="12" t="inlineStr">
        <is>
          <t>10</t>
        </is>
      </c>
      <c r="K1605" s="12" t="n">
        <v>1</v>
      </c>
    </row>
    <row r="1606">
      <c r="A1606" s="12" t="inlineStr">
        <is>
          <t>T-MOD 230 kV take-off gantry with arresters</t>
        </is>
      </c>
      <c r="B1606" s="12" t="inlineStr"/>
      <c r="C1606" s="12" t="inlineStr">
        <is>
          <t>I</t>
        </is>
      </c>
      <c r="D1606" s="12" t="inlineStr">
        <is>
          <t>Motor 3 of 6, 2 kW</t>
        </is>
      </c>
      <c r="E1606" s="12" t="n">
        <v>480</v>
      </c>
      <c r="F1606" s="12" t="n">
        <v>2</v>
      </c>
      <c r="G1606" s="12" t="n">
        <v>2.8</v>
      </c>
      <c r="H1606" s="12" t="inlineStr">
        <is>
          <t>MOD-LV 480 V board + 480 V : 13.8 kV step-up</t>
        </is>
      </c>
      <c r="I1606" s="12" t="inlineStr">
        <is>
          <t>LV 600 V</t>
        </is>
      </c>
      <c r="J1606" s="12" t="inlineStr">
        <is>
          <t>10</t>
        </is>
      </c>
      <c r="K1606" s="12" t="n">
        <v>1</v>
      </c>
    </row>
    <row r="1607">
      <c r="A1607" s="12" t="inlineStr">
        <is>
          <t>T-MOD 230 kV take-off gantry with arresters</t>
        </is>
      </c>
      <c r="B1607" s="12" t="inlineStr"/>
      <c r="C1607" s="12" t="inlineStr">
        <is>
          <t>I</t>
        </is>
      </c>
      <c r="D1607" s="12" t="inlineStr">
        <is>
          <t>Motor 4 of 6, 2 kW</t>
        </is>
      </c>
      <c r="E1607" s="12" t="n">
        <v>480</v>
      </c>
      <c r="F1607" s="12" t="n">
        <v>2</v>
      </c>
      <c r="G1607" s="12" t="n">
        <v>2.8</v>
      </c>
      <c r="H1607" s="12" t="inlineStr">
        <is>
          <t>MOD-LV 480 V board + 480 V : 13.8 kV step-up</t>
        </is>
      </c>
      <c r="I1607" s="12" t="inlineStr">
        <is>
          <t>LV 600 V</t>
        </is>
      </c>
      <c r="J1607" s="12" t="inlineStr">
        <is>
          <t>10</t>
        </is>
      </c>
      <c r="K1607" s="12" t="n">
        <v>1</v>
      </c>
    </row>
    <row r="1608">
      <c r="A1608" s="12" t="inlineStr">
        <is>
          <t>T-MOD 230 kV take-off gantry with arresters</t>
        </is>
      </c>
      <c r="B1608" s="12" t="inlineStr"/>
      <c r="C1608" s="12" t="inlineStr">
        <is>
          <t>I</t>
        </is>
      </c>
      <c r="D1608" s="12" t="inlineStr">
        <is>
          <t>Motor 5 of 6, 2 kW</t>
        </is>
      </c>
      <c r="E1608" s="12" t="n">
        <v>480</v>
      </c>
      <c r="F1608" s="12" t="n">
        <v>2</v>
      </c>
      <c r="G1608" s="12" t="n">
        <v>2.8</v>
      </c>
      <c r="H1608" s="12" t="inlineStr">
        <is>
          <t>MOD-LV 480 V board + 480 V : 13.8 kV step-up</t>
        </is>
      </c>
      <c r="I1608" s="12" t="inlineStr">
        <is>
          <t>LV 600 V</t>
        </is>
      </c>
      <c r="J1608" s="12" t="inlineStr">
        <is>
          <t>10</t>
        </is>
      </c>
      <c r="K1608" s="12" t="n">
        <v>1</v>
      </c>
    </row>
    <row r="1609">
      <c r="A1609" s="12" t="inlineStr">
        <is>
          <t>T-MOD 230 kV take-off gantry with arresters</t>
        </is>
      </c>
      <c r="B1609" s="12" t="inlineStr"/>
      <c r="C1609" s="12" t="inlineStr">
        <is>
          <t>I</t>
        </is>
      </c>
      <c r="D1609" s="12" t="inlineStr">
        <is>
          <t>Motor 6 of 6, 2 kW</t>
        </is>
      </c>
      <c r="E1609" s="12" t="n">
        <v>480</v>
      </c>
      <c r="F1609" s="12" t="n">
        <v>2</v>
      </c>
      <c r="G1609" s="12" t="n">
        <v>2.8</v>
      </c>
      <c r="H1609" s="12" t="inlineStr">
        <is>
          <t>MOD-LV 480 V board + 480 V : 13.8 kV step-up</t>
        </is>
      </c>
      <c r="I1609" s="12" t="inlineStr">
        <is>
          <t>LV 600 V</t>
        </is>
      </c>
      <c r="J1609" s="12" t="inlineStr">
        <is>
          <t>10</t>
        </is>
      </c>
      <c r="K1609" s="12" t="n">
        <v>1</v>
      </c>
    </row>
    <row r="1610">
      <c r="A1610" s="12" t="inlineStr">
        <is>
          <t>T-MOD-1 / T-MOD-2 firewall</t>
        </is>
      </c>
      <c r="B1610" s="12" t="inlineStr"/>
      <c r="C1610" s="12" t="inlineStr">
        <is>
          <t>I</t>
        </is>
      </c>
      <c r="D1610" s="12" t="inlineStr">
        <is>
          <t>Motor 1 of 6, 2 kW</t>
        </is>
      </c>
      <c r="E1610" s="12" t="n">
        <v>480</v>
      </c>
      <c r="F1610" s="12" t="n">
        <v>2</v>
      </c>
      <c r="G1610" s="12" t="n">
        <v>2.8</v>
      </c>
      <c r="H1610" s="12" t="inlineStr">
        <is>
          <t>MOD-LV 480 V board + 480 V : 13.8 kV step-up</t>
        </is>
      </c>
      <c r="I1610" s="12" t="inlineStr">
        <is>
          <t>LV 600 V</t>
        </is>
      </c>
      <c r="J1610" s="12" t="inlineStr">
        <is>
          <t>10</t>
        </is>
      </c>
      <c r="K1610" s="12" t="n">
        <v>1</v>
      </c>
    </row>
    <row r="1611">
      <c r="A1611" s="12" t="inlineStr">
        <is>
          <t>T-MOD-1 / T-MOD-2 firewall</t>
        </is>
      </c>
      <c r="B1611" s="12" t="inlineStr"/>
      <c r="C1611" s="12" t="inlineStr">
        <is>
          <t>I</t>
        </is>
      </c>
      <c r="D1611" s="12" t="inlineStr">
        <is>
          <t>Motor 2 of 6, 2 kW</t>
        </is>
      </c>
      <c r="E1611" s="12" t="n">
        <v>480</v>
      </c>
      <c r="F1611" s="12" t="n">
        <v>2</v>
      </c>
      <c r="G1611" s="12" t="n">
        <v>2.8</v>
      </c>
      <c r="H1611" s="12" t="inlineStr">
        <is>
          <t>MOD-LV 480 V board + 480 V : 13.8 kV step-up</t>
        </is>
      </c>
      <c r="I1611" s="12" t="inlineStr">
        <is>
          <t>LV 600 V</t>
        </is>
      </c>
      <c r="J1611" s="12" t="inlineStr">
        <is>
          <t>10</t>
        </is>
      </c>
      <c r="K1611" s="12" t="n">
        <v>1</v>
      </c>
    </row>
    <row r="1612">
      <c r="A1612" s="12" t="inlineStr">
        <is>
          <t>T-MOD-1 / T-MOD-2 firewall</t>
        </is>
      </c>
      <c r="B1612" s="12" t="inlineStr"/>
      <c r="C1612" s="12" t="inlineStr">
        <is>
          <t>I</t>
        </is>
      </c>
      <c r="D1612" s="12" t="inlineStr">
        <is>
          <t>Motor 3 of 6, 2 kW</t>
        </is>
      </c>
      <c r="E1612" s="12" t="n">
        <v>480</v>
      </c>
      <c r="F1612" s="12" t="n">
        <v>2</v>
      </c>
      <c r="G1612" s="12" t="n">
        <v>2.8</v>
      </c>
      <c r="H1612" s="12" t="inlineStr">
        <is>
          <t>MOD-LV 480 V board + 480 V : 13.8 kV step-up</t>
        </is>
      </c>
      <c r="I1612" s="12" t="inlineStr">
        <is>
          <t>LV 600 V</t>
        </is>
      </c>
      <c r="J1612" s="12" t="inlineStr">
        <is>
          <t>10</t>
        </is>
      </c>
      <c r="K1612" s="12" t="n">
        <v>1</v>
      </c>
    </row>
    <row r="1613">
      <c r="A1613" s="12" t="inlineStr">
        <is>
          <t>T-MOD-1 / T-MOD-2 firewall</t>
        </is>
      </c>
      <c r="B1613" s="12" t="inlineStr"/>
      <c r="C1613" s="12" t="inlineStr">
        <is>
          <t>I</t>
        </is>
      </c>
      <c r="D1613" s="12" t="inlineStr">
        <is>
          <t>Motor 4 of 6, 2 kW</t>
        </is>
      </c>
      <c r="E1613" s="12" t="n">
        <v>480</v>
      </c>
      <c r="F1613" s="12" t="n">
        <v>2</v>
      </c>
      <c r="G1613" s="12" t="n">
        <v>2.8</v>
      </c>
      <c r="H1613" s="12" t="inlineStr">
        <is>
          <t>MOD-LV 480 V board + 480 V : 13.8 kV step-up</t>
        </is>
      </c>
      <c r="I1613" s="12" t="inlineStr">
        <is>
          <t>LV 600 V</t>
        </is>
      </c>
      <c r="J1613" s="12" t="inlineStr">
        <is>
          <t>10</t>
        </is>
      </c>
      <c r="K1613" s="12" t="n">
        <v>1</v>
      </c>
    </row>
    <row r="1614">
      <c r="A1614" s="12" t="inlineStr">
        <is>
          <t>T-MOD-1 / T-MOD-2 firewall</t>
        </is>
      </c>
      <c r="B1614" s="12" t="inlineStr"/>
      <c r="C1614" s="12" t="inlineStr">
        <is>
          <t>I</t>
        </is>
      </c>
      <c r="D1614" s="12" t="inlineStr">
        <is>
          <t>Motor 5 of 6, 2 kW</t>
        </is>
      </c>
      <c r="E1614" s="12" t="n">
        <v>480</v>
      </c>
      <c r="F1614" s="12" t="n">
        <v>2</v>
      </c>
      <c r="G1614" s="12" t="n">
        <v>2.8</v>
      </c>
      <c r="H1614" s="12" t="inlineStr">
        <is>
          <t>MOD-LV 480 V board + 480 V : 13.8 kV step-up</t>
        </is>
      </c>
      <c r="I1614" s="12" t="inlineStr">
        <is>
          <t>LV 600 V</t>
        </is>
      </c>
      <c r="J1614" s="12" t="inlineStr">
        <is>
          <t>10</t>
        </is>
      </c>
      <c r="K1614" s="12" t="n">
        <v>1</v>
      </c>
    </row>
    <row r="1615">
      <c r="A1615" s="12" t="inlineStr">
        <is>
          <t>T-MOD-1 / T-MOD-2 firewall</t>
        </is>
      </c>
      <c r="B1615" s="12" t="inlineStr"/>
      <c r="C1615" s="12" t="inlineStr">
        <is>
          <t>I</t>
        </is>
      </c>
      <c r="D1615" s="12" t="inlineStr">
        <is>
          <t>Motor 6 of 6, 2 kW</t>
        </is>
      </c>
      <c r="E1615" s="12" t="n">
        <v>480</v>
      </c>
      <c r="F1615" s="12" t="n">
        <v>2</v>
      </c>
      <c r="G1615" s="12" t="n">
        <v>2.8</v>
      </c>
      <c r="H1615" s="12" t="inlineStr">
        <is>
          <t>MOD-LV 480 V board + 480 V : 13.8 kV step-up</t>
        </is>
      </c>
      <c r="I1615" s="12" t="inlineStr">
        <is>
          <t>LV 600 V</t>
        </is>
      </c>
      <c r="J1615" s="12" t="inlineStr">
        <is>
          <t>10</t>
        </is>
      </c>
      <c r="K1615" s="12" t="n">
        <v>1</v>
      </c>
    </row>
    <row r="1616">
      <c r="A1616" s="12" t="inlineStr">
        <is>
          <t>T-MOD-1: 13.8/230 kV</t>
        </is>
      </c>
      <c r="B1616" s="12" t="inlineStr">
        <is>
          <t>T-MOD-1</t>
        </is>
      </c>
      <c r="C1616" s="12" t="inlineStr">
        <is>
          <t>I</t>
        </is>
      </c>
      <c r="D1616" s="12" t="inlineStr">
        <is>
          <t>Motor 1 of 6, 2 kW</t>
        </is>
      </c>
      <c r="E1616" s="12" t="n">
        <v>480</v>
      </c>
      <c r="F1616" s="12" t="n">
        <v>2</v>
      </c>
      <c r="G1616" s="12" t="n">
        <v>2.8</v>
      </c>
      <c r="H1616" s="12" t="inlineStr">
        <is>
          <t>MOD-LV 480 V board + 480 V : 13.8 kV step-up</t>
        </is>
      </c>
      <c r="I1616" s="12" t="inlineStr">
        <is>
          <t>LV 600 V</t>
        </is>
      </c>
      <c r="J1616" s="12" t="inlineStr">
        <is>
          <t>10</t>
        </is>
      </c>
      <c r="K1616" s="12" t="n">
        <v>1</v>
      </c>
    </row>
    <row r="1617">
      <c r="A1617" s="12" t="inlineStr">
        <is>
          <t>T-MOD-1: 13.8/230 kV</t>
        </is>
      </c>
      <c r="B1617" s="12" t="inlineStr">
        <is>
          <t>T-MOD-1</t>
        </is>
      </c>
      <c r="C1617" s="12" t="inlineStr">
        <is>
          <t>I</t>
        </is>
      </c>
      <c r="D1617" s="12" t="inlineStr">
        <is>
          <t>Motor 2 of 6, 2 kW</t>
        </is>
      </c>
      <c r="E1617" s="12" t="n">
        <v>480</v>
      </c>
      <c r="F1617" s="12" t="n">
        <v>2</v>
      </c>
      <c r="G1617" s="12" t="n">
        <v>2.8</v>
      </c>
      <c r="H1617" s="12" t="inlineStr">
        <is>
          <t>MOD-LV 480 V board + 480 V : 13.8 kV step-up</t>
        </is>
      </c>
      <c r="I1617" s="12" t="inlineStr">
        <is>
          <t>LV 600 V</t>
        </is>
      </c>
      <c r="J1617" s="12" t="inlineStr">
        <is>
          <t>10</t>
        </is>
      </c>
      <c r="K1617" s="12" t="n">
        <v>1</v>
      </c>
    </row>
    <row r="1618">
      <c r="A1618" s="12" t="inlineStr">
        <is>
          <t>T-MOD-1: 13.8/230 kV</t>
        </is>
      </c>
      <c r="B1618" s="12" t="inlineStr">
        <is>
          <t>T-MOD-1</t>
        </is>
      </c>
      <c r="C1618" s="12" t="inlineStr">
        <is>
          <t>I</t>
        </is>
      </c>
      <c r="D1618" s="12" t="inlineStr">
        <is>
          <t>Motor 3 of 6, 2 kW</t>
        </is>
      </c>
      <c r="E1618" s="12" t="n">
        <v>480</v>
      </c>
      <c r="F1618" s="12" t="n">
        <v>2</v>
      </c>
      <c r="G1618" s="12" t="n">
        <v>2.8</v>
      </c>
      <c r="H1618" s="12" t="inlineStr">
        <is>
          <t>MOD-LV 480 V board + 480 V : 13.8 kV step-up</t>
        </is>
      </c>
      <c r="I1618" s="12" t="inlineStr">
        <is>
          <t>LV 600 V</t>
        </is>
      </c>
      <c r="J1618" s="12" t="inlineStr">
        <is>
          <t>10</t>
        </is>
      </c>
      <c r="K1618" s="12" t="n">
        <v>1</v>
      </c>
    </row>
    <row r="1619">
      <c r="A1619" s="12" t="inlineStr">
        <is>
          <t>T-MOD-1: 13.8/230 kV</t>
        </is>
      </c>
      <c r="B1619" s="12" t="inlineStr">
        <is>
          <t>T-MOD-1</t>
        </is>
      </c>
      <c r="C1619" s="12" t="inlineStr">
        <is>
          <t>I</t>
        </is>
      </c>
      <c r="D1619" s="12" t="inlineStr">
        <is>
          <t>Motor 4 of 6, 2 kW</t>
        </is>
      </c>
      <c r="E1619" s="12" t="n">
        <v>480</v>
      </c>
      <c r="F1619" s="12" t="n">
        <v>2</v>
      </c>
      <c r="G1619" s="12" t="n">
        <v>2.8</v>
      </c>
      <c r="H1619" s="12" t="inlineStr">
        <is>
          <t>MOD-LV 480 V board + 480 V : 13.8 kV step-up</t>
        </is>
      </c>
      <c r="I1619" s="12" t="inlineStr">
        <is>
          <t>LV 600 V</t>
        </is>
      </c>
      <c r="J1619" s="12" t="inlineStr">
        <is>
          <t>10</t>
        </is>
      </c>
      <c r="K1619" s="12" t="n">
        <v>1</v>
      </c>
    </row>
    <row r="1620">
      <c r="A1620" s="12" t="inlineStr">
        <is>
          <t>T-MOD-1: 13.8/230 kV</t>
        </is>
      </c>
      <c r="B1620" s="12" t="inlineStr">
        <is>
          <t>T-MOD-1</t>
        </is>
      </c>
      <c r="C1620" s="12" t="inlineStr">
        <is>
          <t>I</t>
        </is>
      </c>
      <c r="D1620" s="12" t="inlineStr">
        <is>
          <t>Motor 5 of 6, 2 kW</t>
        </is>
      </c>
      <c r="E1620" s="12" t="n">
        <v>480</v>
      </c>
      <c r="F1620" s="12" t="n">
        <v>2</v>
      </c>
      <c r="G1620" s="12" t="n">
        <v>2.8</v>
      </c>
      <c r="H1620" s="12" t="inlineStr">
        <is>
          <t>MOD-LV 480 V board + 480 V : 13.8 kV step-up</t>
        </is>
      </c>
      <c r="I1620" s="12" t="inlineStr">
        <is>
          <t>LV 600 V</t>
        </is>
      </c>
      <c r="J1620" s="12" t="inlineStr">
        <is>
          <t>10</t>
        </is>
      </c>
      <c r="K1620" s="12" t="n">
        <v>1</v>
      </c>
    </row>
    <row r="1621">
      <c r="A1621" s="12" t="inlineStr">
        <is>
          <t>T-MOD-1: 13.8/230 kV</t>
        </is>
      </c>
      <c r="B1621" s="12" t="inlineStr">
        <is>
          <t>T-MOD-1</t>
        </is>
      </c>
      <c r="C1621" s="12" t="inlineStr">
        <is>
          <t>I</t>
        </is>
      </c>
      <c r="D1621" s="12" t="inlineStr">
        <is>
          <t>Motor 6 of 6, 2 kW</t>
        </is>
      </c>
      <c r="E1621" s="12" t="n">
        <v>480</v>
      </c>
      <c r="F1621" s="12" t="n">
        <v>2</v>
      </c>
      <c r="G1621" s="12" t="n">
        <v>2.8</v>
      </c>
      <c r="H1621" s="12" t="inlineStr">
        <is>
          <t>MOD-LV 480 V board + 480 V : 13.8 kV step-up</t>
        </is>
      </c>
      <c r="I1621" s="12" t="inlineStr">
        <is>
          <t>LV 600 V</t>
        </is>
      </c>
      <c r="J1621" s="12" t="inlineStr">
        <is>
          <t>10</t>
        </is>
      </c>
      <c r="K1621" s="12" t="n">
        <v>1</v>
      </c>
    </row>
    <row r="1622">
      <c r="A1622" s="12" t="inlineStr">
        <is>
          <t>T-MOD-2: 13.8/230 kV</t>
        </is>
      </c>
      <c r="B1622" s="12" t="inlineStr">
        <is>
          <t>T-MOD-2</t>
        </is>
      </c>
      <c r="C1622" s="12" t="inlineStr">
        <is>
          <t>I</t>
        </is>
      </c>
      <c r="D1622" s="12" t="inlineStr">
        <is>
          <t>Motor 1 of 6, 2 kW</t>
        </is>
      </c>
      <c r="E1622" s="12" t="n">
        <v>480</v>
      </c>
      <c r="F1622" s="12" t="n">
        <v>2</v>
      </c>
      <c r="G1622" s="12" t="n">
        <v>2.8</v>
      </c>
      <c r="H1622" s="12" t="inlineStr">
        <is>
          <t>MOD-LV 480 V board + 480 V : 13.8 kV step-up</t>
        </is>
      </c>
      <c r="I1622" s="12" t="inlineStr">
        <is>
          <t>LV 600 V</t>
        </is>
      </c>
      <c r="J1622" s="12" t="inlineStr">
        <is>
          <t>10</t>
        </is>
      </c>
      <c r="K1622" s="12" t="n">
        <v>1</v>
      </c>
    </row>
    <row r="1623">
      <c r="A1623" s="12" t="inlineStr">
        <is>
          <t>T-MOD-2: 13.8/230 kV</t>
        </is>
      </c>
      <c r="B1623" s="12" t="inlineStr">
        <is>
          <t>T-MOD-2</t>
        </is>
      </c>
      <c r="C1623" s="12" t="inlineStr">
        <is>
          <t>I</t>
        </is>
      </c>
      <c r="D1623" s="12" t="inlineStr">
        <is>
          <t>Motor 2 of 6, 2 kW</t>
        </is>
      </c>
      <c r="E1623" s="12" t="n">
        <v>480</v>
      </c>
      <c r="F1623" s="12" t="n">
        <v>2</v>
      </c>
      <c r="G1623" s="12" t="n">
        <v>2.8</v>
      </c>
      <c r="H1623" s="12" t="inlineStr">
        <is>
          <t>MOD-LV 480 V board + 480 V : 13.8 kV step-up</t>
        </is>
      </c>
      <c r="I1623" s="12" t="inlineStr">
        <is>
          <t>LV 600 V</t>
        </is>
      </c>
      <c r="J1623" s="12" t="inlineStr">
        <is>
          <t>10</t>
        </is>
      </c>
      <c r="K1623" s="12" t="n">
        <v>1</v>
      </c>
    </row>
    <row r="1624">
      <c r="A1624" s="12" t="inlineStr">
        <is>
          <t>T-MOD-2: 13.8/230 kV</t>
        </is>
      </c>
      <c r="B1624" s="12" t="inlineStr">
        <is>
          <t>T-MOD-2</t>
        </is>
      </c>
      <c r="C1624" s="12" t="inlineStr">
        <is>
          <t>I</t>
        </is>
      </c>
      <c r="D1624" s="12" t="inlineStr">
        <is>
          <t>Motor 3 of 6, 2 kW</t>
        </is>
      </c>
      <c r="E1624" s="12" t="n">
        <v>480</v>
      </c>
      <c r="F1624" s="12" t="n">
        <v>2</v>
      </c>
      <c r="G1624" s="12" t="n">
        <v>2.8</v>
      </c>
      <c r="H1624" s="12" t="inlineStr">
        <is>
          <t>MOD-LV 480 V board + 480 V : 13.8 kV step-up</t>
        </is>
      </c>
      <c r="I1624" s="12" t="inlineStr">
        <is>
          <t>LV 600 V</t>
        </is>
      </c>
      <c r="J1624" s="12" t="inlineStr">
        <is>
          <t>10</t>
        </is>
      </c>
      <c r="K1624" s="12" t="n">
        <v>1</v>
      </c>
    </row>
    <row r="1625">
      <c r="A1625" s="12" t="inlineStr">
        <is>
          <t>T-MOD-2: 13.8/230 kV</t>
        </is>
      </c>
      <c r="B1625" s="12" t="inlineStr">
        <is>
          <t>T-MOD-2</t>
        </is>
      </c>
      <c r="C1625" s="12" t="inlineStr">
        <is>
          <t>I</t>
        </is>
      </c>
      <c r="D1625" s="12" t="inlineStr">
        <is>
          <t>Motor 4 of 6, 2 kW</t>
        </is>
      </c>
      <c r="E1625" s="12" t="n">
        <v>480</v>
      </c>
      <c r="F1625" s="12" t="n">
        <v>2</v>
      </c>
      <c r="G1625" s="12" t="n">
        <v>2.8</v>
      </c>
      <c r="H1625" s="12" t="inlineStr">
        <is>
          <t>MOD-LV 480 V board + 480 V : 13.8 kV step-up</t>
        </is>
      </c>
      <c r="I1625" s="12" t="inlineStr">
        <is>
          <t>LV 600 V</t>
        </is>
      </c>
      <c r="J1625" s="12" t="inlineStr">
        <is>
          <t>10</t>
        </is>
      </c>
      <c r="K1625" s="12" t="n">
        <v>1</v>
      </c>
    </row>
    <row r="1626">
      <c r="A1626" s="12" t="inlineStr">
        <is>
          <t>T-MOD-2: 13.8/230 kV</t>
        </is>
      </c>
      <c r="B1626" s="12" t="inlineStr">
        <is>
          <t>T-MOD-2</t>
        </is>
      </c>
      <c r="C1626" s="12" t="inlineStr">
        <is>
          <t>I</t>
        </is>
      </c>
      <c r="D1626" s="12" t="inlineStr">
        <is>
          <t>Motor 5 of 6, 2 kW</t>
        </is>
      </c>
      <c r="E1626" s="12" t="n">
        <v>480</v>
      </c>
      <c r="F1626" s="12" t="n">
        <v>2</v>
      </c>
      <c r="G1626" s="12" t="n">
        <v>2.8</v>
      </c>
      <c r="H1626" s="12" t="inlineStr">
        <is>
          <t>MOD-LV 480 V board + 480 V : 13.8 kV step-up</t>
        </is>
      </c>
      <c r="I1626" s="12" t="inlineStr">
        <is>
          <t>LV 600 V</t>
        </is>
      </c>
      <c r="J1626" s="12" t="inlineStr">
        <is>
          <t>10</t>
        </is>
      </c>
      <c r="K1626" s="12" t="n">
        <v>1</v>
      </c>
    </row>
    <row r="1627">
      <c r="A1627" s="12" t="inlineStr">
        <is>
          <t>T-MOD-2: 13.8/230 kV</t>
        </is>
      </c>
      <c r="B1627" s="12" t="inlineStr">
        <is>
          <t>T-MOD-2</t>
        </is>
      </c>
      <c r="C1627" s="12" t="inlineStr">
        <is>
          <t>I</t>
        </is>
      </c>
      <c r="D1627" s="12" t="inlineStr">
        <is>
          <t>Motor 6 of 6, 2 kW</t>
        </is>
      </c>
      <c r="E1627" s="12" t="n">
        <v>480</v>
      </c>
      <c r="F1627" s="12" t="n">
        <v>2</v>
      </c>
      <c r="G1627" s="12" t="n">
        <v>2.8</v>
      </c>
      <c r="H1627" s="12" t="inlineStr">
        <is>
          <t>MOD-LV 480 V board + 480 V : 13.8 kV step-up</t>
        </is>
      </c>
      <c r="I1627" s="12" t="inlineStr">
        <is>
          <t>LV 600 V</t>
        </is>
      </c>
      <c r="J1627" s="12" t="inlineStr">
        <is>
          <t>10</t>
        </is>
      </c>
      <c r="K1627" s="12" t="n">
        <v>1</v>
      </c>
    </row>
    <row r="1628">
      <c r="A1628" s="12" t="inlineStr">
        <is>
          <t>TM-1: trailer-mounted aeroderivative GT (TM2500 class, ~35 MW)</t>
        </is>
      </c>
      <c r="B1628" s="12" t="inlineStr">
        <is>
          <t>TM-1</t>
        </is>
      </c>
      <c r="C1628" s="12" t="inlineStr">
        <is>
          <t>I</t>
        </is>
      </c>
      <c r="D1628" s="12" t="inlineStr">
        <is>
          <t>Motor 1 of 6, 22 kW</t>
        </is>
      </c>
      <c r="E1628" s="12" t="n">
        <v>480</v>
      </c>
      <c r="F1628" s="12" t="n">
        <v>22</v>
      </c>
      <c r="G1628" s="12" t="n">
        <v>31.1</v>
      </c>
      <c r="H1628" s="12" t="inlineStr">
        <is>
          <t>MOD-LV 480 V board + 480 V : 13.8 kV step-up</t>
        </is>
      </c>
      <c r="I1628" s="12" t="inlineStr">
        <is>
          <t>LV 600 V</t>
        </is>
      </c>
      <c r="J1628" s="12" t="inlineStr">
        <is>
          <t>1</t>
        </is>
      </c>
      <c r="K1628" s="12" t="n">
        <v>1</v>
      </c>
    </row>
    <row r="1629">
      <c r="A1629" s="12" t="inlineStr">
        <is>
          <t>TM-1: trailer-mounted aeroderivative GT (TM2500 class, ~35 MW)</t>
        </is>
      </c>
      <c r="B1629" s="12" t="inlineStr">
        <is>
          <t>TM-1</t>
        </is>
      </c>
      <c r="C1629" s="12" t="inlineStr">
        <is>
          <t>I</t>
        </is>
      </c>
      <c r="D1629" s="12" t="inlineStr">
        <is>
          <t>Motor 2 of 6, 22 kW</t>
        </is>
      </c>
      <c r="E1629" s="12" t="n">
        <v>480</v>
      </c>
      <c r="F1629" s="12" t="n">
        <v>22</v>
      </c>
      <c r="G1629" s="12" t="n">
        <v>31.1</v>
      </c>
      <c r="H1629" s="12" t="inlineStr">
        <is>
          <t>MOD-LV 480 V board + 480 V : 13.8 kV step-up</t>
        </is>
      </c>
      <c r="I1629" s="12" t="inlineStr">
        <is>
          <t>LV 600 V</t>
        </is>
      </c>
      <c r="J1629" s="12" t="inlineStr">
        <is>
          <t>1</t>
        </is>
      </c>
      <c r="K1629" s="12" t="n">
        <v>1</v>
      </c>
    </row>
    <row r="1630">
      <c r="A1630" s="12" t="inlineStr">
        <is>
          <t>TM-1: trailer-mounted aeroderivative GT (TM2500 class, ~35 MW)</t>
        </is>
      </c>
      <c r="B1630" s="12" t="inlineStr">
        <is>
          <t>TM-1</t>
        </is>
      </c>
      <c r="C1630" s="12" t="inlineStr">
        <is>
          <t>I</t>
        </is>
      </c>
      <c r="D1630" s="12" t="inlineStr">
        <is>
          <t>Motor 3 of 6, 22 kW</t>
        </is>
      </c>
      <c r="E1630" s="12" t="n">
        <v>480</v>
      </c>
      <c r="F1630" s="12" t="n">
        <v>22</v>
      </c>
      <c r="G1630" s="12" t="n">
        <v>31.1</v>
      </c>
      <c r="H1630" s="12" t="inlineStr">
        <is>
          <t>MOD-LV 480 V board + 480 V : 13.8 kV step-up</t>
        </is>
      </c>
      <c r="I1630" s="12" t="inlineStr">
        <is>
          <t>LV 600 V</t>
        </is>
      </c>
      <c r="J1630" s="12" t="inlineStr">
        <is>
          <t>1</t>
        </is>
      </c>
      <c r="K1630" s="12" t="n">
        <v>1</v>
      </c>
    </row>
    <row r="1631">
      <c r="A1631" s="12" t="inlineStr">
        <is>
          <t>TM-1: trailer-mounted aeroderivative GT (TM2500 class, ~35 MW)</t>
        </is>
      </c>
      <c r="B1631" s="12" t="inlineStr">
        <is>
          <t>TM-1</t>
        </is>
      </c>
      <c r="C1631" s="12" t="inlineStr">
        <is>
          <t>I</t>
        </is>
      </c>
      <c r="D1631" s="12" t="inlineStr">
        <is>
          <t>Motor 4 of 6, 22 kW</t>
        </is>
      </c>
      <c r="E1631" s="12" t="n">
        <v>480</v>
      </c>
      <c r="F1631" s="12" t="n">
        <v>22</v>
      </c>
      <c r="G1631" s="12" t="n">
        <v>31.1</v>
      </c>
      <c r="H1631" s="12" t="inlineStr">
        <is>
          <t>MOD-LV 480 V board + 480 V : 13.8 kV step-up</t>
        </is>
      </c>
      <c r="I1631" s="12" t="inlineStr">
        <is>
          <t>LV 600 V</t>
        </is>
      </c>
      <c r="J1631" s="12" t="inlineStr">
        <is>
          <t>1</t>
        </is>
      </c>
      <c r="K1631" s="12" t="n">
        <v>1</v>
      </c>
    </row>
    <row r="1632">
      <c r="A1632" s="12" t="inlineStr">
        <is>
          <t>TM-1: trailer-mounted aeroderivative GT (TM2500 class, ~35 MW)</t>
        </is>
      </c>
      <c r="B1632" s="12" t="inlineStr">
        <is>
          <t>TM-1</t>
        </is>
      </c>
      <c r="C1632" s="12" t="inlineStr">
        <is>
          <t>I</t>
        </is>
      </c>
      <c r="D1632" s="12" t="inlineStr">
        <is>
          <t>Motor 5 of 6, 22 kW</t>
        </is>
      </c>
      <c r="E1632" s="12" t="n">
        <v>480</v>
      </c>
      <c r="F1632" s="12" t="n">
        <v>22</v>
      </c>
      <c r="G1632" s="12" t="n">
        <v>31.1</v>
      </c>
      <c r="H1632" s="12" t="inlineStr">
        <is>
          <t>MOD-LV 480 V board + 480 V : 13.8 kV step-up</t>
        </is>
      </c>
      <c r="I1632" s="12" t="inlineStr">
        <is>
          <t>LV 600 V</t>
        </is>
      </c>
      <c r="J1632" s="12" t="inlineStr">
        <is>
          <t>1</t>
        </is>
      </c>
      <c r="K1632" s="12" t="n">
        <v>1</v>
      </c>
    </row>
    <row r="1633">
      <c r="A1633" s="12" t="inlineStr">
        <is>
          <t>TM-1: trailer-mounted aeroderivative GT (TM2500 class, ~35 MW)</t>
        </is>
      </c>
      <c r="B1633" s="12" t="inlineStr">
        <is>
          <t>TM-1</t>
        </is>
      </c>
      <c r="C1633" s="12" t="inlineStr">
        <is>
          <t>I</t>
        </is>
      </c>
      <c r="D1633" s="12" t="inlineStr">
        <is>
          <t>Motor 6 of 6, 22 kW</t>
        </is>
      </c>
      <c r="E1633" s="12" t="n">
        <v>480</v>
      </c>
      <c r="F1633" s="12" t="n">
        <v>22</v>
      </c>
      <c r="G1633" s="12" t="n">
        <v>31.1</v>
      </c>
      <c r="H1633" s="12" t="inlineStr">
        <is>
          <t>MOD-LV 480 V board + 480 V : 13.8 kV step-up</t>
        </is>
      </c>
      <c r="I1633" s="12" t="inlineStr">
        <is>
          <t>LV 600 V</t>
        </is>
      </c>
      <c r="J1633" s="12" t="inlineStr">
        <is>
          <t>1</t>
        </is>
      </c>
      <c r="K1633" s="12" t="n">
        <v>1</v>
      </c>
    </row>
    <row r="1634">
      <c r="A1634" s="12" t="inlineStr">
        <is>
          <t>TM-2: trailer-mounted aeroderivative GT (TM2500 class, ~35 MW)</t>
        </is>
      </c>
      <c r="B1634" s="12" t="inlineStr">
        <is>
          <t>TM-2</t>
        </is>
      </c>
      <c r="C1634" s="12" t="inlineStr">
        <is>
          <t>I</t>
        </is>
      </c>
      <c r="D1634" s="12" t="inlineStr">
        <is>
          <t>Motor 1 of 6, 22 kW</t>
        </is>
      </c>
      <c r="E1634" s="12" t="n">
        <v>480</v>
      </c>
      <c r="F1634" s="12" t="n">
        <v>22</v>
      </c>
      <c r="G1634" s="12" t="n">
        <v>31.1</v>
      </c>
      <c r="H1634" s="12" t="inlineStr">
        <is>
          <t>MOD-LV 480 V board + 480 V : 13.8 kV step-up</t>
        </is>
      </c>
      <c r="I1634" s="12" t="inlineStr">
        <is>
          <t>LV 600 V</t>
        </is>
      </c>
      <c r="J1634" s="12" t="inlineStr">
        <is>
          <t>1</t>
        </is>
      </c>
      <c r="K1634" s="12" t="n">
        <v>1</v>
      </c>
    </row>
    <row r="1635">
      <c r="A1635" s="12" t="inlineStr">
        <is>
          <t>TM-2: trailer-mounted aeroderivative GT (TM2500 class, ~35 MW)</t>
        </is>
      </c>
      <c r="B1635" s="12" t="inlineStr">
        <is>
          <t>TM-2</t>
        </is>
      </c>
      <c r="C1635" s="12" t="inlineStr">
        <is>
          <t>I</t>
        </is>
      </c>
      <c r="D1635" s="12" t="inlineStr">
        <is>
          <t>Motor 2 of 6, 22 kW</t>
        </is>
      </c>
      <c r="E1635" s="12" t="n">
        <v>480</v>
      </c>
      <c r="F1635" s="12" t="n">
        <v>22</v>
      </c>
      <c r="G1635" s="12" t="n">
        <v>31.1</v>
      </c>
      <c r="H1635" s="12" t="inlineStr">
        <is>
          <t>MOD-LV 480 V board + 480 V : 13.8 kV step-up</t>
        </is>
      </c>
      <c r="I1635" s="12" t="inlineStr">
        <is>
          <t>LV 600 V</t>
        </is>
      </c>
      <c r="J1635" s="12" t="inlineStr">
        <is>
          <t>1</t>
        </is>
      </c>
      <c r="K1635" s="12" t="n">
        <v>1</v>
      </c>
    </row>
    <row r="1636">
      <c r="A1636" s="12" t="inlineStr">
        <is>
          <t>TM-2: trailer-mounted aeroderivative GT (TM2500 class, ~35 MW)</t>
        </is>
      </c>
      <c r="B1636" s="12" t="inlineStr">
        <is>
          <t>TM-2</t>
        </is>
      </c>
      <c r="C1636" s="12" t="inlineStr">
        <is>
          <t>I</t>
        </is>
      </c>
      <c r="D1636" s="12" t="inlineStr">
        <is>
          <t>Motor 3 of 6, 22 kW</t>
        </is>
      </c>
      <c r="E1636" s="12" t="n">
        <v>480</v>
      </c>
      <c r="F1636" s="12" t="n">
        <v>22</v>
      </c>
      <c r="G1636" s="12" t="n">
        <v>31.1</v>
      </c>
      <c r="H1636" s="12" t="inlineStr">
        <is>
          <t>MOD-LV 480 V board + 480 V : 13.8 kV step-up</t>
        </is>
      </c>
      <c r="I1636" s="12" t="inlineStr">
        <is>
          <t>LV 600 V</t>
        </is>
      </c>
      <c r="J1636" s="12" t="inlineStr">
        <is>
          <t>1</t>
        </is>
      </c>
      <c r="K1636" s="12" t="n">
        <v>1</v>
      </c>
    </row>
    <row r="1637">
      <c r="A1637" s="12" t="inlineStr">
        <is>
          <t>TM-2: trailer-mounted aeroderivative GT (TM2500 class, ~35 MW)</t>
        </is>
      </c>
      <c r="B1637" s="12" t="inlineStr">
        <is>
          <t>TM-2</t>
        </is>
      </c>
      <c r="C1637" s="12" t="inlineStr">
        <is>
          <t>I</t>
        </is>
      </c>
      <c r="D1637" s="12" t="inlineStr">
        <is>
          <t>Motor 4 of 6, 22 kW</t>
        </is>
      </c>
      <c r="E1637" s="12" t="n">
        <v>480</v>
      </c>
      <c r="F1637" s="12" t="n">
        <v>22</v>
      </c>
      <c r="G1637" s="12" t="n">
        <v>31.1</v>
      </c>
      <c r="H1637" s="12" t="inlineStr">
        <is>
          <t>MOD-LV 480 V board + 480 V : 13.8 kV step-up</t>
        </is>
      </c>
      <c r="I1637" s="12" t="inlineStr">
        <is>
          <t>LV 600 V</t>
        </is>
      </c>
      <c r="J1637" s="12" t="inlineStr">
        <is>
          <t>1</t>
        </is>
      </c>
      <c r="K1637" s="12" t="n">
        <v>1</v>
      </c>
    </row>
    <row r="1638">
      <c r="A1638" s="12" t="inlineStr">
        <is>
          <t>TM-2: trailer-mounted aeroderivative GT (TM2500 class, ~35 MW)</t>
        </is>
      </c>
      <c r="B1638" s="12" t="inlineStr">
        <is>
          <t>TM-2</t>
        </is>
      </c>
      <c r="C1638" s="12" t="inlineStr">
        <is>
          <t>I</t>
        </is>
      </c>
      <c r="D1638" s="12" t="inlineStr">
        <is>
          <t>Motor 5 of 6, 22 kW</t>
        </is>
      </c>
      <c r="E1638" s="12" t="n">
        <v>480</v>
      </c>
      <c r="F1638" s="12" t="n">
        <v>22</v>
      </c>
      <c r="G1638" s="12" t="n">
        <v>31.1</v>
      </c>
      <c r="H1638" s="12" t="inlineStr">
        <is>
          <t>MOD-LV 480 V board + 480 V : 13.8 kV step-up</t>
        </is>
      </c>
      <c r="I1638" s="12" t="inlineStr">
        <is>
          <t>LV 600 V</t>
        </is>
      </c>
      <c r="J1638" s="12" t="inlineStr">
        <is>
          <t>1</t>
        </is>
      </c>
      <c r="K1638" s="12" t="n">
        <v>1</v>
      </c>
    </row>
    <row r="1639">
      <c r="A1639" s="12" t="inlineStr">
        <is>
          <t>TM-2: trailer-mounted aeroderivative GT (TM2500 class, ~35 MW)</t>
        </is>
      </c>
      <c r="B1639" s="12" t="inlineStr">
        <is>
          <t>TM-2</t>
        </is>
      </c>
      <c r="C1639" s="12" t="inlineStr">
        <is>
          <t>I</t>
        </is>
      </c>
      <c r="D1639" s="12" t="inlineStr">
        <is>
          <t>Motor 6 of 6, 22 kW</t>
        </is>
      </c>
      <c r="E1639" s="12" t="n">
        <v>480</v>
      </c>
      <c r="F1639" s="12" t="n">
        <v>22</v>
      </c>
      <c r="G1639" s="12" t="n">
        <v>31.1</v>
      </c>
      <c r="H1639" s="12" t="inlineStr">
        <is>
          <t>MOD-LV 480 V board + 480 V : 13.8 kV step-up</t>
        </is>
      </c>
      <c r="I1639" s="12" t="inlineStr">
        <is>
          <t>LV 600 V</t>
        </is>
      </c>
      <c r="J1639" s="12" t="inlineStr">
        <is>
          <t>1</t>
        </is>
      </c>
      <c r="K1639" s="12" t="n">
        <v>1</v>
      </c>
    </row>
    <row r="1640">
      <c r="A1640" s="12" t="inlineStr">
        <is>
          <t>Water-injection skid</t>
        </is>
      </c>
      <c r="B1640" s="12" t="inlineStr"/>
      <c r="C1640" s="12" t="inlineStr">
        <is>
          <t>I</t>
        </is>
      </c>
      <c r="D1640" s="12" t="inlineStr">
        <is>
          <t>Motor 1 of 2, 75 kW</t>
        </is>
      </c>
      <c r="E1640" s="12" t="n">
        <v>480</v>
      </c>
      <c r="F1640" s="12" t="n">
        <v>75</v>
      </c>
      <c r="G1640" s="12" t="n">
        <v>106.1</v>
      </c>
      <c r="H1640" s="12" t="inlineStr">
        <is>
          <t>SC-2 PCM + 15 kV GCB</t>
        </is>
      </c>
      <c r="I1640" s="12" t="inlineStr">
        <is>
          <t>LV 600 V</t>
        </is>
      </c>
      <c r="J1640" s="12" t="inlineStr">
        <is>
          <t>1/0</t>
        </is>
      </c>
      <c r="K1640" s="12" t="n">
        <v>1</v>
      </c>
    </row>
    <row r="1641">
      <c r="A1641" s="12" t="inlineStr">
        <is>
          <t>Water-injection skid</t>
        </is>
      </c>
      <c r="B1641" s="12" t="inlineStr"/>
      <c r="C1641" s="12" t="inlineStr">
        <is>
          <t>I</t>
        </is>
      </c>
      <c r="D1641" s="12" t="inlineStr">
        <is>
          <t>Motor 2 of 2, 75 kW</t>
        </is>
      </c>
      <c r="E1641" s="12" t="n">
        <v>480</v>
      </c>
      <c r="F1641" s="12" t="n">
        <v>75</v>
      </c>
      <c r="G1641" s="12" t="n">
        <v>106.1</v>
      </c>
      <c r="H1641" s="12" t="inlineStr">
        <is>
          <t>SC-2 PCM + 15 kV GCB</t>
        </is>
      </c>
      <c r="I1641" s="12" t="inlineStr">
        <is>
          <t>LV 600 V</t>
        </is>
      </c>
      <c r="J1641" s="12" t="inlineStr">
        <is>
          <t>1/0</t>
        </is>
      </c>
      <c r="K1641" s="12" t="n">
        <v>1</v>
      </c>
    </row>
    <row r="1642">
      <c r="A1642" s="12" t="inlineStr">
        <is>
          <t>Fuel-gas compressors 3 x 100% electric</t>
        </is>
      </c>
      <c r="B1642" s="12" t="inlineStr"/>
      <c r="C1642" s="12" t="inlineStr">
        <is>
          <t>I</t>
        </is>
      </c>
      <c r="D1642" s="12" t="inlineStr">
        <is>
          <t>Modular-yard fuel-gas compressor</t>
        </is>
      </c>
      <c r="E1642" s="12" t="n">
        <v>13800</v>
      </c>
      <c r="F1642" s="12" t="n">
        <v>1500</v>
      </c>
      <c r="G1642" s="12" t="n">
        <v>70</v>
      </c>
      <c r="H1642" s="12" t="inlineStr">
        <is>
          <t>MOD-EH: 13.8 kV modular collector e-house</t>
        </is>
      </c>
      <c r="I1642" s="12" t="inlineStr">
        <is>
          <t>MV 15 kV</t>
        </is>
      </c>
      <c r="J1642" s="12" t="inlineStr">
        <is>
          <t>2</t>
        </is>
      </c>
      <c r="K1642" s="12" t="n">
        <v>1</v>
      </c>
    </row>
    <row r="1643">
      <c r="A1643" s="12" t="inlineStr">
        <is>
          <t>Fuel-gas compressors 3 x 100% electric</t>
        </is>
      </c>
      <c r="B1643" s="12" t="inlineStr"/>
      <c r="C1643" s="12" t="inlineStr">
        <is>
          <t>I</t>
        </is>
      </c>
      <c r="D1643" s="12" t="inlineStr">
        <is>
          <t>Modular-yard fuel-gas compressor</t>
        </is>
      </c>
      <c r="E1643" s="12" t="n">
        <v>13800</v>
      </c>
      <c r="F1643" s="12" t="n">
        <v>1500</v>
      </c>
      <c r="G1643" s="12" t="n">
        <v>70</v>
      </c>
      <c r="H1643" s="12" t="inlineStr">
        <is>
          <t>MOD-EH: 13.8 kV modular collector e-house</t>
        </is>
      </c>
      <c r="I1643" s="12" t="inlineStr">
        <is>
          <t>MV 15 kV</t>
        </is>
      </c>
      <c r="J1643" s="12" t="inlineStr">
        <is>
          <t>2</t>
        </is>
      </c>
      <c r="K1643" s="12" t="n">
        <v>1</v>
      </c>
    </row>
    <row r="1644">
      <c r="A1644" s="12" t="inlineStr">
        <is>
          <t>Fuel-gas compressors 3 x 100% electric</t>
        </is>
      </c>
      <c r="B1644" s="12" t="inlineStr"/>
      <c r="C1644" s="12" t="inlineStr">
        <is>
          <t>I</t>
        </is>
      </c>
      <c r="D1644" s="12" t="inlineStr">
        <is>
          <t>Modular-yard fuel-gas compressor</t>
        </is>
      </c>
      <c r="E1644" s="12" t="n">
        <v>13800</v>
      </c>
      <c r="F1644" s="12" t="n">
        <v>1500</v>
      </c>
      <c r="G1644" s="12" t="n">
        <v>70</v>
      </c>
      <c r="H1644" s="12" t="inlineStr">
        <is>
          <t>MOD-EH: 13.8 kV modular collector e-house</t>
        </is>
      </c>
      <c r="I1644" s="12" t="inlineStr">
        <is>
          <t>MV 15 kV</t>
        </is>
      </c>
      <c r="J1644" s="12" t="inlineStr">
        <is>
          <t>2</t>
        </is>
      </c>
      <c r="K1644" s="12" t="n">
        <v>1</v>
      </c>
    </row>
    <row r="1645">
      <c r="A1645" s="12" t="inlineStr">
        <is>
          <t>MOD-EH: 13.8 kV modular collector e-house</t>
        </is>
      </c>
      <c r="B1645" s="12" t="inlineStr">
        <is>
          <t>MOD-EH</t>
        </is>
      </c>
      <c r="C1645" s="12" t="inlineStr">
        <is>
          <t>I</t>
        </is>
      </c>
      <c r="D1645" s="12" t="inlineStr">
        <is>
          <t>SC-1 PCM to MOD-EH</t>
        </is>
      </c>
      <c r="E1645" s="12" t="n">
        <v>13800</v>
      </c>
      <c r="F1645" s="12" t="n">
        <v>50000</v>
      </c>
      <c r="G1645" s="12" t="n">
        <v>2092</v>
      </c>
      <c r="H1645" s="12" t="inlineStr">
        <is>
          <t>SC-1 PCM + 15 kV GCB</t>
        </is>
      </c>
      <c r="I1645" s="12" t="inlineStr">
        <is>
          <t>MV 15 kV</t>
        </is>
      </c>
      <c r="J1645" s="12" t="inlineStr">
        <is>
          <t>750 kcmil</t>
        </is>
      </c>
      <c r="K1645" s="12" t="n">
        <v>5</v>
      </c>
    </row>
    <row r="1646">
      <c r="A1646" s="12" t="inlineStr">
        <is>
          <t>MOD-EH: 13.8 kV modular collector e-house</t>
        </is>
      </c>
      <c r="B1646" s="12" t="inlineStr">
        <is>
          <t>MOD-EH</t>
        </is>
      </c>
      <c r="C1646" s="12" t="inlineStr">
        <is>
          <t>I</t>
        </is>
      </c>
      <c r="D1646" s="12" t="inlineStr">
        <is>
          <t>SC-2 PCM to MOD-EH</t>
        </is>
      </c>
      <c r="E1646" s="12" t="n">
        <v>13800</v>
      </c>
      <c r="F1646" s="12" t="n">
        <v>50000</v>
      </c>
      <c r="G1646" s="12" t="n">
        <v>2092</v>
      </c>
      <c r="H1646" s="12" t="inlineStr">
        <is>
          <t>SC-2 PCM + 15 kV GCB</t>
        </is>
      </c>
      <c r="I1646" s="12" t="inlineStr">
        <is>
          <t>MV 15 kV</t>
        </is>
      </c>
      <c r="J1646" s="12" t="inlineStr">
        <is>
          <t>750 kcmil</t>
        </is>
      </c>
      <c r="K1646" s="12" t="n">
        <v>5</v>
      </c>
    </row>
    <row r="1647">
      <c r="A1647" s="12" t="inlineStr">
        <is>
          <t>MOD-EH: 13.8 kV modular collector e-house</t>
        </is>
      </c>
      <c r="B1647" s="12" t="inlineStr">
        <is>
          <t>MOD-EH</t>
        </is>
      </c>
      <c r="C1647" s="12" t="inlineStr">
        <is>
          <t>I</t>
        </is>
      </c>
      <c r="D1647" s="12" t="inlineStr">
        <is>
          <t>MOD-LV step-up to MOD-EH</t>
        </is>
      </c>
      <c r="E1647" s="12" t="n">
        <v>13800</v>
      </c>
      <c r="F1647" s="12" t="n">
        <v>7500</v>
      </c>
      <c r="G1647" s="12" t="n">
        <v>314</v>
      </c>
      <c r="H1647" s="12" t="inlineStr">
        <is>
          <t>MOD-LV 480 V board + 480 V : 13.8 kV step-up</t>
        </is>
      </c>
      <c r="I1647" s="12" t="inlineStr">
        <is>
          <t>MV 15 kV</t>
        </is>
      </c>
      <c r="J1647" s="12" t="inlineStr">
        <is>
          <t>500 kcmil</t>
        </is>
      </c>
      <c r="K1647" s="12" t="n">
        <v>1</v>
      </c>
    </row>
    <row r="1648">
      <c r="A1648" s="12" t="inlineStr">
        <is>
          <t>PAD-EH 13.8 kV switchgear e-house</t>
        </is>
      </c>
      <c r="B1648" s="12" t="inlineStr">
        <is>
          <t>PAD-EH</t>
        </is>
      </c>
      <c r="C1648" s="12" t="inlineStr">
        <is>
          <t>I</t>
        </is>
      </c>
      <c r="D1648" s="12" t="inlineStr">
        <is>
          <t>CONT-3 13.8 kV to PAD-EH (extension section, ground tray)</t>
        </is>
      </c>
      <c r="E1648" s="12" t="n">
        <v>13800</v>
      </c>
      <c r="F1648" s="12" t="n">
        <v>2000</v>
      </c>
      <c r="G1648" s="12" t="n">
        <v>93</v>
      </c>
      <c r="H1648" s="12" t="inlineStr">
        <is>
          <t>CONT-3: containerized gas genset 13.8 kV (40 ft)</t>
        </is>
      </c>
      <c r="I1648" s="12" t="inlineStr">
        <is>
          <t>MV 15 kV</t>
        </is>
      </c>
      <c r="J1648" s="12" t="inlineStr">
        <is>
          <t>2</t>
        </is>
      </c>
      <c r="K1648" s="12" t="n">
        <v>1</v>
      </c>
    </row>
    <row r="1649">
      <c r="A1649" s="12" t="inlineStr">
        <is>
          <t>PAD-EH 13.8 kV switchgear e-house</t>
        </is>
      </c>
      <c r="B1649" s="12" t="inlineStr">
        <is>
          <t>PAD-EH</t>
        </is>
      </c>
      <c r="C1649" s="12" t="inlineStr">
        <is>
          <t>I</t>
        </is>
      </c>
      <c r="D1649" s="12" t="inlineStr">
        <is>
          <t>CONT-4 13.8 kV to PAD-EH (extension section, ground tray)</t>
        </is>
      </c>
      <c r="E1649" s="12" t="n">
        <v>13800</v>
      </c>
      <c r="F1649" s="12" t="n">
        <v>2000</v>
      </c>
      <c r="G1649" s="12" t="n">
        <v>93</v>
      </c>
      <c r="H1649" s="12" t="inlineStr">
        <is>
          <t>CONT-4: containerized gas genset 13.8 kV (40 ft)</t>
        </is>
      </c>
      <c r="I1649" s="12" t="inlineStr">
        <is>
          <t>MV 15 kV</t>
        </is>
      </c>
      <c r="J1649" s="12" t="inlineStr">
        <is>
          <t>2</t>
        </is>
      </c>
      <c r="K1649" s="12" t="n">
        <v>1</v>
      </c>
    </row>
    <row r="1650">
      <c r="A1650" s="12" t="inlineStr">
        <is>
          <t>PAD-EH 13.8 kV switchgear e-house</t>
        </is>
      </c>
      <c r="B1650" s="12" t="inlineStr">
        <is>
          <t>PAD-EH</t>
        </is>
      </c>
      <c r="C1650" s="12" t="inlineStr">
        <is>
          <t>I</t>
        </is>
      </c>
      <c r="D1650" s="12" t="inlineStr">
        <is>
          <t>CONT-5 13.8 kV to PAD-EH (extension section, ground tray)</t>
        </is>
      </c>
      <c r="E1650" s="12" t="n">
        <v>13800</v>
      </c>
      <c r="F1650" s="12" t="n">
        <v>2000</v>
      </c>
      <c r="G1650" s="12" t="n">
        <v>93</v>
      </c>
      <c r="H1650" s="12" t="inlineStr">
        <is>
          <t>CONT-5: containerized gas genset 13.8 kV (40 ft)</t>
        </is>
      </c>
      <c r="I1650" s="12" t="inlineStr">
        <is>
          <t>MV 15 kV</t>
        </is>
      </c>
      <c r="J1650" s="12" t="inlineStr">
        <is>
          <t>2</t>
        </is>
      </c>
      <c r="K1650" s="12" t="n">
        <v>1</v>
      </c>
    </row>
    <row r="1651">
      <c r="A1651" s="12" t="inlineStr">
        <is>
          <t>PAD-EH 13.8 kV switchgear e-house</t>
        </is>
      </c>
      <c r="B1651" s="12" t="inlineStr">
        <is>
          <t>PAD-EH</t>
        </is>
      </c>
      <c r="C1651" s="12" t="inlineStr">
        <is>
          <t>I</t>
        </is>
      </c>
      <c r="D1651" s="12" t="inlineStr">
        <is>
          <t>CONT-6 13.8 kV to PAD-EH (extension section, ground tray)</t>
        </is>
      </c>
      <c r="E1651" s="12" t="n">
        <v>13800</v>
      </c>
      <c r="F1651" s="12" t="n">
        <v>2000</v>
      </c>
      <c r="G1651" s="12" t="n">
        <v>93</v>
      </c>
      <c r="H1651" s="12" t="inlineStr">
        <is>
          <t>CONT-6: containerized gas genset 13.8 kV (40 ft)</t>
        </is>
      </c>
      <c r="I1651" s="12" t="inlineStr">
        <is>
          <t>MV 15 kV</t>
        </is>
      </c>
      <c r="J1651" s="12" t="inlineStr">
        <is>
          <t>2</t>
        </is>
      </c>
      <c r="K1651" s="12" t="n">
        <v>1</v>
      </c>
    </row>
    <row r="1652">
      <c r="A1652" s="12" t="inlineStr">
        <is>
          <t>PAD-EH 13.8 kV switchgear e-house</t>
        </is>
      </c>
      <c r="B1652" s="12" t="inlineStr">
        <is>
          <t>PAD-EH</t>
        </is>
      </c>
      <c r="C1652" s="12" t="inlineStr">
        <is>
          <t>I</t>
        </is>
      </c>
      <c r="D1652" s="12" t="inlineStr">
        <is>
          <t>CONT-7 13.8 kV to PAD-EH (extension section, ground tray)</t>
        </is>
      </c>
      <c r="E1652" s="12" t="n">
        <v>13800</v>
      </c>
      <c r="F1652" s="12" t="n">
        <v>2000</v>
      </c>
      <c r="G1652" s="12" t="n">
        <v>93</v>
      </c>
      <c r="H1652" s="12" t="inlineStr">
        <is>
          <t>CONT-7: containerized gas genset 13.8 kV (40 ft)</t>
        </is>
      </c>
      <c r="I1652" s="12" t="inlineStr">
        <is>
          <t>MV 15 kV</t>
        </is>
      </c>
      <c r="J1652" s="12" t="inlineStr">
        <is>
          <t>2</t>
        </is>
      </c>
      <c r="K1652" s="12" t="n">
        <v>1</v>
      </c>
    </row>
    <row r="1653">
      <c r="A1653" s="12" t="inlineStr">
        <is>
          <t>PAD-EH 13.8 kV switchgear e-house</t>
        </is>
      </c>
      <c r="B1653" s="12" t="inlineStr">
        <is>
          <t>PAD-EH</t>
        </is>
      </c>
      <c r="C1653" s="12" t="inlineStr">
        <is>
          <t>I</t>
        </is>
      </c>
      <c r="D1653" s="12" t="inlineStr">
        <is>
          <t>CONT-8 13.8 kV to PAD-EH (extension section, ground tray)</t>
        </is>
      </c>
      <c r="E1653" s="12" t="n">
        <v>13800</v>
      </c>
      <c r="F1653" s="12" t="n">
        <v>2000</v>
      </c>
      <c r="G1653" s="12" t="n">
        <v>93</v>
      </c>
      <c r="H1653" s="12" t="inlineStr">
        <is>
          <t>CONT-8: containerized gas genset 13.8 kV (40 ft)</t>
        </is>
      </c>
      <c r="I1653" s="12" t="inlineStr">
        <is>
          <t>MV 15 kV</t>
        </is>
      </c>
      <c r="J1653" s="12" t="inlineStr">
        <is>
          <t>2</t>
        </is>
      </c>
      <c r="K1653" s="12" t="n">
        <v>1</v>
      </c>
    </row>
    <row r="1654">
      <c r="A1654" s="12" t="inlineStr">
        <is>
          <t>PAD-EH 13.8 kV switchgear e-house</t>
        </is>
      </c>
      <c r="B1654" s="12" t="inlineStr">
        <is>
          <t>PAD-EH</t>
        </is>
      </c>
      <c r="C1654" s="12" t="inlineStr">
        <is>
          <t>I</t>
        </is>
      </c>
      <c r="D1654" s="12" t="inlineStr">
        <is>
          <t>TM-1 (TM2500) generator leads to PAD-EH</t>
        </is>
      </c>
      <c r="E1654" s="12" t="n">
        <v>13800</v>
      </c>
      <c r="F1654" s="12" t="n">
        <v>35000</v>
      </c>
      <c r="G1654" s="12" t="n">
        <v>1464</v>
      </c>
      <c r="H1654" s="12" t="inlineStr">
        <is>
          <t>TM-1: trailer-mounted aeroderivative GT (TM2500 class, ~35 M</t>
        </is>
      </c>
      <c r="I1654" s="12" t="inlineStr">
        <is>
          <t>MV 15 kV</t>
        </is>
      </c>
      <c r="J1654" s="12" t="inlineStr">
        <is>
          <t>1000 kcmil</t>
        </is>
      </c>
      <c r="K1654" s="12" t="n">
        <v>3</v>
      </c>
    </row>
    <row r="1655">
      <c r="A1655" s="12" t="inlineStr">
        <is>
          <t>PAD-EH 13.8 kV switchgear e-house</t>
        </is>
      </c>
      <c r="B1655" s="12" t="inlineStr">
        <is>
          <t>PAD-EH</t>
        </is>
      </c>
      <c r="C1655" s="12" t="inlineStr">
        <is>
          <t>I</t>
        </is>
      </c>
      <c r="D1655" s="12" t="inlineStr">
        <is>
          <t>TM-2 (TM2500) generator leads to PAD-EH</t>
        </is>
      </c>
      <c r="E1655" s="12" t="n">
        <v>13800</v>
      </c>
      <c r="F1655" s="12" t="n">
        <v>35000</v>
      </c>
      <c r="G1655" s="12" t="n">
        <v>1464</v>
      </c>
      <c r="H1655" s="12" t="inlineStr">
        <is>
          <t>TM-2: trailer-mounted aeroderivative GT (TM2500 class, ~35 M</t>
        </is>
      </c>
      <c r="I1655" s="12" t="inlineStr">
        <is>
          <t>MV 15 kV</t>
        </is>
      </c>
      <c r="J1655" s="12" t="inlineStr">
        <is>
          <t>1000 kcmil</t>
        </is>
      </c>
      <c r="K1655" s="12" t="n">
        <v>3</v>
      </c>
    </row>
    <row r="1656">
      <c r="A1656" s="12" t="inlineStr">
        <is>
          <t>PCM: power control module</t>
        </is>
      </c>
      <c r="B1656" s="12" t="inlineStr"/>
      <c r="C1656" s="12" t="inlineStr">
        <is>
          <t>I</t>
        </is>
      </c>
      <c r="D1656" s="12" t="inlineStr">
        <is>
          <t>RICE-1 generator leads to the PCM</t>
        </is>
      </c>
      <c r="E1656" s="12" t="n">
        <v>13800</v>
      </c>
      <c r="F1656" s="12" t="n">
        <v>18400</v>
      </c>
      <c r="G1656" s="12" t="n">
        <v>770</v>
      </c>
      <c r="H1656" s="12" t="inlineStr">
        <is>
          <t>RICE engine-generator 1</t>
        </is>
      </c>
      <c r="I1656" s="12" t="inlineStr">
        <is>
          <t>MV 15 kV</t>
        </is>
      </c>
      <c r="J1656" s="12" t="inlineStr">
        <is>
          <t>750 kcmil</t>
        </is>
      </c>
      <c r="K1656" s="12" t="n">
        <v>2</v>
      </c>
    </row>
    <row r="1657">
      <c r="A1657" s="12" t="inlineStr">
        <is>
          <t>PCM: power control module</t>
        </is>
      </c>
      <c r="B1657" s="12" t="inlineStr"/>
      <c r="C1657" s="12" t="inlineStr">
        <is>
          <t>I</t>
        </is>
      </c>
      <c r="D1657" s="12" t="inlineStr">
        <is>
          <t>RICE-2 generator leads to the PCM</t>
        </is>
      </c>
      <c r="E1657" s="12" t="n">
        <v>13800</v>
      </c>
      <c r="F1657" s="12" t="n">
        <v>18400</v>
      </c>
      <c r="G1657" s="12" t="n">
        <v>770</v>
      </c>
      <c r="H1657" s="12" t="inlineStr">
        <is>
          <t>RICE engine-generator 2</t>
        </is>
      </c>
      <c r="I1657" s="12" t="inlineStr">
        <is>
          <t>MV 15 kV</t>
        </is>
      </c>
      <c r="J1657" s="12" t="inlineStr">
        <is>
          <t>750 kcmil</t>
        </is>
      </c>
      <c r="K1657" s="12" t="n">
        <v>2</v>
      </c>
    </row>
    <row r="1658">
      <c r="A1658" s="12" t="inlineStr">
        <is>
          <t>PCM: power control module</t>
        </is>
      </c>
      <c r="B1658" s="12" t="inlineStr"/>
      <c r="C1658" s="12" t="inlineStr">
        <is>
          <t>I</t>
        </is>
      </c>
      <c r="D1658" s="12" t="inlineStr">
        <is>
          <t>RICE-3 generator leads to the PCM</t>
        </is>
      </c>
      <c r="E1658" s="12" t="n">
        <v>13800</v>
      </c>
      <c r="F1658" s="12" t="n">
        <v>18400</v>
      </c>
      <c r="G1658" s="12" t="n">
        <v>770</v>
      </c>
      <c r="H1658" s="12" t="inlineStr">
        <is>
          <t>RICE engine-generator 3</t>
        </is>
      </c>
      <c r="I1658" s="12" t="inlineStr">
        <is>
          <t>MV 15 kV</t>
        </is>
      </c>
      <c r="J1658" s="12" t="inlineStr">
        <is>
          <t>750 kcmil</t>
        </is>
      </c>
      <c r="K1658" s="12" t="n">
        <v>2</v>
      </c>
    </row>
    <row r="1659">
      <c r="A1659" s="12" t="inlineStr">
        <is>
          <t>PCM: power control module</t>
        </is>
      </c>
      <c r="B1659" s="12" t="inlineStr"/>
      <c r="C1659" s="12" t="inlineStr">
        <is>
          <t>I</t>
        </is>
      </c>
      <c r="D1659" s="12" t="inlineStr">
        <is>
          <t>RICE-4 generator leads to the PCM</t>
        </is>
      </c>
      <c r="E1659" s="12" t="n">
        <v>13800</v>
      </c>
      <c r="F1659" s="12" t="n">
        <v>18400</v>
      </c>
      <c r="G1659" s="12" t="n">
        <v>770</v>
      </c>
      <c r="H1659" s="12" t="inlineStr">
        <is>
          <t>RICE engine-generator 4</t>
        </is>
      </c>
      <c r="I1659" s="12" t="inlineStr">
        <is>
          <t>MV 15 kV</t>
        </is>
      </c>
      <c r="J1659" s="12" t="inlineStr">
        <is>
          <t>750 kcmil</t>
        </is>
      </c>
      <c r="K1659" s="12" t="n">
        <v>2</v>
      </c>
    </row>
    <row r="1660">
      <c r="A1660" s="12" t="inlineStr">
        <is>
          <t>PCM: power control module</t>
        </is>
      </c>
      <c r="B1660" s="12" t="inlineStr"/>
      <c r="C1660" s="12" t="inlineStr">
        <is>
          <t>I</t>
        </is>
      </c>
      <c r="D1660" s="12" t="inlineStr">
        <is>
          <t>RICE-5 generator leads to the PCM</t>
        </is>
      </c>
      <c r="E1660" s="12" t="n">
        <v>13800</v>
      </c>
      <c r="F1660" s="12" t="n">
        <v>18400</v>
      </c>
      <c r="G1660" s="12" t="n">
        <v>770</v>
      </c>
      <c r="H1660" s="12" t="inlineStr">
        <is>
          <t>RICE engine-generator 5</t>
        </is>
      </c>
      <c r="I1660" s="12" t="inlineStr">
        <is>
          <t>MV 15 kV</t>
        </is>
      </c>
      <c r="J1660" s="12" t="inlineStr">
        <is>
          <t>750 kcmil</t>
        </is>
      </c>
      <c r="K1660" s="12" t="n">
        <v>2</v>
      </c>
    </row>
    <row r="1661">
      <c r="A1661" s="12" t="inlineStr">
        <is>
          <t>PCM: power control module</t>
        </is>
      </c>
      <c r="B1661" s="12" t="inlineStr"/>
      <c r="C1661" s="12" t="inlineStr">
        <is>
          <t>I</t>
        </is>
      </c>
      <c r="D1661" s="12" t="inlineStr">
        <is>
          <t>RICE-6 generator leads to the PCM</t>
        </is>
      </c>
      <c r="E1661" s="12" t="n">
        <v>13800</v>
      </c>
      <c r="F1661" s="12" t="n">
        <v>18400</v>
      </c>
      <c r="G1661" s="12" t="n">
        <v>770</v>
      </c>
      <c r="H1661" s="12" t="inlineStr">
        <is>
          <t>RICE engine-generator 6</t>
        </is>
      </c>
      <c r="I1661" s="12" t="inlineStr">
        <is>
          <t>MV 15 kV</t>
        </is>
      </c>
      <c r="J1661" s="12" t="inlineStr">
        <is>
          <t>750 kcmil</t>
        </is>
      </c>
      <c r="K1661" s="12" t="n">
        <v>2</v>
      </c>
    </row>
    <row r="1662">
      <c r="A1662" s="12" t="inlineStr">
        <is>
          <t>PCM: power control module</t>
        </is>
      </c>
      <c r="B1662" s="12" t="inlineStr"/>
      <c r="C1662" s="12" t="inlineStr">
        <is>
          <t>I</t>
        </is>
      </c>
      <c r="D1662" s="12" t="inlineStr">
        <is>
          <t>RICE-7 generator leads to the PCM</t>
        </is>
      </c>
      <c r="E1662" s="12" t="n">
        <v>13800</v>
      </c>
      <c r="F1662" s="12" t="n">
        <v>18400</v>
      </c>
      <c r="G1662" s="12" t="n">
        <v>770</v>
      </c>
      <c r="H1662" s="12" t="inlineStr">
        <is>
          <t>RICE engine-generator 7</t>
        </is>
      </c>
      <c r="I1662" s="12" t="inlineStr">
        <is>
          <t>MV 15 kV</t>
        </is>
      </c>
      <c r="J1662" s="12" t="inlineStr">
        <is>
          <t>750 kcmil</t>
        </is>
      </c>
      <c r="K1662" s="12" t="n">
        <v>2</v>
      </c>
    </row>
    <row r="1663">
      <c r="A1663" s="12" t="inlineStr">
        <is>
          <t>PCM: power control module</t>
        </is>
      </c>
      <c r="B1663" s="12" t="inlineStr"/>
      <c r="C1663" s="12" t="inlineStr">
        <is>
          <t>I</t>
        </is>
      </c>
      <c r="D1663" s="12" t="inlineStr">
        <is>
          <t>RICE-8 generator leads to the PCM</t>
        </is>
      </c>
      <c r="E1663" s="12" t="n">
        <v>13800</v>
      </c>
      <c r="F1663" s="12" t="n">
        <v>18400</v>
      </c>
      <c r="G1663" s="12" t="n">
        <v>770</v>
      </c>
      <c r="H1663" s="12" t="inlineStr">
        <is>
          <t>RICE engine-generator 8</t>
        </is>
      </c>
      <c r="I1663" s="12" t="inlineStr">
        <is>
          <t>MV 15 kV</t>
        </is>
      </c>
      <c r="J1663" s="12" t="inlineStr">
        <is>
          <t>750 kcmil</t>
        </is>
      </c>
      <c r="K1663" s="12" t="n">
        <v>2</v>
      </c>
    </row>
    <row r="1664">
      <c r="A1664" s="12" t="inlineStr">
        <is>
          <t>SC-1 PCM + 15 kV GCB</t>
        </is>
      </c>
      <c r="B1664" s="12" t="inlineStr"/>
      <c r="C1664" s="12" t="inlineStr">
        <is>
          <t>I</t>
        </is>
      </c>
      <c r="D1664" s="12" t="inlineStr">
        <is>
          <t>SC-1 (LM6000 class) generator leads to its PCM / GCB</t>
        </is>
      </c>
      <c r="E1664" s="12" t="n">
        <v>13800</v>
      </c>
      <c r="F1664" s="12" t="n">
        <v>50000</v>
      </c>
      <c r="G1664" s="12" t="n">
        <v>2092</v>
      </c>
      <c r="H1664" s="12" t="inlineStr">
        <is>
          <t>SC-1: aeroderivative simple-cycle unit (LM6000 class)</t>
        </is>
      </c>
      <c r="I1664" s="12" t="inlineStr">
        <is>
          <t>MV 15 kV</t>
        </is>
      </c>
      <c r="J1664" s="12" t="inlineStr">
        <is>
          <t>750 kcmil</t>
        </is>
      </c>
      <c r="K1664" s="12" t="n">
        <v>5</v>
      </c>
    </row>
    <row r="1665">
      <c r="A1665" s="12" t="inlineStr">
        <is>
          <t>SC-1 PCM + 15 kV GCB</t>
        </is>
      </c>
      <c r="B1665" s="12" t="inlineStr"/>
      <c r="C1665" s="12" t="inlineStr">
        <is>
          <t>I</t>
        </is>
      </c>
      <c r="D1665" s="12" t="inlineStr">
        <is>
          <t>SC-1 PCM auxiliary transformer primary, 2 MVA 13.8 kV / 480 V (from the GCB bus)</t>
        </is>
      </c>
      <c r="E1665" s="12" t="n">
        <v>13800</v>
      </c>
      <c r="F1665" s="12" t="n">
        <v>2000</v>
      </c>
      <c r="G1665" s="12" t="n">
        <v>84</v>
      </c>
      <c r="H1665" s="12" t="inlineStr">
        <is>
          <t>SC-1 PCM + 15 kV GCB</t>
        </is>
      </c>
      <c r="I1665" s="12" t="inlineStr">
        <is>
          <t>MV 15 kV</t>
        </is>
      </c>
      <c r="J1665" s="12" t="inlineStr">
        <is>
          <t>2</t>
        </is>
      </c>
      <c r="K1665" s="12" t="n">
        <v>1</v>
      </c>
    </row>
    <row r="1666">
      <c r="A1666" s="12" t="inlineStr">
        <is>
          <t>SC-2 PCM + 15 kV GCB</t>
        </is>
      </c>
      <c r="B1666" s="12" t="inlineStr"/>
      <c r="C1666" s="12" t="inlineStr">
        <is>
          <t>I</t>
        </is>
      </c>
      <c r="D1666" s="12" t="inlineStr">
        <is>
          <t>SC-2 (LM6000 class) generator leads to its PCM / GCB</t>
        </is>
      </c>
      <c r="E1666" s="12" t="n">
        <v>13800</v>
      </c>
      <c r="F1666" s="12" t="n">
        <v>50000</v>
      </c>
      <c r="G1666" s="12" t="n">
        <v>2092</v>
      </c>
      <c r="H1666" s="12" t="inlineStr">
        <is>
          <t>SC-2: aeroderivative simple-cycle unit (LM6000 class)</t>
        </is>
      </c>
      <c r="I1666" s="12" t="inlineStr">
        <is>
          <t>MV 15 kV</t>
        </is>
      </c>
      <c r="J1666" s="12" t="inlineStr">
        <is>
          <t>750 kcmil</t>
        </is>
      </c>
      <c r="K1666" s="12" t="n">
        <v>5</v>
      </c>
    </row>
    <row r="1667">
      <c r="A1667" s="12" t="inlineStr">
        <is>
          <t>SC-2 PCM + 15 kV GCB</t>
        </is>
      </c>
      <c r="B1667" s="12" t="inlineStr"/>
      <c r="C1667" s="12" t="inlineStr">
        <is>
          <t>I</t>
        </is>
      </c>
      <c r="D1667" s="12" t="inlineStr">
        <is>
          <t>SC-2 PCM auxiliary transformer primary, 2 MVA 13.8 kV / 480 V (from the GCB bus)</t>
        </is>
      </c>
      <c r="E1667" s="12" t="n">
        <v>13800</v>
      </c>
      <c r="F1667" s="12" t="n">
        <v>2000</v>
      </c>
      <c r="G1667" s="12" t="n">
        <v>84</v>
      </c>
      <c r="H1667" s="12" t="inlineStr">
        <is>
          <t>SC-2 PCM + 15 kV GCB</t>
        </is>
      </c>
      <c r="I1667" s="12" t="inlineStr">
        <is>
          <t>MV 15 kV</t>
        </is>
      </c>
      <c r="J1667" s="12" t="inlineStr">
        <is>
          <t>2</t>
        </is>
      </c>
      <c r="K1667" s="12" t="n">
        <v>1</v>
      </c>
    </row>
    <row r="1668">
      <c r="A1668" s="12" t="inlineStr">
        <is>
          <t>GBT-1: block GB-1 step-up 480 V : 34.5 kV, ~3 MVA pad-mount (on the 35</t>
        </is>
      </c>
      <c r="B1668" s="12" t="inlineStr">
        <is>
          <t>GBT-1</t>
        </is>
      </c>
      <c r="C1668" s="12" t="inlineStr">
        <is>
          <t>I</t>
        </is>
      </c>
      <c r="D1668" s="12" t="inlineStr">
        <is>
          <t>L3 35 kV collector loop, segment 1 of 5 (SWG-MY to GBT-1)</t>
        </is>
      </c>
      <c r="E1668" s="12" t="n">
        <v>34500</v>
      </c>
      <c r="F1668" s="12" t="n">
        <v>10000</v>
      </c>
      <c r="G1668" s="12" t="n">
        <v>167</v>
      </c>
      <c r="H1668" s="12" t="inlineStr">
        <is>
          <t>SWG-MY: 35 kV switchgear lineup for the modular blocks (grou</t>
        </is>
      </c>
      <c r="I1668" s="12" t="inlineStr">
        <is>
          <t>MV 35 kV</t>
        </is>
      </c>
      <c r="J1668" s="12" t="inlineStr">
        <is>
          <t>750 kcmil</t>
        </is>
      </c>
      <c r="K1668" s="12" t="n">
        <v>1</v>
      </c>
    </row>
    <row r="1669">
      <c r="A1669" s="12" t="inlineStr">
        <is>
          <t>GBT-2: block GB-2 step-up 480 V : 34.5 kV, ~3 MVA pad-mount (on the 35</t>
        </is>
      </c>
      <c r="B1669" s="12" t="inlineStr">
        <is>
          <t>GBT-2</t>
        </is>
      </c>
      <c r="C1669" s="12" t="inlineStr">
        <is>
          <t>I</t>
        </is>
      </c>
      <c r="D1669" s="12" t="inlineStr">
        <is>
          <t>L3 35 kV collector loop, segment 2 of 5 (GBT-1 to GBT-2)</t>
        </is>
      </c>
      <c r="E1669" s="12" t="n">
        <v>34500</v>
      </c>
      <c r="F1669" s="12" t="n">
        <v>10000</v>
      </c>
      <c r="G1669" s="12" t="n">
        <v>167</v>
      </c>
      <c r="H1669" s="12" t="inlineStr">
        <is>
          <t xml:space="preserve">GBT-1: block GB-1 step-up 480 V : 34.5 kV, ~3 MVA pad-mount </t>
        </is>
      </c>
      <c r="I1669" s="12" t="inlineStr">
        <is>
          <t>MV 35 kV</t>
        </is>
      </c>
      <c r="J1669" s="12" t="inlineStr">
        <is>
          <t>750 kcmil</t>
        </is>
      </c>
      <c r="K1669" s="12" t="n">
        <v>1</v>
      </c>
    </row>
    <row r="1670">
      <c r="A1670" s="12" t="inlineStr">
        <is>
          <t>GBT-3: block GB-3 step-up 480 V : 34.5 kV, ~3 MVA pad-mount (on the 35</t>
        </is>
      </c>
      <c r="B1670" s="12" t="inlineStr">
        <is>
          <t>GBT-3</t>
        </is>
      </c>
      <c r="C1670" s="12" t="inlineStr">
        <is>
          <t>I</t>
        </is>
      </c>
      <c r="D1670" s="12" t="inlineStr">
        <is>
          <t>L3 35 kV collector loop, segment 3 of 5 (GBT-2 to GBT-3)</t>
        </is>
      </c>
      <c r="E1670" s="12" t="n">
        <v>34500</v>
      </c>
      <c r="F1670" s="12" t="n">
        <v>10000</v>
      </c>
      <c r="G1670" s="12" t="n">
        <v>167</v>
      </c>
      <c r="H1670" s="12" t="inlineStr">
        <is>
          <t xml:space="preserve">GBT-2: block GB-2 step-up 480 V : 34.5 kV, ~3 MVA pad-mount </t>
        </is>
      </c>
      <c r="I1670" s="12" t="inlineStr">
        <is>
          <t>MV 35 kV</t>
        </is>
      </c>
      <c r="J1670" s="12" t="inlineStr">
        <is>
          <t>750 kcmil</t>
        </is>
      </c>
      <c r="K1670" s="12" t="n">
        <v>1</v>
      </c>
    </row>
    <row r="1671">
      <c r="A1671" s="12" t="inlineStr">
        <is>
          <t>GBT-4: block GB-4 step-up 480 V : 34.5 kV, ~3 MVA pad-mount (on the 35</t>
        </is>
      </c>
      <c r="B1671" s="12" t="inlineStr">
        <is>
          <t>GBT-4</t>
        </is>
      </c>
      <c r="C1671" s="12" t="inlineStr">
        <is>
          <t>I</t>
        </is>
      </c>
      <c r="D1671" s="12" t="inlineStr">
        <is>
          <t>L3 35 kV collector loop, segment 4 of 5 (GBT-3 to GBT-4)</t>
        </is>
      </c>
      <c r="E1671" s="12" t="n">
        <v>34500</v>
      </c>
      <c r="F1671" s="12" t="n">
        <v>10000</v>
      </c>
      <c r="G1671" s="12" t="n">
        <v>167</v>
      </c>
      <c r="H1671" s="12" t="inlineStr">
        <is>
          <t xml:space="preserve">GBT-3: block GB-3 step-up 480 V : 34.5 kV, ~3 MVA pad-mount </t>
        </is>
      </c>
      <c r="I1671" s="12" t="inlineStr">
        <is>
          <t>MV 35 kV</t>
        </is>
      </c>
      <c r="J1671" s="12" t="inlineStr">
        <is>
          <t>750 kcmil</t>
        </is>
      </c>
      <c r="K1671" s="12" t="n">
        <v>1</v>
      </c>
    </row>
    <row r="1672">
      <c r="A1672" s="12" t="inlineStr">
        <is>
          <t xml:space="preserve">SWG-MY: 35 kV switchgear lineup for the modular blocks (group breaker </t>
        </is>
      </c>
      <c r="B1672" s="12" t="inlineStr">
        <is>
          <t>SWG-MY</t>
        </is>
      </c>
      <c r="C1672" s="12" t="inlineStr">
        <is>
          <t>I</t>
        </is>
      </c>
      <c r="D1672" s="12" t="inlineStr">
        <is>
          <t>L3 35 kV collector loop, segment 5 of 5 (GBT-4 to SWG-MY)</t>
        </is>
      </c>
      <c r="E1672" s="12" t="n">
        <v>34500</v>
      </c>
      <c r="F1672" s="12" t="n">
        <v>10000</v>
      </c>
      <c r="G1672" s="12" t="n">
        <v>167</v>
      </c>
      <c r="H1672" s="12" t="inlineStr">
        <is>
          <t xml:space="preserve">GBT-4: block GB-4 step-up 480 V : 34.5 kV, ~3 MVA pad-mount </t>
        </is>
      </c>
      <c r="I1672" s="12" t="inlineStr">
        <is>
          <t>MV 35 kV</t>
        </is>
      </c>
      <c r="J1672" s="12" t="inlineStr">
        <is>
          <t>750 kcmil</t>
        </is>
      </c>
      <c r="K1672" s="12" t="n">
        <v>1</v>
      </c>
    </row>
    <row r="1673">
      <c r="A1673" s="12" t="inlineStr">
        <is>
          <t xml:space="preserve">SWG-MY: 35 kV switchgear lineup for the modular blocks (group breaker </t>
        </is>
      </c>
      <c r="B1673" s="12" t="inlineStr">
        <is>
          <t>SWG-MY</t>
        </is>
      </c>
      <c r="C1673" s="12" t="inlineStr">
        <is>
          <t>I</t>
        </is>
      </c>
      <c r="D1673" s="12" t="inlineStr">
        <is>
          <t>L5 SWG-MY feeder to the data centre 34.5 kV switchgear BTM-SWGR, to the fence (scope owner TO VERIFY)</t>
        </is>
      </c>
      <c r="E1673" s="12" t="n">
        <v>34500</v>
      </c>
      <c r="F1673" s="12" t="n">
        <v>10000</v>
      </c>
      <c r="G1673" s="12" t="n">
        <v>167</v>
      </c>
      <c r="H1673" s="12" t="inlineStr">
        <is>
          <t>SWG-MY: 35 kV switchgear lineup for the modular blocks (grou</t>
        </is>
      </c>
      <c r="I1673" s="12" t="inlineStr">
        <is>
          <t>MV 35 kV</t>
        </is>
      </c>
      <c r="J1673" s="12" t="inlineStr">
        <is>
          <t>750 kcmil</t>
        </is>
      </c>
      <c r="K1673" s="12" t="n">
        <v>1</v>
      </c>
    </row>
    <row r="1674">
      <c r="A1674" s="12" t="inlineStr">
        <is>
          <t>PAD-LV 480 V paralleling switchboard</t>
        </is>
      </c>
      <c r="B1674" s="12" t="inlineStr">
        <is>
          <t>PAD-LV</t>
        </is>
      </c>
      <c r="C1674" s="12" t="inlineStr">
        <is>
          <t>I</t>
        </is>
      </c>
      <c r="D1674" s="12" t="inlineStr">
        <is>
          <t>GEN-E 480 V to PAD-LV (Type W sets, cam-lock)</t>
        </is>
      </c>
      <c r="E1674" s="12" t="n">
        <v>480</v>
      </c>
      <c r="F1674" s="12" t="n">
        <v>2000</v>
      </c>
      <c r="G1674" s="12" t="n">
        <v>2406</v>
      </c>
      <c r="H1674" s="12" t="inlineStr">
        <is>
          <t>GEN-E: enclosed industrial gas genset 2 MW</t>
        </is>
      </c>
      <c r="I1674" s="12" t="inlineStr">
        <is>
          <t>Portable LV</t>
        </is>
      </c>
      <c r="J1674" s="12" t="inlineStr">
        <is>
          <t>4/0</t>
        </is>
      </c>
      <c r="K1674" s="12" t="n">
        <v>8</v>
      </c>
    </row>
    <row r="1675">
      <c r="A1675" s="12" t="inlineStr">
        <is>
          <t>PAD-LV 480 V paralleling switchboard</t>
        </is>
      </c>
      <c r="B1675" s="12" t="inlineStr">
        <is>
          <t>PAD-LV</t>
        </is>
      </c>
      <c r="C1675" s="12" t="inlineStr">
        <is>
          <t>I</t>
        </is>
      </c>
      <c r="D1675" s="12" t="inlineStr">
        <is>
          <t>GEN-O 480 V to PAD-LV (Type W sets, cam-lock)</t>
        </is>
      </c>
      <c r="E1675" s="12" t="n">
        <v>480</v>
      </c>
      <c r="F1675" s="12" t="n">
        <v>1000</v>
      </c>
      <c r="G1675" s="12" t="n">
        <v>1203</v>
      </c>
      <c r="H1675" s="12" t="inlineStr">
        <is>
          <t>GEN-O: open engine-generator skid</t>
        </is>
      </c>
      <c r="I1675" s="12" t="inlineStr">
        <is>
          <t>Portable LV</t>
        </is>
      </c>
      <c r="J1675" s="12" t="inlineStr">
        <is>
          <t>4/0</t>
        </is>
      </c>
      <c r="K1675" s="12" t="n">
        <v>4</v>
      </c>
    </row>
    <row r="1676">
      <c r="A1676" s="12" t="inlineStr">
        <is>
          <t>GSP-1: generator breaker / protection</t>
        </is>
      </c>
      <c r="B1676" s="12" t="inlineStr">
        <is>
          <t>GSP-1</t>
        </is>
      </c>
      <c r="C1676" s="12" t="inlineStr">
        <is>
          <t>I</t>
        </is>
      </c>
      <c r="D1676" s="12" t="inlineStr">
        <is>
          <t>CONT-1 13.8 kV leads to GSP-1</t>
        </is>
      </c>
      <c r="E1676" s="12" t="n">
        <v>13800</v>
      </c>
      <c r="F1676" s="12" t="n">
        <v>2000</v>
      </c>
      <c r="G1676" s="12" t="n">
        <v>93</v>
      </c>
      <c r="H1676" s="12" t="inlineStr">
        <is>
          <t>CONT-1: containerized genset 13.8 kV (40 ft)</t>
        </is>
      </c>
      <c r="I1676" s="12" t="inlineStr">
        <is>
          <t>Portable MV</t>
        </is>
      </c>
      <c r="J1676" s="12" t="inlineStr">
        <is>
          <t>2</t>
        </is>
      </c>
      <c r="K1676" s="12" t="n">
        <v>1</v>
      </c>
    </row>
    <row r="1677">
      <c r="A1677" s="12" t="inlineStr">
        <is>
          <t>GSP-2: generator breaker / protection</t>
        </is>
      </c>
      <c r="B1677" s="12" t="inlineStr">
        <is>
          <t>GSP-2</t>
        </is>
      </c>
      <c r="C1677" s="12" t="inlineStr">
        <is>
          <t>I</t>
        </is>
      </c>
      <c r="D1677" s="12" t="inlineStr">
        <is>
          <t>CONT-2 13.8 kV leads to GSP-2</t>
        </is>
      </c>
      <c r="E1677" s="12" t="n">
        <v>13800</v>
      </c>
      <c r="F1677" s="12" t="n">
        <v>2000</v>
      </c>
      <c r="G1677" s="12" t="n">
        <v>93</v>
      </c>
      <c r="H1677" s="12" t="inlineStr">
        <is>
          <t>CONT-2: containerized genset 13.8 kV (40 ft)</t>
        </is>
      </c>
      <c r="I1677" s="12" t="inlineStr">
        <is>
          <t>Portable MV</t>
        </is>
      </c>
      <c r="J1677" s="12" t="inlineStr">
        <is>
          <t>2</t>
        </is>
      </c>
      <c r="K1677" s="12" t="n">
        <v>1</v>
      </c>
    </row>
    <row r="1678">
      <c r="A1678" s="12" t="inlineStr">
        <is>
          <t>LB: commissioning load bank (trailer)</t>
        </is>
      </c>
      <c r="B1678" s="12" t="inlineStr">
        <is>
          <t>LB</t>
        </is>
      </c>
      <c r="C1678" s="12" t="inlineStr">
        <is>
          <t>I</t>
        </is>
      </c>
      <c r="D1678" s="12" t="inlineStr">
        <is>
          <t>PIC to commissioning load bank</t>
        </is>
      </c>
      <c r="E1678" s="12" t="n">
        <v>13800</v>
      </c>
      <c r="F1678" s="12" t="n">
        <v>2000</v>
      </c>
      <c r="G1678" s="12" t="n">
        <v>93</v>
      </c>
      <c r="H1678" s="12" t="inlineStr">
        <is>
          <t>PIC: portable input cabinet</t>
        </is>
      </c>
      <c r="I1678" s="12" t="inlineStr">
        <is>
          <t>Portable MV</t>
        </is>
      </c>
      <c r="J1678" s="12" t="inlineStr">
        <is>
          <t>2</t>
        </is>
      </c>
      <c r="K1678" s="12" t="n">
        <v>1</v>
      </c>
    </row>
    <row r="1679">
      <c r="A1679" s="12" t="inlineStr">
        <is>
          <t>PAD-EH 13.8 kV switchgear e-house</t>
        </is>
      </c>
      <c r="B1679" s="12" t="inlineStr">
        <is>
          <t>PAD-EH</t>
        </is>
      </c>
      <c r="C1679" s="12" t="inlineStr">
        <is>
          <t>I</t>
        </is>
      </c>
      <c r="D1679" s="12" t="inlineStr">
        <is>
          <t>GSP-1 to PAD-EH</t>
        </is>
      </c>
      <c r="E1679" s="12" t="n">
        <v>13800</v>
      </c>
      <c r="F1679" s="12" t="n">
        <v>2000</v>
      </c>
      <c r="G1679" s="12" t="n">
        <v>93</v>
      </c>
      <c r="H1679" s="12" t="inlineStr">
        <is>
          <t>GSP-1: generator breaker / protection</t>
        </is>
      </c>
      <c r="I1679" s="12" t="inlineStr">
        <is>
          <t>Portable MV</t>
        </is>
      </c>
      <c r="J1679" s="12" t="inlineStr">
        <is>
          <t>2</t>
        </is>
      </c>
      <c r="K1679" s="12" t="n">
        <v>1</v>
      </c>
    </row>
    <row r="1680">
      <c r="A1680" s="12" t="inlineStr">
        <is>
          <t>PAD-EH 13.8 kV switchgear e-house</t>
        </is>
      </c>
      <c r="B1680" s="12" t="inlineStr">
        <is>
          <t>PAD-EH</t>
        </is>
      </c>
      <c r="C1680" s="12" t="inlineStr">
        <is>
          <t>I</t>
        </is>
      </c>
      <c r="D1680" s="12" t="inlineStr">
        <is>
          <t>GSP-2 to PAD-EH</t>
        </is>
      </c>
      <c r="E1680" s="12" t="n">
        <v>13800</v>
      </c>
      <c r="F1680" s="12" t="n">
        <v>2000</v>
      </c>
      <c r="G1680" s="12" t="n">
        <v>93</v>
      </c>
      <c r="H1680" s="12" t="inlineStr">
        <is>
          <t>GSP-2: generator breaker / protection</t>
        </is>
      </c>
      <c r="I1680" s="12" t="inlineStr">
        <is>
          <t>Portable MV</t>
        </is>
      </c>
      <c r="J1680" s="12" t="inlineStr">
        <is>
          <t>2</t>
        </is>
      </c>
      <c r="K1680" s="12" t="n">
        <v>1</v>
      </c>
    </row>
    <row r="1681">
      <c r="A1681" s="12" t="inlineStr">
        <is>
          <t>PIC: portable input cabinet</t>
        </is>
      </c>
      <c r="B1681" s="12" t="inlineStr">
        <is>
          <t>PIC</t>
        </is>
      </c>
      <c r="C1681" s="12" t="inlineStr">
        <is>
          <t>I</t>
        </is>
      </c>
      <c r="D1681" s="12" t="inlineStr">
        <is>
          <t>MOB-1 13.8 kV to PIC through the C-L01 ramp</t>
        </is>
      </c>
      <c r="E1681" s="12" t="n">
        <v>13800</v>
      </c>
      <c r="F1681" s="12" t="n">
        <v>2000</v>
      </c>
      <c r="G1681" s="12" t="n">
        <v>93</v>
      </c>
      <c r="H1681" s="12" t="inlineStr">
        <is>
          <t>MOB-1: trailer genset</t>
        </is>
      </c>
      <c r="I1681" s="12" t="inlineStr">
        <is>
          <t>Portable MV</t>
        </is>
      </c>
      <c r="J1681" s="12" t="inlineStr">
        <is>
          <t>2</t>
        </is>
      </c>
      <c r="K1681" s="12" t="n">
        <v>1</v>
      </c>
    </row>
    <row r="1682">
      <c r="A1682" s="12" t="inlineStr">
        <is>
          <t>CHW pumps</t>
        </is>
      </c>
      <c r="B1682" s="12" t="inlineStr"/>
      <c r="C1682" s="12" t="inlineStr">
        <is>
          <t>J</t>
        </is>
      </c>
      <c r="D1682" s="12" t="inlineStr">
        <is>
          <t>Motor 1 of 4, 150 kW</t>
        </is>
      </c>
      <c r="E1682" s="12" t="n">
        <v>480</v>
      </c>
      <c r="F1682" s="12" t="n">
        <v>150</v>
      </c>
      <c r="G1682" s="12" t="n">
        <v>212.3</v>
      </c>
      <c r="H1682" s="12" t="inlineStr">
        <is>
          <t>Inlet-chilling e-house / transformer</t>
        </is>
      </c>
      <c r="I1682" s="12" t="inlineStr">
        <is>
          <t>LV 600 V</t>
        </is>
      </c>
      <c r="J1682" s="12" t="inlineStr">
        <is>
          <t>350 kcmil</t>
        </is>
      </c>
      <c r="K1682" s="12" t="n">
        <v>1</v>
      </c>
    </row>
    <row r="1683">
      <c r="A1683" s="12" t="inlineStr">
        <is>
          <t>CHW pumps</t>
        </is>
      </c>
      <c r="B1683" s="12" t="inlineStr"/>
      <c r="C1683" s="12" t="inlineStr">
        <is>
          <t>J</t>
        </is>
      </c>
      <c r="D1683" s="12" t="inlineStr">
        <is>
          <t>Motor 2 of 4, 150 kW</t>
        </is>
      </c>
      <c r="E1683" s="12" t="n">
        <v>480</v>
      </c>
      <c r="F1683" s="12" t="n">
        <v>150</v>
      </c>
      <c r="G1683" s="12" t="n">
        <v>212.3</v>
      </c>
      <c r="H1683" s="12" t="inlineStr">
        <is>
          <t>Inlet-chilling e-house / transformer</t>
        </is>
      </c>
      <c r="I1683" s="12" t="inlineStr">
        <is>
          <t>LV 600 V</t>
        </is>
      </c>
      <c r="J1683" s="12" t="inlineStr">
        <is>
          <t>350 kcmil</t>
        </is>
      </c>
      <c r="K1683" s="12" t="n">
        <v>1</v>
      </c>
    </row>
    <row r="1684">
      <c r="A1684" s="12" t="inlineStr">
        <is>
          <t>CHW pumps</t>
        </is>
      </c>
      <c r="B1684" s="12" t="inlineStr"/>
      <c r="C1684" s="12" t="inlineStr">
        <is>
          <t>J</t>
        </is>
      </c>
      <c r="D1684" s="12" t="inlineStr">
        <is>
          <t>Motor 3 of 4, 150 kW</t>
        </is>
      </c>
      <c r="E1684" s="12" t="n">
        <v>480</v>
      </c>
      <c r="F1684" s="12" t="n">
        <v>150</v>
      </c>
      <c r="G1684" s="12" t="n">
        <v>212.3</v>
      </c>
      <c r="H1684" s="12" t="inlineStr">
        <is>
          <t>Inlet-chilling e-house / transformer</t>
        </is>
      </c>
      <c r="I1684" s="12" t="inlineStr">
        <is>
          <t>LV 600 V</t>
        </is>
      </c>
      <c r="J1684" s="12" t="inlineStr">
        <is>
          <t>350 kcmil</t>
        </is>
      </c>
      <c r="K1684" s="12" t="n">
        <v>1</v>
      </c>
    </row>
    <row r="1685">
      <c r="A1685" s="12" t="inlineStr">
        <is>
          <t>CHW pumps</t>
        </is>
      </c>
      <c r="B1685" s="12" t="inlineStr"/>
      <c r="C1685" s="12" t="inlineStr">
        <is>
          <t>J</t>
        </is>
      </c>
      <c r="D1685" s="12" t="inlineStr">
        <is>
          <t>Motor 4 of 4, 150 kW</t>
        </is>
      </c>
      <c r="E1685" s="12" t="n">
        <v>480</v>
      </c>
      <c r="F1685" s="12" t="n">
        <v>150</v>
      </c>
      <c r="G1685" s="12" t="n">
        <v>212.3</v>
      </c>
      <c r="H1685" s="12" t="inlineStr">
        <is>
          <t>Inlet-chilling e-house / transformer</t>
        </is>
      </c>
      <c r="I1685" s="12" t="inlineStr">
        <is>
          <t>LV 600 V</t>
        </is>
      </c>
      <c r="J1685" s="12" t="inlineStr">
        <is>
          <t>350 kcmil</t>
        </is>
      </c>
      <c r="K1685" s="12" t="n">
        <v>1</v>
      </c>
    </row>
    <row r="1686">
      <c r="A1686" s="12" t="inlineStr">
        <is>
          <t>CONDITIONAL: TES chilled-water tank</t>
        </is>
      </c>
      <c r="B1686" s="12" t="inlineStr"/>
      <c r="C1686" s="12" t="inlineStr">
        <is>
          <t>J</t>
        </is>
      </c>
      <c r="D1686" s="12" t="inlineStr">
        <is>
          <t>LV power feeder</t>
        </is>
      </c>
      <c r="E1686" s="12" t="n">
        <v>480</v>
      </c>
      <c r="F1686" s="12" t="n">
        <v>10</v>
      </c>
      <c r="G1686" s="12" t="n">
        <v>14.2</v>
      </c>
      <c r="H1686" s="12" t="inlineStr">
        <is>
          <t>Inlet-chilling e-house / transformer</t>
        </is>
      </c>
      <c r="I1686" s="12" t="inlineStr">
        <is>
          <t>LV 600 V</t>
        </is>
      </c>
      <c r="J1686" s="12" t="inlineStr">
        <is>
          <t>8</t>
        </is>
      </c>
      <c r="K1686" s="12" t="n">
        <v>1</v>
      </c>
    </row>
    <row r="1687">
      <c r="A1687" s="12" t="inlineStr">
        <is>
          <t>Chillers x6 (water-cooled)</t>
        </is>
      </c>
      <c r="B1687" s="12" t="inlineStr"/>
      <c r="C1687" s="12" t="inlineStr">
        <is>
          <t>J</t>
        </is>
      </c>
      <c r="D1687" s="12" t="inlineStr">
        <is>
          <t>Motor 1 of 6, 7 kW</t>
        </is>
      </c>
      <c r="E1687" s="12" t="n">
        <v>480</v>
      </c>
      <c r="F1687" s="12" t="n">
        <v>7</v>
      </c>
      <c r="G1687" s="12" t="n">
        <v>9.9</v>
      </c>
      <c r="H1687" s="12" t="inlineStr">
        <is>
          <t>Inlet-chilling e-house / transformer</t>
        </is>
      </c>
      <c r="I1687" s="12" t="inlineStr">
        <is>
          <t>LV 600 V</t>
        </is>
      </c>
      <c r="J1687" s="12" t="inlineStr">
        <is>
          <t>10</t>
        </is>
      </c>
      <c r="K1687" s="12" t="n">
        <v>1</v>
      </c>
    </row>
    <row r="1688">
      <c r="A1688" s="12" t="inlineStr">
        <is>
          <t>Chillers x6 (water-cooled)</t>
        </is>
      </c>
      <c r="B1688" s="12" t="inlineStr"/>
      <c r="C1688" s="12" t="inlineStr">
        <is>
          <t>J</t>
        </is>
      </c>
      <c r="D1688" s="12" t="inlineStr">
        <is>
          <t>Motor 2 of 6, 7 kW</t>
        </is>
      </c>
      <c r="E1688" s="12" t="n">
        <v>480</v>
      </c>
      <c r="F1688" s="12" t="n">
        <v>7</v>
      </c>
      <c r="G1688" s="12" t="n">
        <v>9.9</v>
      </c>
      <c r="H1688" s="12" t="inlineStr">
        <is>
          <t>Inlet-chilling e-house / transformer</t>
        </is>
      </c>
      <c r="I1688" s="12" t="inlineStr">
        <is>
          <t>LV 600 V</t>
        </is>
      </c>
      <c r="J1688" s="12" t="inlineStr">
        <is>
          <t>10</t>
        </is>
      </c>
      <c r="K1688" s="12" t="n">
        <v>1</v>
      </c>
    </row>
    <row r="1689">
      <c r="A1689" s="12" t="inlineStr">
        <is>
          <t>Chillers x6 (water-cooled)</t>
        </is>
      </c>
      <c r="B1689" s="12" t="inlineStr"/>
      <c r="C1689" s="12" t="inlineStr">
        <is>
          <t>J</t>
        </is>
      </c>
      <c r="D1689" s="12" t="inlineStr">
        <is>
          <t>Motor 3 of 6, 7 kW</t>
        </is>
      </c>
      <c r="E1689" s="12" t="n">
        <v>480</v>
      </c>
      <c r="F1689" s="12" t="n">
        <v>7</v>
      </c>
      <c r="G1689" s="12" t="n">
        <v>9.9</v>
      </c>
      <c r="H1689" s="12" t="inlineStr">
        <is>
          <t>Inlet-chilling e-house / transformer</t>
        </is>
      </c>
      <c r="I1689" s="12" t="inlineStr">
        <is>
          <t>LV 600 V</t>
        </is>
      </c>
      <c r="J1689" s="12" t="inlineStr">
        <is>
          <t>10</t>
        </is>
      </c>
      <c r="K1689" s="12" t="n">
        <v>1</v>
      </c>
    </row>
    <row r="1690">
      <c r="A1690" s="12" t="inlineStr">
        <is>
          <t>Chillers x6 (water-cooled)</t>
        </is>
      </c>
      <c r="B1690" s="12" t="inlineStr"/>
      <c r="C1690" s="12" t="inlineStr">
        <is>
          <t>J</t>
        </is>
      </c>
      <c r="D1690" s="12" t="inlineStr">
        <is>
          <t>Motor 4 of 6, 7 kW</t>
        </is>
      </c>
      <c r="E1690" s="12" t="n">
        <v>480</v>
      </c>
      <c r="F1690" s="12" t="n">
        <v>7</v>
      </c>
      <c r="G1690" s="12" t="n">
        <v>9.9</v>
      </c>
      <c r="H1690" s="12" t="inlineStr">
        <is>
          <t>Inlet-chilling e-house / transformer</t>
        </is>
      </c>
      <c r="I1690" s="12" t="inlineStr">
        <is>
          <t>LV 600 V</t>
        </is>
      </c>
      <c r="J1690" s="12" t="inlineStr">
        <is>
          <t>10</t>
        </is>
      </c>
      <c r="K1690" s="12" t="n">
        <v>1</v>
      </c>
    </row>
    <row r="1691">
      <c r="A1691" s="12" t="inlineStr">
        <is>
          <t>Chillers x6 (water-cooled)</t>
        </is>
      </c>
      <c r="B1691" s="12" t="inlineStr"/>
      <c r="C1691" s="12" t="inlineStr">
        <is>
          <t>J</t>
        </is>
      </c>
      <c r="D1691" s="12" t="inlineStr">
        <is>
          <t>Motor 5 of 6, 7 kW</t>
        </is>
      </c>
      <c r="E1691" s="12" t="n">
        <v>480</v>
      </c>
      <c r="F1691" s="12" t="n">
        <v>7</v>
      </c>
      <c r="G1691" s="12" t="n">
        <v>9.9</v>
      </c>
      <c r="H1691" s="12" t="inlineStr">
        <is>
          <t>Inlet-chilling e-house / transformer</t>
        </is>
      </c>
      <c r="I1691" s="12" t="inlineStr">
        <is>
          <t>LV 600 V</t>
        </is>
      </c>
      <c r="J1691" s="12" t="inlineStr">
        <is>
          <t>10</t>
        </is>
      </c>
      <c r="K1691" s="12" t="n">
        <v>1</v>
      </c>
    </row>
    <row r="1692">
      <c r="A1692" s="12" t="inlineStr">
        <is>
          <t>Chillers x6 (water-cooled)</t>
        </is>
      </c>
      <c r="B1692" s="12" t="inlineStr"/>
      <c r="C1692" s="12" t="inlineStr">
        <is>
          <t>J</t>
        </is>
      </c>
      <c r="D1692" s="12" t="inlineStr">
        <is>
          <t>Motor 6 of 6, 7 kW</t>
        </is>
      </c>
      <c r="E1692" s="12" t="n">
        <v>480</v>
      </c>
      <c r="F1692" s="12" t="n">
        <v>7</v>
      </c>
      <c r="G1692" s="12" t="n">
        <v>9.9</v>
      </c>
      <c r="H1692" s="12" t="inlineStr">
        <is>
          <t>Inlet-chilling e-house / transformer</t>
        </is>
      </c>
      <c r="I1692" s="12" t="inlineStr">
        <is>
          <t>LV 600 V</t>
        </is>
      </c>
      <c r="J1692" s="12" t="inlineStr">
        <is>
          <t>10</t>
        </is>
      </c>
      <c r="K1692" s="12" t="n">
        <v>1</v>
      </c>
    </row>
    <row r="1693">
      <c r="A1693" s="12" t="inlineStr">
        <is>
          <t>Inlet-chilling tower (12 cells): chiller heat rejection</t>
        </is>
      </c>
      <c r="B1693" s="12" t="inlineStr"/>
      <c r="C1693" s="12" t="inlineStr">
        <is>
          <t>J</t>
        </is>
      </c>
      <c r="D1693" s="12" t="inlineStr">
        <is>
          <t>Motor 1 of 12, 75 kW (VFD output)</t>
        </is>
      </c>
      <c r="E1693" s="12" t="n">
        <v>480</v>
      </c>
      <c r="F1693" s="12" t="n">
        <v>75</v>
      </c>
      <c r="G1693" s="12" t="n">
        <v>106</v>
      </c>
      <c r="H1693" s="12" t="inlineStr">
        <is>
          <t>Inlet-chilling e-house / transformer</t>
        </is>
      </c>
      <c r="I1693" s="12" t="inlineStr">
        <is>
          <t>LV 600 V</t>
        </is>
      </c>
      <c r="J1693" s="12" t="inlineStr">
        <is>
          <t>2/0</t>
        </is>
      </c>
      <c r="K1693" s="12" t="n">
        <v>1</v>
      </c>
    </row>
    <row r="1694">
      <c r="A1694" s="12" t="inlineStr">
        <is>
          <t>Inlet-chilling tower (12 cells): chiller heat rejection</t>
        </is>
      </c>
      <c r="B1694" s="12" t="inlineStr"/>
      <c r="C1694" s="12" t="inlineStr">
        <is>
          <t>J</t>
        </is>
      </c>
      <c r="D1694" s="12" t="inlineStr">
        <is>
          <t>Motor 2 of 12, 75 kW (VFD output)</t>
        </is>
      </c>
      <c r="E1694" s="12" t="n">
        <v>480</v>
      </c>
      <c r="F1694" s="12" t="n">
        <v>75</v>
      </c>
      <c r="G1694" s="12" t="n">
        <v>106</v>
      </c>
      <c r="H1694" s="12" t="inlineStr">
        <is>
          <t>Inlet-chilling e-house / transformer</t>
        </is>
      </c>
      <c r="I1694" s="12" t="inlineStr">
        <is>
          <t>LV 600 V</t>
        </is>
      </c>
      <c r="J1694" s="12" t="inlineStr">
        <is>
          <t>2/0</t>
        </is>
      </c>
      <c r="K1694" s="12" t="n">
        <v>1</v>
      </c>
    </row>
    <row r="1695">
      <c r="A1695" s="12" t="inlineStr">
        <is>
          <t>Inlet-chilling tower (12 cells): chiller heat rejection</t>
        </is>
      </c>
      <c r="B1695" s="12" t="inlineStr"/>
      <c r="C1695" s="12" t="inlineStr">
        <is>
          <t>J</t>
        </is>
      </c>
      <c r="D1695" s="12" t="inlineStr">
        <is>
          <t>Motor 3 of 12, 75 kW (VFD output)</t>
        </is>
      </c>
      <c r="E1695" s="12" t="n">
        <v>480</v>
      </c>
      <c r="F1695" s="12" t="n">
        <v>75</v>
      </c>
      <c r="G1695" s="12" t="n">
        <v>106</v>
      </c>
      <c r="H1695" s="12" t="inlineStr">
        <is>
          <t>Inlet-chilling e-house / transformer</t>
        </is>
      </c>
      <c r="I1695" s="12" t="inlineStr">
        <is>
          <t>LV 600 V</t>
        </is>
      </c>
      <c r="J1695" s="12" t="inlineStr">
        <is>
          <t>2/0</t>
        </is>
      </c>
      <c r="K1695" s="12" t="n">
        <v>1</v>
      </c>
    </row>
    <row r="1696">
      <c r="A1696" s="12" t="inlineStr">
        <is>
          <t>Inlet-chilling tower (12 cells): chiller heat rejection</t>
        </is>
      </c>
      <c r="B1696" s="12" t="inlineStr"/>
      <c r="C1696" s="12" t="inlineStr">
        <is>
          <t>J</t>
        </is>
      </c>
      <c r="D1696" s="12" t="inlineStr">
        <is>
          <t>Motor 4 of 12, 75 kW (VFD output)</t>
        </is>
      </c>
      <c r="E1696" s="12" t="n">
        <v>480</v>
      </c>
      <c r="F1696" s="12" t="n">
        <v>75</v>
      </c>
      <c r="G1696" s="12" t="n">
        <v>106</v>
      </c>
      <c r="H1696" s="12" t="inlineStr">
        <is>
          <t>Inlet-chilling e-house / transformer</t>
        </is>
      </c>
      <c r="I1696" s="12" t="inlineStr">
        <is>
          <t>LV 600 V</t>
        </is>
      </c>
      <c r="J1696" s="12" t="inlineStr">
        <is>
          <t>2/0</t>
        </is>
      </c>
      <c r="K1696" s="12" t="n">
        <v>1</v>
      </c>
    </row>
    <row r="1697">
      <c r="A1697" s="12" t="inlineStr">
        <is>
          <t>Inlet-chilling tower (12 cells): chiller heat rejection</t>
        </is>
      </c>
      <c r="B1697" s="12" t="inlineStr"/>
      <c r="C1697" s="12" t="inlineStr">
        <is>
          <t>J</t>
        </is>
      </c>
      <c r="D1697" s="12" t="inlineStr">
        <is>
          <t>Motor 5 of 12, 75 kW (VFD output)</t>
        </is>
      </c>
      <c r="E1697" s="12" t="n">
        <v>480</v>
      </c>
      <c r="F1697" s="12" t="n">
        <v>75</v>
      </c>
      <c r="G1697" s="12" t="n">
        <v>106</v>
      </c>
      <c r="H1697" s="12" t="inlineStr">
        <is>
          <t>Inlet-chilling e-house / transformer</t>
        </is>
      </c>
      <c r="I1697" s="12" t="inlineStr">
        <is>
          <t>LV 600 V</t>
        </is>
      </c>
      <c r="J1697" s="12" t="inlineStr">
        <is>
          <t>2/0</t>
        </is>
      </c>
      <c r="K1697" s="12" t="n">
        <v>1</v>
      </c>
    </row>
    <row r="1698">
      <c r="A1698" s="12" t="inlineStr">
        <is>
          <t>Inlet-chilling tower (12 cells): chiller heat rejection</t>
        </is>
      </c>
      <c r="B1698" s="12" t="inlineStr"/>
      <c r="C1698" s="12" t="inlineStr">
        <is>
          <t>J</t>
        </is>
      </c>
      <c r="D1698" s="12" t="inlineStr">
        <is>
          <t>Motor 6 of 12, 75 kW (VFD output)</t>
        </is>
      </c>
      <c r="E1698" s="12" t="n">
        <v>480</v>
      </c>
      <c r="F1698" s="12" t="n">
        <v>75</v>
      </c>
      <c r="G1698" s="12" t="n">
        <v>106</v>
      </c>
      <c r="H1698" s="12" t="inlineStr">
        <is>
          <t>Inlet-chilling e-house / transformer</t>
        </is>
      </c>
      <c r="I1698" s="12" t="inlineStr">
        <is>
          <t>LV 600 V</t>
        </is>
      </c>
      <c r="J1698" s="12" t="inlineStr">
        <is>
          <t>2/0</t>
        </is>
      </c>
      <c r="K1698" s="12" t="n">
        <v>1</v>
      </c>
    </row>
    <row r="1699">
      <c r="A1699" s="12" t="inlineStr">
        <is>
          <t>Inlet-chilling tower (12 cells): chiller heat rejection</t>
        </is>
      </c>
      <c r="B1699" s="12" t="inlineStr"/>
      <c r="C1699" s="12" t="inlineStr">
        <is>
          <t>J</t>
        </is>
      </c>
      <c r="D1699" s="12" t="inlineStr">
        <is>
          <t>Motor 7 of 12, 75 kW (VFD output)</t>
        </is>
      </c>
      <c r="E1699" s="12" t="n">
        <v>480</v>
      </c>
      <c r="F1699" s="12" t="n">
        <v>75</v>
      </c>
      <c r="G1699" s="12" t="n">
        <v>106</v>
      </c>
      <c r="H1699" s="12" t="inlineStr">
        <is>
          <t>Inlet-chilling e-house / transformer</t>
        </is>
      </c>
      <c r="I1699" s="12" t="inlineStr">
        <is>
          <t>LV 600 V</t>
        </is>
      </c>
      <c r="J1699" s="12" t="inlineStr">
        <is>
          <t>2/0</t>
        </is>
      </c>
      <c r="K1699" s="12" t="n">
        <v>1</v>
      </c>
    </row>
    <row r="1700">
      <c r="A1700" s="12" t="inlineStr">
        <is>
          <t>Inlet-chilling tower (12 cells): chiller heat rejection</t>
        </is>
      </c>
      <c r="B1700" s="12" t="inlineStr"/>
      <c r="C1700" s="12" t="inlineStr">
        <is>
          <t>J</t>
        </is>
      </c>
      <c r="D1700" s="12" t="inlineStr">
        <is>
          <t>Motor 8 of 12, 75 kW (VFD output)</t>
        </is>
      </c>
      <c r="E1700" s="12" t="n">
        <v>480</v>
      </c>
      <c r="F1700" s="12" t="n">
        <v>75</v>
      </c>
      <c r="G1700" s="12" t="n">
        <v>106</v>
      </c>
      <c r="H1700" s="12" t="inlineStr">
        <is>
          <t>Inlet-chilling e-house / transformer</t>
        </is>
      </c>
      <c r="I1700" s="12" t="inlineStr">
        <is>
          <t>LV 600 V</t>
        </is>
      </c>
      <c r="J1700" s="12" t="inlineStr">
        <is>
          <t>2/0</t>
        </is>
      </c>
      <c r="K1700" s="12" t="n">
        <v>1</v>
      </c>
    </row>
    <row r="1701">
      <c r="A1701" s="12" t="inlineStr">
        <is>
          <t>Inlet-chilling tower (12 cells): chiller heat rejection</t>
        </is>
      </c>
      <c r="B1701" s="12" t="inlineStr"/>
      <c r="C1701" s="12" t="inlineStr">
        <is>
          <t>J</t>
        </is>
      </c>
      <c r="D1701" s="12" t="inlineStr">
        <is>
          <t>Motor 9 of 12, 75 kW (VFD output)</t>
        </is>
      </c>
      <c r="E1701" s="12" t="n">
        <v>480</v>
      </c>
      <c r="F1701" s="12" t="n">
        <v>75</v>
      </c>
      <c r="G1701" s="12" t="n">
        <v>106</v>
      </c>
      <c r="H1701" s="12" t="inlineStr">
        <is>
          <t>Inlet-chilling e-house / transformer</t>
        </is>
      </c>
      <c r="I1701" s="12" t="inlineStr">
        <is>
          <t>LV 600 V</t>
        </is>
      </c>
      <c r="J1701" s="12" t="inlineStr">
        <is>
          <t>2/0</t>
        </is>
      </c>
      <c r="K1701" s="12" t="n">
        <v>1</v>
      </c>
    </row>
    <row r="1702">
      <c r="A1702" s="12" t="inlineStr">
        <is>
          <t>Inlet-chilling tower (12 cells): chiller heat rejection</t>
        </is>
      </c>
      <c r="B1702" s="12" t="inlineStr"/>
      <c r="C1702" s="12" t="inlineStr">
        <is>
          <t>J</t>
        </is>
      </c>
      <c r="D1702" s="12" t="inlineStr">
        <is>
          <t>Motor 10 of 12, 75 kW (VFD output)</t>
        </is>
      </c>
      <c r="E1702" s="12" t="n">
        <v>480</v>
      </c>
      <c r="F1702" s="12" t="n">
        <v>75</v>
      </c>
      <c r="G1702" s="12" t="n">
        <v>106</v>
      </c>
      <c r="H1702" s="12" t="inlineStr">
        <is>
          <t>Inlet-chilling e-house / transformer</t>
        </is>
      </c>
      <c r="I1702" s="12" t="inlineStr">
        <is>
          <t>LV 600 V</t>
        </is>
      </c>
      <c r="J1702" s="12" t="inlineStr">
        <is>
          <t>2/0</t>
        </is>
      </c>
      <c r="K1702" s="12" t="n">
        <v>1</v>
      </c>
    </row>
    <row r="1703">
      <c r="A1703" s="12" t="inlineStr">
        <is>
          <t>Inlet-chilling tower (12 cells): chiller heat rejection</t>
        </is>
      </c>
      <c r="B1703" s="12" t="inlineStr"/>
      <c r="C1703" s="12" t="inlineStr">
        <is>
          <t>J</t>
        </is>
      </c>
      <c r="D1703" s="12" t="inlineStr">
        <is>
          <t>Motor 11 of 12, 75 kW (VFD output)</t>
        </is>
      </c>
      <c r="E1703" s="12" t="n">
        <v>480</v>
      </c>
      <c r="F1703" s="12" t="n">
        <v>75</v>
      </c>
      <c r="G1703" s="12" t="n">
        <v>106</v>
      </c>
      <c r="H1703" s="12" t="inlineStr">
        <is>
          <t>Inlet-chilling e-house / transformer</t>
        </is>
      </c>
      <c r="I1703" s="12" t="inlineStr">
        <is>
          <t>LV 600 V</t>
        </is>
      </c>
      <c r="J1703" s="12" t="inlineStr">
        <is>
          <t>2/0</t>
        </is>
      </c>
      <c r="K1703" s="12" t="n">
        <v>1</v>
      </c>
    </row>
    <row r="1704">
      <c r="A1704" s="12" t="inlineStr">
        <is>
          <t>Inlet-chilling tower (12 cells): chiller heat rejection</t>
        </is>
      </c>
      <c r="B1704" s="12" t="inlineStr"/>
      <c r="C1704" s="12" t="inlineStr">
        <is>
          <t>J</t>
        </is>
      </c>
      <c r="D1704" s="12" t="inlineStr">
        <is>
          <t>Motor 12 of 12, 75 kW (VFD output)</t>
        </is>
      </c>
      <c r="E1704" s="12" t="n">
        <v>480</v>
      </c>
      <c r="F1704" s="12" t="n">
        <v>75</v>
      </c>
      <c r="G1704" s="12" t="n">
        <v>106</v>
      </c>
      <c r="H1704" s="12" t="inlineStr">
        <is>
          <t>Inlet-chilling e-house / transformer</t>
        </is>
      </c>
      <c r="I1704" s="12" t="inlineStr">
        <is>
          <t>LV 600 V</t>
        </is>
      </c>
      <c r="J1704" s="12" t="inlineStr">
        <is>
          <t>2/0</t>
        </is>
      </c>
      <c r="K1704" s="12" t="n">
        <v>1</v>
      </c>
    </row>
    <row r="1705">
      <c r="A1705" s="12" t="inlineStr">
        <is>
          <t>Inlet-chilling tower (12 cells): chiller heat rejection</t>
        </is>
      </c>
      <c r="B1705" s="12" t="inlineStr"/>
      <c r="C1705" s="12" t="inlineStr">
        <is>
          <t>J</t>
        </is>
      </c>
      <c r="D1705" s="12" t="inlineStr">
        <is>
          <t>Area / platform lighting circuit 1 (12 fixtures)</t>
        </is>
      </c>
      <c r="E1705" s="12" t="n">
        <v>480</v>
      </c>
      <c r="F1705" s="12" t="n">
        <v>3</v>
      </c>
      <c r="G1705" s="12" t="n">
        <v>5</v>
      </c>
      <c r="H1705" s="12" t="inlineStr">
        <is>
          <t>Inlet-chilling e-house / transformer</t>
        </is>
      </c>
      <c r="I1705" s="12" t="inlineStr">
        <is>
          <t>LV 600 V</t>
        </is>
      </c>
      <c r="J1705" s="12" t="inlineStr">
        <is>
          <t>10</t>
        </is>
      </c>
      <c r="K1705" s="12" t="n">
        <v>1</v>
      </c>
    </row>
    <row r="1706">
      <c r="A1706" s="12" t="inlineStr">
        <is>
          <t>Inlet-chilling e-house / transformer</t>
        </is>
      </c>
      <c r="B1706" s="12" t="inlineStr"/>
      <c r="C1706" s="12" t="inlineStr">
        <is>
          <t>J</t>
        </is>
      </c>
      <c r="D1706" s="12" t="inlineStr">
        <is>
          <t>Inlet-chilling e-house / transformer</t>
        </is>
      </c>
      <c r="E1706" s="12" t="n">
        <v>13800</v>
      </c>
      <c r="F1706" s="12" t="n">
        <v>12000</v>
      </c>
      <c r="G1706" s="12" t="n">
        <v>502</v>
      </c>
      <c r="H1706" s="12" t="inlineStr">
        <is>
          <t>R1 SWGR-13.8-1 (11 x 36 in cubicles, 15 kV metal-clad)</t>
        </is>
      </c>
      <c r="I1706" s="12" t="inlineStr">
        <is>
          <t>MV 15 kV</t>
        </is>
      </c>
      <c r="J1706" s="12" t="inlineStr">
        <is>
          <t>1000 kcmil</t>
        </is>
      </c>
      <c r="K1706" s="12" t="n">
        <v>1</v>
      </c>
    </row>
    <row r="1707">
      <c r="A1707" s="12" t="inlineStr">
        <is>
          <t>CW pumps (inlet chilling)</t>
        </is>
      </c>
      <c r="B1707" s="12" t="inlineStr"/>
      <c r="C1707" s="12" t="inlineStr">
        <is>
          <t>J</t>
        </is>
      </c>
      <c r="D1707" s="12" t="inlineStr">
        <is>
          <t>Inlet-chilling CW pump 1</t>
        </is>
      </c>
      <c r="E1707" s="12" t="n">
        <v>4160</v>
      </c>
      <c r="F1707" s="12" t="n">
        <v>450</v>
      </c>
      <c r="G1707" s="12" t="n">
        <v>69</v>
      </c>
      <c r="H1707" s="12" t="inlineStr">
        <is>
          <t>Inlet-chilling e-house / transformer</t>
        </is>
      </c>
      <c r="I1707" s="12" t="inlineStr">
        <is>
          <t>MV 5 kV</t>
        </is>
      </c>
      <c r="J1707" s="12" t="inlineStr">
        <is>
          <t>2</t>
        </is>
      </c>
      <c r="K1707" s="12" t="n">
        <v>1</v>
      </c>
    </row>
    <row r="1708">
      <c r="A1708" s="12" t="inlineStr">
        <is>
          <t>CW pumps (inlet chilling)</t>
        </is>
      </c>
      <c r="B1708" s="12" t="inlineStr"/>
      <c r="C1708" s="12" t="inlineStr">
        <is>
          <t>J</t>
        </is>
      </c>
      <c r="D1708" s="12" t="inlineStr">
        <is>
          <t>Inlet-chilling CW pump 2</t>
        </is>
      </c>
      <c r="E1708" s="12" t="n">
        <v>4160</v>
      </c>
      <c r="F1708" s="12" t="n">
        <v>450</v>
      </c>
      <c r="G1708" s="12" t="n">
        <v>69</v>
      </c>
      <c r="H1708" s="12" t="inlineStr">
        <is>
          <t>Inlet-chilling e-house / transformer</t>
        </is>
      </c>
      <c r="I1708" s="12" t="inlineStr">
        <is>
          <t>MV 5 kV</t>
        </is>
      </c>
      <c r="J1708" s="12" t="inlineStr">
        <is>
          <t>2</t>
        </is>
      </c>
      <c r="K1708" s="12" t="n">
        <v>1</v>
      </c>
    </row>
    <row r="1709">
      <c r="A1709" s="12" t="inlineStr">
        <is>
          <t>CW pumps (inlet chilling)</t>
        </is>
      </c>
      <c r="B1709" s="12" t="inlineStr"/>
      <c r="C1709" s="12" t="inlineStr">
        <is>
          <t>J</t>
        </is>
      </c>
      <c r="D1709" s="12" t="inlineStr">
        <is>
          <t>Inlet-chilling CW pump 3</t>
        </is>
      </c>
      <c r="E1709" s="12" t="n">
        <v>4160</v>
      </c>
      <c r="F1709" s="12" t="n">
        <v>450</v>
      </c>
      <c r="G1709" s="12" t="n">
        <v>69</v>
      </c>
      <c r="H1709" s="12" t="inlineStr">
        <is>
          <t>Inlet-chilling e-house / transformer</t>
        </is>
      </c>
      <c r="I1709" s="12" t="inlineStr">
        <is>
          <t>MV 5 kV</t>
        </is>
      </c>
      <c r="J1709" s="12" t="inlineStr">
        <is>
          <t>2</t>
        </is>
      </c>
      <c r="K1709" s="12" t="n">
        <v>1</v>
      </c>
    </row>
    <row r="1710">
      <c r="A1710" s="12" t="inlineStr">
        <is>
          <t>CW pumps (inlet chilling)</t>
        </is>
      </c>
      <c r="B1710" s="12" t="inlineStr"/>
      <c r="C1710" s="12" t="inlineStr">
        <is>
          <t>J</t>
        </is>
      </c>
      <c r="D1710" s="12" t="inlineStr">
        <is>
          <t>Inlet-chilling CW pump 4</t>
        </is>
      </c>
      <c r="E1710" s="12" t="n">
        <v>4160</v>
      </c>
      <c r="F1710" s="12" t="n">
        <v>450</v>
      </c>
      <c r="G1710" s="12" t="n">
        <v>69</v>
      </c>
      <c r="H1710" s="12" t="inlineStr">
        <is>
          <t>Inlet-chilling e-house / transformer</t>
        </is>
      </c>
      <c r="I1710" s="12" t="inlineStr">
        <is>
          <t>MV 5 kV</t>
        </is>
      </c>
      <c r="J1710" s="12" t="inlineStr">
        <is>
          <t>2</t>
        </is>
      </c>
      <c r="K1710" s="12" t="n">
        <v>1</v>
      </c>
    </row>
    <row r="1711">
      <c r="A1711" s="12" t="inlineStr">
        <is>
          <t>Chillers x6 (water-cooled)</t>
        </is>
      </c>
      <c r="B1711" s="12" t="inlineStr"/>
      <c r="C1711" s="12" t="inlineStr">
        <is>
          <t>J</t>
        </is>
      </c>
      <c r="D1711" s="12" t="inlineStr">
        <is>
          <t>Water-cooled chiller CH-1</t>
        </is>
      </c>
      <c r="E1711" s="12" t="n">
        <v>4160</v>
      </c>
      <c r="F1711" s="12" t="n">
        <v>1500</v>
      </c>
      <c r="G1711" s="12" t="n">
        <v>231</v>
      </c>
      <c r="H1711" s="12" t="inlineStr">
        <is>
          <t>Inlet-chilling e-house / transformer</t>
        </is>
      </c>
      <c r="I1711" s="12" t="inlineStr">
        <is>
          <t>MV 5 kV</t>
        </is>
      </c>
      <c r="J1711" s="12" t="inlineStr">
        <is>
          <t>250 kcmil</t>
        </is>
      </c>
      <c r="K1711" s="12" t="n">
        <v>1</v>
      </c>
    </row>
    <row r="1712">
      <c r="A1712" s="12" t="inlineStr">
        <is>
          <t>Chillers x6 (water-cooled)</t>
        </is>
      </c>
      <c r="B1712" s="12" t="inlineStr"/>
      <c r="C1712" s="12" t="inlineStr">
        <is>
          <t>J</t>
        </is>
      </c>
      <c r="D1712" s="12" t="inlineStr">
        <is>
          <t>Water-cooled chiller CH-2</t>
        </is>
      </c>
      <c r="E1712" s="12" t="n">
        <v>4160</v>
      </c>
      <c r="F1712" s="12" t="n">
        <v>1500</v>
      </c>
      <c r="G1712" s="12" t="n">
        <v>231</v>
      </c>
      <c r="H1712" s="12" t="inlineStr">
        <is>
          <t>Inlet-chilling e-house / transformer</t>
        </is>
      </c>
      <c r="I1712" s="12" t="inlineStr">
        <is>
          <t>MV 5 kV</t>
        </is>
      </c>
      <c r="J1712" s="12" t="inlineStr">
        <is>
          <t>250 kcmil</t>
        </is>
      </c>
      <c r="K1712" s="12" t="n">
        <v>1</v>
      </c>
    </row>
    <row r="1713">
      <c r="A1713" s="12" t="inlineStr">
        <is>
          <t>Chillers x6 (water-cooled)</t>
        </is>
      </c>
      <c r="B1713" s="12" t="inlineStr"/>
      <c r="C1713" s="12" t="inlineStr">
        <is>
          <t>J</t>
        </is>
      </c>
      <c r="D1713" s="12" t="inlineStr">
        <is>
          <t>Water-cooled chiller CH-3</t>
        </is>
      </c>
      <c r="E1713" s="12" t="n">
        <v>4160</v>
      </c>
      <c r="F1713" s="12" t="n">
        <v>1500</v>
      </c>
      <c r="G1713" s="12" t="n">
        <v>231</v>
      </c>
      <c r="H1713" s="12" t="inlineStr">
        <is>
          <t>Inlet-chilling e-house / transformer</t>
        </is>
      </c>
      <c r="I1713" s="12" t="inlineStr">
        <is>
          <t>MV 5 kV</t>
        </is>
      </c>
      <c r="J1713" s="12" t="inlineStr">
        <is>
          <t>250 kcmil</t>
        </is>
      </c>
      <c r="K1713" s="12" t="n">
        <v>1</v>
      </c>
    </row>
    <row r="1714">
      <c r="A1714" s="12" t="inlineStr">
        <is>
          <t>Chillers x6 (water-cooled)</t>
        </is>
      </c>
      <c r="B1714" s="12" t="inlineStr"/>
      <c r="C1714" s="12" t="inlineStr">
        <is>
          <t>J</t>
        </is>
      </c>
      <c r="D1714" s="12" t="inlineStr">
        <is>
          <t>Water-cooled chiller CH-4</t>
        </is>
      </c>
      <c r="E1714" s="12" t="n">
        <v>4160</v>
      </c>
      <c r="F1714" s="12" t="n">
        <v>1500</v>
      </c>
      <c r="G1714" s="12" t="n">
        <v>231</v>
      </c>
      <c r="H1714" s="12" t="inlineStr">
        <is>
          <t>Inlet-chilling e-house / transformer</t>
        </is>
      </c>
      <c r="I1714" s="12" t="inlineStr">
        <is>
          <t>MV 5 kV</t>
        </is>
      </c>
      <c r="J1714" s="12" t="inlineStr">
        <is>
          <t>250 kcmil</t>
        </is>
      </c>
      <c r="K1714" s="12" t="n">
        <v>1</v>
      </c>
    </row>
    <row r="1715">
      <c r="A1715" s="12" t="inlineStr">
        <is>
          <t>Chillers x6 (water-cooled)</t>
        </is>
      </c>
      <c r="B1715" s="12" t="inlineStr"/>
      <c r="C1715" s="12" t="inlineStr">
        <is>
          <t>J</t>
        </is>
      </c>
      <c r="D1715" s="12" t="inlineStr">
        <is>
          <t>Water-cooled chiller CH-5</t>
        </is>
      </c>
      <c r="E1715" s="12" t="n">
        <v>4160</v>
      </c>
      <c r="F1715" s="12" t="n">
        <v>1500</v>
      </c>
      <c r="G1715" s="12" t="n">
        <v>231</v>
      </c>
      <c r="H1715" s="12" t="inlineStr">
        <is>
          <t>Inlet-chilling e-house / transformer</t>
        </is>
      </c>
      <c r="I1715" s="12" t="inlineStr">
        <is>
          <t>MV 5 kV</t>
        </is>
      </c>
      <c r="J1715" s="12" t="inlineStr">
        <is>
          <t>250 kcmil</t>
        </is>
      </c>
      <c r="K1715" s="12" t="n">
        <v>1</v>
      </c>
    </row>
    <row r="1716">
      <c r="A1716" s="12" t="inlineStr">
        <is>
          <t>Chillers x6 (water-cooled)</t>
        </is>
      </c>
      <c r="B1716" s="12" t="inlineStr"/>
      <c r="C1716" s="12" t="inlineStr">
        <is>
          <t>J</t>
        </is>
      </c>
      <c r="D1716" s="12" t="inlineStr">
        <is>
          <t>Water-cooled chiller CH-6</t>
        </is>
      </c>
      <c r="E1716" s="12" t="n">
        <v>4160</v>
      </c>
      <c r="F1716" s="12" t="n">
        <v>1500</v>
      </c>
      <c r="G1716" s="12" t="n">
        <v>231</v>
      </c>
      <c r="H1716" s="12" t="inlineStr">
        <is>
          <t>Inlet-chilling e-house / transformer</t>
        </is>
      </c>
      <c r="I1716" s="12" t="inlineStr">
        <is>
          <t>MV 5 kV</t>
        </is>
      </c>
      <c r="J1716" s="12" t="inlineStr">
        <is>
          <t>250 kcmil</t>
        </is>
      </c>
      <c r="K1716" s="12" t="n">
        <v>1</v>
      </c>
    </row>
    <row r="1717">
      <c r="A1717" s="12" t="inlineStr">
        <is>
          <t>H2 19: T-H2 230/13.8 kV (about 40 MVA)</t>
        </is>
      </c>
      <c r="B1717" s="12" t="inlineStr">
        <is>
          <t>T-H2</t>
        </is>
      </c>
      <c r="C1717" s="12" t="inlineStr">
        <is>
          <t>K</t>
        </is>
      </c>
      <c r="D1717" s="12" t="inlineStr">
        <is>
          <t>Motor 1 of 1, 15 kW</t>
        </is>
      </c>
      <c r="E1717" s="12" t="n">
        <v>480</v>
      </c>
      <c r="F1717" s="12" t="n">
        <v>15</v>
      </c>
      <c r="G1717" s="12" t="n">
        <v>21.2</v>
      </c>
      <c r="H1717" s="12" t="inlineStr">
        <is>
          <t>H2 20: 13.8 kV e-house</t>
        </is>
      </c>
      <c r="I1717" s="12" t="inlineStr">
        <is>
          <t>LV 600 V</t>
        </is>
      </c>
      <c r="J1717" s="12" t="inlineStr">
        <is>
          <t>10</t>
        </is>
      </c>
      <c r="K1717" s="12" t="n">
        <v>1</v>
      </c>
    </row>
    <row r="1718">
      <c r="A1718" s="12" t="inlineStr">
        <is>
          <t>H2 20: 13.8 kV e-house</t>
        </is>
      </c>
      <c r="B1718" s="12" t="inlineStr"/>
      <c r="C1718" s="12" t="inlineStr">
        <is>
          <t>K</t>
        </is>
      </c>
      <c r="D1718" s="12" t="inlineStr">
        <is>
          <t>Motor 1 of 1, 15 kW</t>
        </is>
      </c>
      <c r="E1718" s="12" t="n">
        <v>480</v>
      </c>
      <c r="F1718" s="12" t="n">
        <v>15</v>
      </c>
      <c r="G1718" s="12" t="n">
        <v>21.2</v>
      </c>
      <c r="H1718" s="12" t="inlineStr">
        <is>
          <t>H2 20: 13.8 kV e-house</t>
        </is>
      </c>
      <c r="I1718" s="12" t="inlineStr">
        <is>
          <t>LV 600 V</t>
        </is>
      </c>
      <c r="J1718" s="12" t="inlineStr">
        <is>
          <t>10</t>
        </is>
      </c>
      <c r="K1718" s="12" t="n">
        <v>1</v>
      </c>
    </row>
    <row r="1719">
      <c r="A1719" s="12" t="inlineStr">
        <is>
          <t>H2 21: rectifier transformer 1 (7 MVA)</t>
        </is>
      </c>
      <c r="B1719" s="12" t="inlineStr"/>
      <c r="C1719" s="12" t="inlineStr">
        <is>
          <t>K</t>
        </is>
      </c>
      <c r="D1719" s="12" t="inlineStr">
        <is>
          <t>Motor 1 of 1, 15 kW</t>
        </is>
      </c>
      <c r="E1719" s="12" t="n">
        <v>480</v>
      </c>
      <c r="F1719" s="12" t="n">
        <v>15</v>
      </c>
      <c r="G1719" s="12" t="n">
        <v>21.2</v>
      </c>
      <c r="H1719" s="12" t="inlineStr">
        <is>
          <t>H2 20: 13.8 kV e-house</t>
        </is>
      </c>
      <c r="I1719" s="12" t="inlineStr">
        <is>
          <t>LV 600 V</t>
        </is>
      </c>
      <c r="J1719" s="12" t="inlineStr">
        <is>
          <t>8</t>
        </is>
      </c>
      <c r="K1719" s="12" t="n">
        <v>1</v>
      </c>
    </row>
    <row r="1720">
      <c r="A1720" s="12" t="inlineStr">
        <is>
          <t>H2 21: rectifier transformer 2 (7 MVA)</t>
        </is>
      </c>
      <c r="B1720" s="12" t="inlineStr"/>
      <c r="C1720" s="12" t="inlineStr">
        <is>
          <t>K</t>
        </is>
      </c>
      <c r="D1720" s="12" t="inlineStr">
        <is>
          <t>Motor 1 of 1, 15 kW</t>
        </is>
      </c>
      <c r="E1720" s="12" t="n">
        <v>480</v>
      </c>
      <c r="F1720" s="12" t="n">
        <v>15</v>
      </c>
      <c r="G1720" s="12" t="n">
        <v>21.2</v>
      </c>
      <c r="H1720" s="12" t="inlineStr">
        <is>
          <t>H2 20: 13.8 kV e-house</t>
        </is>
      </c>
      <c r="I1720" s="12" t="inlineStr">
        <is>
          <t>LV 600 V</t>
        </is>
      </c>
      <c r="J1720" s="12" t="inlineStr">
        <is>
          <t>8</t>
        </is>
      </c>
      <c r="K1720" s="12" t="n">
        <v>1</v>
      </c>
    </row>
    <row r="1721">
      <c r="A1721" s="12" t="inlineStr">
        <is>
          <t>H2 21: rectifier transformer 3 (7 MVA)</t>
        </is>
      </c>
      <c r="B1721" s="12" t="inlineStr"/>
      <c r="C1721" s="12" t="inlineStr">
        <is>
          <t>K</t>
        </is>
      </c>
      <c r="D1721" s="12" t="inlineStr">
        <is>
          <t>Motor 1 of 1, 15 kW</t>
        </is>
      </c>
      <c r="E1721" s="12" t="n">
        <v>480</v>
      </c>
      <c r="F1721" s="12" t="n">
        <v>15</v>
      </c>
      <c r="G1721" s="12" t="n">
        <v>21.2</v>
      </c>
      <c r="H1721" s="12" t="inlineStr">
        <is>
          <t>H2 20: 13.8 kV e-house</t>
        </is>
      </c>
      <c r="I1721" s="12" t="inlineStr">
        <is>
          <t>LV 600 V</t>
        </is>
      </c>
      <c r="J1721" s="12" t="inlineStr">
        <is>
          <t>8</t>
        </is>
      </c>
      <c r="K1721" s="12" t="n">
        <v>1</v>
      </c>
    </row>
    <row r="1722">
      <c r="A1722" s="12" t="inlineStr">
        <is>
          <t>H2 21: rectifier transformer 4 (7 MVA)</t>
        </is>
      </c>
      <c r="B1722" s="12" t="inlineStr"/>
      <c r="C1722" s="12" t="inlineStr">
        <is>
          <t>K</t>
        </is>
      </c>
      <c r="D1722" s="12" t="inlineStr">
        <is>
          <t>Motor 1 of 1, 15 kW</t>
        </is>
      </c>
      <c r="E1722" s="12" t="n">
        <v>480</v>
      </c>
      <c r="F1722" s="12" t="n">
        <v>15</v>
      </c>
      <c r="G1722" s="12" t="n">
        <v>21.2</v>
      </c>
      <c r="H1722" s="12" t="inlineStr">
        <is>
          <t>H2 20: 13.8 kV e-house</t>
        </is>
      </c>
      <c r="I1722" s="12" t="inlineStr">
        <is>
          <t>LV 600 V</t>
        </is>
      </c>
      <c r="J1722" s="12" t="inlineStr">
        <is>
          <t>8</t>
        </is>
      </c>
      <c r="K1722" s="12" t="n">
        <v>1</v>
      </c>
    </row>
    <row r="1723">
      <c r="A1723" s="12" t="inlineStr">
        <is>
          <t>H2 21: rectifier transformer 5 (7 MVA)</t>
        </is>
      </c>
      <c r="B1723" s="12" t="inlineStr"/>
      <c r="C1723" s="12" t="inlineStr">
        <is>
          <t>K</t>
        </is>
      </c>
      <c r="D1723" s="12" t="inlineStr">
        <is>
          <t>Motor 1 of 1, 15 kW</t>
        </is>
      </c>
      <c r="E1723" s="12" t="n">
        <v>480</v>
      </c>
      <c r="F1723" s="12" t="n">
        <v>15</v>
      </c>
      <c r="G1723" s="12" t="n">
        <v>21.2</v>
      </c>
      <c r="H1723" s="12" t="inlineStr">
        <is>
          <t>H2 20: 13.8 kV e-house</t>
        </is>
      </c>
      <c r="I1723" s="12" t="inlineStr">
        <is>
          <t>LV 600 V</t>
        </is>
      </c>
      <c r="J1723" s="12" t="inlineStr">
        <is>
          <t>10</t>
        </is>
      </c>
      <c r="K1723" s="12" t="n">
        <v>1</v>
      </c>
    </row>
    <row r="1724">
      <c r="A1724" s="12" t="inlineStr">
        <is>
          <t>H2 22: electrolyzer building (5 x HyLYZER-1000 + 5 rectifiers)</t>
        </is>
      </c>
      <c r="B1724" s="12" t="inlineStr">
        <is>
          <t>H2-EL</t>
        </is>
      </c>
      <c r="C1724" s="12" t="inlineStr">
        <is>
          <t>K</t>
        </is>
      </c>
      <c r="D1724" s="12" t="inlineStr">
        <is>
          <t>Motor 1 of 1, 15 kW</t>
        </is>
      </c>
      <c r="E1724" s="12" t="n">
        <v>480</v>
      </c>
      <c r="F1724" s="12" t="n">
        <v>15</v>
      </c>
      <c r="G1724" s="12" t="n">
        <v>21.2</v>
      </c>
      <c r="H1724" s="12" t="inlineStr">
        <is>
          <t>H2 20: 13.8 kV e-house</t>
        </is>
      </c>
      <c r="I1724" s="12" t="inlineStr">
        <is>
          <t>LV 600 V</t>
        </is>
      </c>
      <c r="J1724" s="12" t="inlineStr">
        <is>
          <t>8</t>
        </is>
      </c>
      <c r="K1724" s="12" t="n">
        <v>1</v>
      </c>
    </row>
    <row r="1725">
      <c r="A1725" s="12" t="inlineStr">
        <is>
          <t>H2 23: dry coolers</t>
        </is>
      </c>
      <c r="B1725" s="12" t="inlineStr"/>
      <c r="C1725" s="12" t="inlineStr">
        <is>
          <t>K</t>
        </is>
      </c>
      <c r="D1725" s="12" t="inlineStr">
        <is>
          <t>Motor 1 of 1, 15 kW</t>
        </is>
      </c>
      <c r="E1725" s="12" t="n">
        <v>480</v>
      </c>
      <c r="F1725" s="12" t="n">
        <v>15</v>
      </c>
      <c r="G1725" s="12" t="n">
        <v>21.2</v>
      </c>
      <c r="H1725" s="12" t="inlineStr">
        <is>
          <t>H2 20: 13.8 kV e-house</t>
        </is>
      </c>
      <c r="I1725" s="12" t="inlineStr">
        <is>
          <t>LV 600 V</t>
        </is>
      </c>
      <c r="J1725" s="12" t="inlineStr">
        <is>
          <t>10</t>
        </is>
      </c>
      <c r="K1725" s="12" t="n">
        <v>1</v>
      </c>
    </row>
    <row r="1726">
      <c r="A1726" s="12" t="inlineStr">
        <is>
          <t>H2 24: water purification (RO / EDI)</t>
        </is>
      </c>
      <c r="B1726" s="12" t="inlineStr"/>
      <c r="C1726" s="12" t="inlineStr">
        <is>
          <t>K</t>
        </is>
      </c>
      <c r="D1726" s="12" t="inlineStr">
        <is>
          <t>Motor 1 of 1, 15 kW</t>
        </is>
      </c>
      <c r="E1726" s="12" t="n">
        <v>480</v>
      </c>
      <c r="F1726" s="12" t="n">
        <v>15</v>
      </c>
      <c r="G1726" s="12" t="n">
        <v>21.2</v>
      </c>
      <c r="H1726" s="12" t="inlineStr">
        <is>
          <t>H2 20: 13.8 kV e-house</t>
        </is>
      </c>
      <c r="I1726" s="12" t="inlineStr">
        <is>
          <t>LV 600 V</t>
        </is>
      </c>
      <c r="J1726" s="12" t="inlineStr">
        <is>
          <t>10</t>
        </is>
      </c>
      <c r="K1726" s="12" t="n">
        <v>1</v>
      </c>
    </row>
    <row r="1727">
      <c r="A1727" s="12" t="inlineStr">
        <is>
          <t>H2 25: H2 dryer / purification</t>
        </is>
      </c>
      <c r="B1727" s="12" t="inlineStr"/>
      <c r="C1727" s="12" t="inlineStr">
        <is>
          <t>K</t>
        </is>
      </c>
      <c r="D1727" s="12" t="inlineStr">
        <is>
          <t>Motor 1 of 1, 15 kW</t>
        </is>
      </c>
      <c r="E1727" s="12" t="n">
        <v>480</v>
      </c>
      <c r="F1727" s="12" t="n">
        <v>15</v>
      </c>
      <c r="G1727" s="12" t="n">
        <v>21.2</v>
      </c>
      <c r="H1727" s="12" t="inlineStr">
        <is>
          <t>H2 20: 13.8 kV e-house</t>
        </is>
      </c>
      <c r="I1727" s="12" t="inlineStr">
        <is>
          <t>LV 600 V</t>
        </is>
      </c>
      <c r="J1727" s="12" t="inlineStr">
        <is>
          <t>10</t>
        </is>
      </c>
      <c r="K1727" s="12" t="n">
        <v>1</v>
      </c>
    </row>
    <row r="1728">
      <c r="A1728" s="12" t="inlineStr">
        <is>
          <t>H2 26: H2 compressor 1 (40 ft ISO)</t>
        </is>
      </c>
      <c r="B1728" s="12" t="inlineStr"/>
      <c r="C1728" s="12" t="inlineStr">
        <is>
          <t>K</t>
        </is>
      </c>
      <c r="D1728" s="12" t="inlineStr">
        <is>
          <t>Motor 1 of 1, 15 kW</t>
        </is>
      </c>
      <c r="E1728" s="12" t="n">
        <v>480</v>
      </c>
      <c r="F1728" s="12" t="n">
        <v>15</v>
      </c>
      <c r="G1728" s="12" t="n">
        <v>21.2</v>
      </c>
      <c r="H1728" s="12" t="inlineStr">
        <is>
          <t>H2 20: 13.8 kV e-house</t>
        </is>
      </c>
      <c r="I1728" s="12" t="inlineStr">
        <is>
          <t>LV 600 V</t>
        </is>
      </c>
      <c r="J1728" s="12" t="inlineStr">
        <is>
          <t>10</t>
        </is>
      </c>
      <c r="K1728" s="12" t="n">
        <v>1</v>
      </c>
    </row>
    <row r="1729">
      <c r="A1729" s="12" t="inlineStr">
        <is>
          <t>H2 26: H2 compressor 2 (40 ft ISO)</t>
        </is>
      </c>
      <c r="B1729" s="12" t="inlineStr"/>
      <c r="C1729" s="12" t="inlineStr">
        <is>
          <t>K</t>
        </is>
      </c>
      <c r="D1729" s="12" t="inlineStr">
        <is>
          <t>Motor 1 of 1, 15 kW</t>
        </is>
      </c>
      <c r="E1729" s="12" t="n">
        <v>480</v>
      </c>
      <c r="F1729" s="12" t="n">
        <v>15</v>
      </c>
      <c r="G1729" s="12" t="n">
        <v>21.2</v>
      </c>
      <c r="H1729" s="12" t="inlineStr">
        <is>
          <t>H2 20: 13.8 kV e-house</t>
        </is>
      </c>
      <c r="I1729" s="12" t="inlineStr">
        <is>
          <t>LV 600 V</t>
        </is>
      </c>
      <c r="J1729" s="12" t="inlineStr">
        <is>
          <t>10</t>
        </is>
      </c>
      <c r="K1729" s="12" t="n">
        <v>1</v>
      </c>
    </row>
    <row r="1730">
      <c r="A1730" s="12" t="inlineStr">
        <is>
          <t>H2 27: storage tube bank (~40 ft tubes)</t>
        </is>
      </c>
      <c r="B1730" s="12" t="inlineStr"/>
      <c r="C1730" s="12" t="inlineStr">
        <is>
          <t>K</t>
        </is>
      </c>
      <c r="D1730" s="12" t="inlineStr">
        <is>
          <t>Motor 1 of 1, 15 kW</t>
        </is>
      </c>
      <c r="E1730" s="12" t="n">
        <v>480</v>
      </c>
      <c r="F1730" s="12" t="n">
        <v>15</v>
      </c>
      <c r="G1730" s="12" t="n">
        <v>21.2</v>
      </c>
      <c r="H1730" s="12" t="inlineStr">
        <is>
          <t>H2 20: 13.8 kV e-house</t>
        </is>
      </c>
      <c r="I1730" s="12" t="inlineStr">
        <is>
          <t>LV 600 V</t>
        </is>
      </c>
      <c r="J1730" s="12" t="inlineStr">
        <is>
          <t>10</t>
        </is>
      </c>
      <c r="K1730" s="12" t="n">
        <v>1</v>
      </c>
    </row>
    <row r="1731">
      <c r="A1731" s="12" t="inlineStr">
        <is>
          <t>H2 27: storage tube bank (~40 ft tubes)</t>
        </is>
      </c>
      <c r="B1731" s="12" t="inlineStr"/>
      <c r="C1731" s="12" t="inlineStr">
        <is>
          <t>K</t>
        </is>
      </c>
      <c r="D1731" s="12" t="inlineStr">
        <is>
          <t>Motor 1 of 1, 15 kW</t>
        </is>
      </c>
      <c r="E1731" s="12" t="n">
        <v>480</v>
      </c>
      <c r="F1731" s="12" t="n">
        <v>15</v>
      </c>
      <c r="G1731" s="12" t="n">
        <v>21.2</v>
      </c>
      <c r="H1731" s="12" t="inlineStr">
        <is>
          <t>H2 20: 13.8 kV e-house</t>
        </is>
      </c>
      <c r="I1731" s="12" t="inlineStr">
        <is>
          <t>LV 600 V</t>
        </is>
      </c>
      <c r="J1731" s="12" t="inlineStr">
        <is>
          <t>10</t>
        </is>
      </c>
      <c r="K1731" s="12" t="n">
        <v>1</v>
      </c>
    </row>
    <row r="1732">
      <c r="A1732" s="12" t="inlineStr">
        <is>
          <t>H2 27: storage tube bank (~40 ft tubes)</t>
        </is>
      </c>
      <c r="B1732" s="12" t="inlineStr"/>
      <c r="C1732" s="12" t="inlineStr">
        <is>
          <t>K</t>
        </is>
      </c>
      <c r="D1732" s="12" t="inlineStr">
        <is>
          <t>Motor 1 of 1, 15 kW</t>
        </is>
      </c>
      <c r="E1732" s="12" t="n">
        <v>480</v>
      </c>
      <c r="F1732" s="12" t="n">
        <v>15</v>
      </c>
      <c r="G1732" s="12" t="n">
        <v>21.2</v>
      </c>
      <c r="H1732" s="12" t="inlineStr">
        <is>
          <t>H2 20: 13.8 kV e-house</t>
        </is>
      </c>
      <c r="I1732" s="12" t="inlineStr">
        <is>
          <t>LV 600 V</t>
        </is>
      </c>
      <c r="J1732" s="12" t="inlineStr">
        <is>
          <t>10</t>
        </is>
      </c>
      <c r="K1732" s="12" t="n">
        <v>1</v>
      </c>
    </row>
    <row r="1733">
      <c r="A1733" s="12" t="inlineStr">
        <is>
          <t>H2 27: storage tube bank (~40 ft tubes)</t>
        </is>
      </c>
      <c r="B1733" s="12" t="inlineStr"/>
      <c r="C1733" s="12" t="inlineStr">
        <is>
          <t>K</t>
        </is>
      </c>
      <c r="D1733" s="12" t="inlineStr">
        <is>
          <t>Motor 1 of 1, 15 kW</t>
        </is>
      </c>
      <c r="E1733" s="12" t="n">
        <v>480</v>
      </c>
      <c r="F1733" s="12" t="n">
        <v>15</v>
      </c>
      <c r="G1733" s="12" t="n">
        <v>21.2</v>
      </c>
      <c r="H1733" s="12" t="inlineStr">
        <is>
          <t>H2 20: 13.8 kV e-house</t>
        </is>
      </c>
      <c r="I1733" s="12" t="inlineStr">
        <is>
          <t>LV 600 V</t>
        </is>
      </c>
      <c r="J1733" s="12" t="inlineStr">
        <is>
          <t>10</t>
        </is>
      </c>
      <c r="K1733" s="12" t="n">
        <v>1</v>
      </c>
    </row>
    <row r="1734">
      <c r="A1734" s="12" t="inlineStr">
        <is>
          <t>H2 28: N2 purge supply</t>
        </is>
      </c>
      <c r="B1734" s="12" t="inlineStr"/>
      <c r="C1734" s="12" t="inlineStr">
        <is>
          <t>K</t>
        </is>
      </c>
      <c r="D1734" s="12" t="inlineStr">
        <is>
          <t>Motor 1 of 1, 15 kW</t>
        </is>
      </c>
      <c r="E1734" s="12" t="n">
        <v>480</v>
      </c>
      <c r="F1734" s="12" t="n">
        <v>15</v>
      </c>
      <c r="G1734" s="12" t="n">
        <v>21.2</v>
      </c>
      <c r="H1734" s="12" t="inlineStr">
        <is>
          <t>H2 20: 13.8 kV e-house</t>
        </is>
      </c>
      <c r="I1734" s="12" t="inlineStr">
        <is>
          <t>LV 600 V</t>
        </is>
      </c>
      <c r="J1734" s="12" t="inlineStr">
        <is>
          <t>10</t>
        </is>
      </c>
      <c r="K1734" s="12" t="n">
        <v>1</v>
      </c>
    </row>
    <row r="1735">
      <c r="A1735" s="12" t="inlineStr">
        <is>
          <t>H2 29: vent stack</t>
        </is>
      </c>
      <c r="B1735" s="12" t="inlineStr"/>
      <c r="C1735" s="12" t="inlineStr">
        <is>
          <t>K</t>
        </is>
      </c>
      <c r="D1735" s="12" t="inlineStr">
        <is>
          <t>Motor 1 of 1, 15 kW</t>
        </is>
      </c>
      <c r="E1735" s="12" t="n">
        <v>480</v>
      </c>
      <c r="F1735" s="12" t="n">
        <v>15</v>
      </c>
      <c r="G1735" s="12" t="n">
        <v>21.2</v>
      </c>
      <c r="H1735" s="12" t="inlineStr">
        <is>
          <t>H2 20: 13.8 kV e-house</t>
        </is>
      </c>
      <c r="I1735" s="12" t="inlineStr">
        <is>
          <t>LV 600 V</t>
        </is>
      </c>
      <c r="J1735" s="12" t="inlineStr">
        <is>
          <t>10</t>
        </is>
      </c>
      <c r="K1735" s="12" t="n">
        <v>1</v>
      </c>
    </row>
    <row r="1736">
      <c r="A1736" s="12" t="inlineStr">
        <is>
          <t>H2 30: H2 / gas blending station (plant gas yard)</t>
        </is>
      </c>
      <c r="B1736" s="12" t="inlineStr"/>
      <c r="C1736" s="12" t="inlineStr">
        <is>
          <t>K</t>
        </is>
      </c>
      <c r="D1736" s="12" t="inlineStr">
        <is>
          <t>Motor 1 of 1, 15 kW</t>
        </is>
      </c>
      <c r="E1736" s="12" t="n">
        <v>480</v>
      </c>
      <c r="F1736" s="12" t="n">
        <v>15</v>
      </c>
      <c r="G1736" s="12" t="n">
        <v>21.2</v>
      </c>
      <c r="H1736" s="12" t="inlineStr">
        <is>
          <t>LNG 17: LNG e-house (13.8 kV / 480 V)</t>
        </is>
      </c>
      <c r="I1736" s="12" t="inlineStr">
        <is>
          <t>LV 600 V</t>
        </is>
      </c>
      <c r="J1736" s="12" t="inlineStr">
        <is>
          <t>4</t>
        </is>
      </c>
      <c r="K1736" s="12" t="n">
        <v>1</v>
      </c>
    </row>
    <row r="1737">
      <c r="A1737" s="12" t="inlineStr">
        <is>
          <t>H2 pipe track and cable trench, hall -&gt; dryer / compressors (N2, instr</t>
        </is>
      </c>
      <c r="B1737" s="12" t="inlineStr"/>
      <c r="C1737" s="12" t="inlineStr">
        <is>
          <t>K</t>
        </is>
      </c>
      <c r="D1737" s="12" t="inlineStr">
        <is>
          <t>Motor 1 of 2, 250 kW</t>
        </is>
      </c>
      <c r="E1737" s="12" t="n">
        <v>480</v>
      </c>
      <c r="F1737" s="12" t="n">
        <v>250</v>
      </c>
      <c r="G1737" s="12" t="n">
        <v>353.8</v>
      </c>
      <c r="H1737" s="12" t="inlineStr">
        <is>
          <t>H2 20: 13.8 kV e-house</t>
        </is>
      </c>
      <c r="I1737" s="12" t="inlineStr">
        <is>
          <t>LV 600 V</t>
        </is>
      </c>
      <c r="J1737" s="12" t="inlineStr">
        <is>
          <t>4/0</t>
        </is>
      </c>
      <c r="K1737" s="12" t="n">
        <v>2</v>
      </c>
    </row>
    <row r="1738">
      <c r="A1738" s="12" t="inlineStr">
        <is>
          <t>H2 pipe track and cable trench, hall -&gt; dryer / compressors (N2, instr</t>
        </is>
      </c>
      <c r="B1738" s="12" t="inlineStr"/>
      <c r="C1738" s="12" t="inlineStr">
        <is>
          <t>K</t>
        </is>
      </c>
      <c r="D1738" s="12" t="inlineStr">
        <is>
          <t>Motor 2 of 2, 250 kW</t>
        </is>
      </c>
      <c r="E1738" s="12" t="n">
        <v>480</v>
      </c>
      <c r="F1738" s="12" t="n">
        <v>250</v>
      </c>
      <c r="G1738" s="12" t="n">
        <v>353.8</v>
      </c>
      <c r="H1738" s="12" t="inlineStr">
        <is>
          <t>H2 20: 13.8 kV e-house</t>
        </is>
      </c>
      <c r="I1738" s="12" t="inlineStr">
        <is>
          <t>LV 600 V</t>
        </is>
      </c>
      <c r="J1738" s="12" t="inlineStr">
        <is>
          <t>4/0</t>
        </is>
      </c>
      <c r="K1738" s="12" t="n">
        <v>2</v>
      </c>
    </row>
    <row r="1739">
      <c r="A1739" s="12" t="inlineStr">
        <is>
          <t>H2 storage tube banks x4</t>
        </is>
      </c>
      <c r="B1739" s="12" t="inlineStr">
        <is>
          <t>H2-ST</t>
        </is>
      </c>
      <c r="C1739" s="12" t="inlineStr">
        <is>
          <t>K</t>
        </is>
      </c>
      <c r="D1739" s="12" t="inlineStr">
        <is>
          <t>LV power feeder</t>
        </is>
      </c>
      <c r="E1739" s="12" t="n">
        <v>480</v>
      </c>
      <c r="F1739" s="12" t="n">
        <v>15</v>
      </c>
      <c r="G1739" s="12" t="n">
        <v>21.2</v>
      </c>
      <c r="H1739" s="12" t="inlineStr">
        <is>
          <t>H2 20: 13.8 kV e-house</t>
        </is>
      </c>
      <c r="I1739" s="12" t="inlineStr">
        <is>
          <t>LV 600 V</t>
        </is>
      </c>
      <c r="J1739" s="12" t="inlineStr">
        <is>
          <t>10</t>
        </is>
      </c>
      <c r="K1739" s="12" t="n">
        <v>1</v>
      </c>
    </row>
    <row r="1740">
      <c r="A1740" s="12" t="inlineStr">
        <is>
          <t>H2R: hydrogen pipeline receiving station (pig receiver, filters, meter</t>
        </is>
      </c>
      <c r="B1740" s="12" t="inlineStr">
        <is>
          <t>H2R</t>
        </is>
      </c>
      <c r="C1740" s="12" t="inlineStr">
        <is>
          <t>K</t>
        </is>
      </c>
      <c r="D1740" s="12" t="inlineStr">
        <is>
          <t>LV power feeder</t>
        </is>
      </c>
      <c r="E1740" s="12" t="n">
        <v>480</v>
      </c>
      <c r="F1740" s="12" t="n">
        <v>15</v>
      </c>
      <c r="G1740" s="12" t="n">
        <v>21.2</v>
      </c>
      <c r="H1740" s="12" t="inlineStr">
        <is>
          <t>H2 20: 13.8 kV e-house</t>
        </is>
      </c>
      <c r="I1740" s="12" t="inlineStr">
        <is>
          <t>LV 600 V</t>
        </is>
      </c>
      <c r="J1740" s="12" t="inlineStr">
        <is>
          <t>10</t>
        </is>
      </c>
      <c r="K1740" s="12" t="n">
        <v>1</v>
      </c>
    </row>
    <row r="1741">
      <c r="A1741" s="12" t="inlineStr">
        <is>
          <t>LNG 10: truck unloading bay 1</t>
        </is>
      </c>
      <c r="B1741" s="12" t="inlineStr"/>
      <c r="C1741" s="12" t="inlineStr">
        <is>
          <t>K</t>
        </is>
      </c>
      <c r="D1741" s="12" t="inlineStr">
        <is>
          <t>Motor 1 of 1, 15 kW</t>
        </is>
      </c>
      <c r="E1741" s="12" t="n">
        <v>480</v>
      </c>
      <c r="F1741" s="12" t="n">
        <v>15</v>
      </c>
      <c r="G1741" s="12" t="n">
        <v>21.2</v>
      </c>
      <c r="H1741" s="12" t="inlineStr">
        <is>
          <t>LNG 17: LNG e-house (13.8 kV / 480 V)</t>
        </is>
      </c>
      <c r="I1741" s="12" t="inlineStr">
        <is>
          <t>LV 600 V</t>
        </is>
      </c>
      <c r="J1741" s="12" t="inlineStr">
        <is>
          <t>8</t>
        </is>
      </c>
      <c r="K1741" s="12" t="n">
        <v>1</v>
      </c>
    </row>
    <row r="1742">
      <c r="A1742" s="12" t="inlineStr">
        <is>
          <t>LNG 10: truck unloading bay 2</t>
        </is>
      </c>
      <c r="B1742" s="12" t="inlineStr"/>
      <c r="C1742" s="12" t="inlineStr">
        <is>
          <t>K</t>
        </is>
      </c>
      <c r="D1742" s="12" t="inlineStr">
        <is>
          <t>Motor 1 of 1, 15 kW</t>
        </is>
      </c>
      <c r="E1742" s="12" t="n">
        <v>480</v>
      </c>
      <c r="F1742" s="12" t="n">
        <v>15</v>
      </c>
      <c r="G1742" s="12" t="n">
        <v>21.2</v>
      </c>
      <c r="H1742" s="12" t="inlineStr">
        <is>
          <t>LNG 17: LNG e-house (13.8 kV / 480 V)</t>
        </is>
      </c>
      <c r="I1742" s="12" t="inlineStr">
        <is>
          <t>LV 600 V</t>
        </is>
      </c>
      <c r="J1742" s="12" t="inlineStr">
        <is>
          <t>10</t>
        </is>
      </c>
      <c r="K1742" s="12" t="n">
        <v>1</v>
      </c>
    </row>
    <row r="1743">
      <c r="A1743" s="12" t="inlineStr">
        <is>
          <t>LNG 10: unloading skid</t>
        </is>
      </c>
      <c r="B1743" s="12" t="inlineStr"/>
      <c r="C1743" s="12" t="inlineStr">
        <is>
          <t>K</t>
        </is>
      </c>
      <c r="D1743" s="12" t="inlineStr">
        <is>
          <t>Motor 1 of 1, 15 kW</t>
        </is>
      </c>
      <c r="E1743" s="12" t="n">
        <v>480</v>
      </c>
      <c r="F1743" s="12" t="n">
        <v>15</v>
      </c>
      <c r="G1743" s="12" t="n">
        <v>21.2</v>
      </c>
      <c r="H1743" s="12" t="inlineStr">
        <is>
          <t>LNG 17: LNG e-house (13.8 kV / 480 V)</t>
        </is>
      </c>
      <c r="I1743" s="12" t="inlineStr">
        <is>
          <t>LV 600 V</t>
        </is>
      </c>
      <c r="J1743" s="12" t="inlineStr">
        <is>
          <t>10</t>
        </is>
      </c>
      <c r="K1743" s="12" t="n">
        <v>1</v>
      </c>
    </row>
    <row r="1744">
      <c r="A1744" s="12" t="inlineStr">
        <is>
          <t>LNG 11: tank 1, Chart HS 50000 (51,780 gal)</t>
        </is>
      </c>
      <c r="B1744" s="12" t="inlineStr">
        <is>
          <t>LNG-T1</t>
        </is>
      </c>
      <c r="C1744" s="12" t="inlineStr">
        <is>
          <t>K</t>
        </is>
      </c>
      <c r="D1744" s="12" t="inlineStr">
        <is>
          <t>LV power feeder</t>
        </is>
      </c>
      <c r="E1744" s="12" t="n">
        <v>480</v>
      </c>
      <c r="F1744" s="12" t="n">
        <v>10</v>
      </c>
      <c r="G1744" s="12" t="n">
        <v>14.2</v>
      </c>
      <c r="H1744" s="12" t="inlineStr">
        <is>
          <t>LNG 17: LNG e-house (13.8 kV / 480 V)</t>
        </is>
      </c>
      <c r="I1744" s="12" t="inlineStr">
        <is>
          <t>LV 600 V</t>
        </is>
      </c>
      <c r="J1744" s="12" t="inlineStr">
        <is>
          <t>10</t>
        </is>
      </c>
      <c r="K1744" s="12" t="n">
        <v>1</v>
      </c>
    </row>
    <row r="1745">
      <c r="A1745" s="12" t="inlineStr">
        <is>
          <t>LNG 11: tank 2, Chart HS 50000 (51,780 gal)</t>
        </is>
      </c>
      <c r="B1745" s="12" t="inlineStr">
        <is>
          <t>LNG-T2</t>
        </is>
      </c>
      <c r="C1745" s="12" t="inlineStr">
        <is>
          <t>K</t>
        </is>
      </c>
      <c r="D1745" s="12" t="inlineStr">
        <is>
          <t>LV power feeder</t>
        </is>
      </c>
      <c r="E1745" s="12" t="n">
        <v>480</v>
      </c>
      <c r="F1745" s="12" t="n">
        <v>10</v>
      </c>
      <c r="G1745" s="12" t="n">
        <v>14.2</v>
      </c>
      <c r="H1745" s="12" t="inlineStr">
        <is>
          <t>LNG 17: LNG e-house (13.8 kV / 480 V)</t>
        </is>
      </c>
      <c r="I1745" s="12" t="inlineStr">
        <is>
          <t>LV 600 V</t>
        </is>
      </c>
      <c r="J1745" s="12" t="inlineStr">
        <is>
          <t>10</t>
        </is>
      </c>
      <c r="K1745" s="12" t="n">
        <v>1</v>
      </c>
    </row>
    <row r="1746">
      <c r="A1746" s="12" t="inlineStr">
        <is>
          <t>LNG 11: tank 3, Chart HS 50000 (51,780 gal)</t>
        </is>
      </c>
      <c r="B1746" s="12" t="inlineStr">
        <is>
          <t>LNG-T3</t>
        </is>
      </c>
      <c r="C1746" s="12" t="inlineStr">
        <is>
          <t>K</t>
        </is>
      </c>
      <c r="D1746" s="12" t="inlineStr">
        <is>
          <t>LV power feeder</t>
        </is>
      </c>
      <c r="E1746" s="12" t="n">
        <v>480</v>
      </c>
      <c r="F1746" s="12" t="n">
        <v>10</v>
      </c>
      <c r="G1746" s="12" t="n">
        <v>14.2</v>
      </c>
      <c r="H1746" s="12" t="inlineStr">
        <is>
          <t>LNG 17: LNG e-house (13.8 kV / 480 V)</t>
        </is>
      </c>
      <c r="I1746" s="12" t="inlineStr">
        <is>
          <t>LV 600 V</t>
        </is>
      </c>
      <c r="J1746" s="12" t="inlineStr">
        <is>
          <t>10</t>
        </is>
      </c>
      <c r="K1746" s="12" t="n">
        <v>1</v>
      </c>
    </row>
    <row r="1747">
      <c r="A1747" s="12" t="inlineStr">
        <is>
          <t>LNG 11: tank 4, Chart HS 50000 (51,780 gal)</t>
        </is>
      </c>
      <c r="B1747" s="12" t="inlineStr">
        <is>
          <t>LNG-T4</t>
        </is>
      </c>
      <c r="C1747" s="12" t="inlineStr">
        <is>
          <t>K</t>
        </is>
      </c>
      <c r="D1747" s="12" t="inlineStr">
        <is>
          <t>LV power feeder</t>
        </is>
      </c>
      <c r="E1747" s="12" t="n">
        <v>480</v>
      </c>
      <c r="F1747" s="12" t="n">
        <v>10</v>
      </c>
      <c r="G1747" s="12" t="n">
        <v>14.2</v>
      </c>
      <c r="H1747" s="12" t="inlineStr">
        <is>
          <t>LNG 17: LNG e-house (13.8 kV / 480 V)</t>
        </is>
      </c>
      <c r="I1747" s="12" t="inlineStr">
        <is>
          <t>LV 600 V</t>
        </is>
      </c>
      <c r="J1747" s="12" t="inlineStr">
        <is>
          <t>10</t>
        </is>
      </c>
      <c r="K1747" s="12" t="n">
        <v>1</v>
      </c>
    </row>
    <row r="1748">
      <c r="A1748" s="12" t="inlineStr">
        <is>
          <t>LNG 11: tank 5, Chart HS 50000 (51,780 gal)</t>
        </is>
      </c>
      <c r="B1748" s="12" t="inlineStr">
        <is>
          <t>LNG-T5</t>
        </is>
      </c>
      <c r="C1748" s="12" t="inlineStr">
        <is>
          <t>K</t>
        </is>
      </c>
      <c r="D1748" s="12" t="inlineStr">
        <is>
          <t>LV power feeder</t>
        </is>
      </c>
      <c r="E1748" s="12" t="n">
        <v>480</v>
      </c>
      <c r="F1748" s="12" t="n">
        <v>10</v>
      </c>
      <c r="G1748" s="12" t="n">
        <v>14.2</v>
      </c>
      <c r="H1748" s="12" t="inlineStr">
        <is>
          <t>LNG 17: LNG e-house (13.8 kV / 480 V)</t>
        </is>
      </c>
      <c r="I1748" s="12" t="inlineStr">
        <is>
          <t>LV 600 V</t>
        </is>
      </c>
      <c r="J1748" s="12" t="inlineStr">
        <is>
          <t>10</t>
        </is>
      </c>
      <c r="K1748" s="12" t="n">
        <v>1</v>
      </c>
    </row>
    <row r="1749">
      <c r="A1749" s="12" t="inlineStr">
        <is>
          <t>LNG 11: tank 6, Chart HS 50000 (51,780 gal)</t>
        </is>
      </c>
      <c r="B1749" s="12" t="inlineStr">
        <is>
          <t>LNG-T6</t>
        </is>
      </c>
      <c r="C1749" s="12" t="inlineStr">
        <is>
          <t>K</t>
        </is>
      </c>
      <c r="D1749" s="12" t="inlineStr">
        <is>
          <t>LV power feeder</t>
        </is>
      </c>
      <c r="E1749" s="12" t="n">
        <v>480</v>
      </c>
      <c r="F1749" s="12" t="n">
        <v>10</v>
      </c>
      <c r="G1749" s="12" t="n">
        <v>14.2</v>
      </c>
      <c r="H1749" s="12" t="inlineStr">
        <is>
          <t>LNG 17: LNG e-house (13.8 kV / 480 V)</t>
        </is>
      </c>
      <c r="I1749" s="12" t="inlineStr">
        <is>
          <t>LV 600 V</t>
        </is>
      </c>
      <c r="J1749" s="12" t="inlineStr">
        <is>
          <t>10</t>
        </is>
      </c>
      <c r="K1749" s="12" t="n">
        <v>1</v>
      </c>
    </row>
    <row r="1750">
      <c r="A1750" s="12" t="inlineStr">
        <is>
          <t>LNG 11: tank 7, Chart HS 50000 (51,780 gal)</t>
        </is>
      </c>
      <c r="B1750" s="12" t="inlineStr">
        <is>
          <t>LNG-T7</t>
        </is>
      </c>
      <c r="C1750" s="12" t="inlineStr">
        <is>
          <t>K</t>
        </is>
      </c>
      <c r="D1750" s="12" t="inlineStr">
        <is>
          <t>LV power feeder</t>
        </is>
      </c>
      <c r="E1750" s="12" t="n">
        <v>480</v>
      </c>
      <c r="F1750" s="12" t="n">
        <v>10</v>
      </c>
      <c r="G1750" s="12" t="n">
        <v>14.2</v>
      </c>
      <c r="H1750" s="12" t="inlineStr">
        <is>
          <t>LNG 17: LNG e-house (13.8 kV / 480 V)</t>
        </is>
      </c>
      <c r="I1750" s="12" t="inlineStr">
        <is>
          <t>LV 600 V</t>
        </is>
      </c>
      <c r="J1750" s="12" t="inlineStr">
        <is>
          <t>10</t>
        </is>
      </c>
      <c r="K1750" s="12" t="n">
        <v>1</v>
      </c>
    </row>
    <row r="1751">
      <c r="A1751" s="12" t="inlineStr">
        <is>
          <t>LNG 11: tank 8, Chart HS 50000 (51,780 gal)</t>
        </is>
      </c>
      <c r="B1751" s="12" t="inlineStr">
        <is>
          <t>LNG-T8</t>
        </is>
      </c>
      <c r="C1751" s="12" t="inlineStr">
        <is>
          <t>K</t>
        </is>
      </c>
      <c r="D1751" s="12" t="inlineStr">
        <is>
          <t>LV power feeder</t>
        </is>
      </c>
      <c r="E1751" s="12" t="n">
        <v>480</v>
      </c>
      <c r="F1751" s="12" t="n">
        <v>10</v>
      </c>
      <c r="G1751" s="12" t="n">
        <v>14.2</v>
      </c>
      <c r="H1751" s="12" t="inlineStr">
        <is>
          <t>LNG 17: LNG e-house (13.8 kV / 480 V)</t>
        </is>
      </c>
      <c r="I1751" s="12" t="inlineStr">
        <is>
          <t>LV 600 V</t>
        </is>
      </c>
      <c r="J1751" s="12" t="inlineStr">
        <is>
          <t>10</t>
        </is>
      </c>
      <c r="K1751" s="12" t="n">
        <v>1</v>
      </c>
    </row>
    <row r="1752">
      <c r="A1752" s="12" t="inlineStr">
        <is>
          <t>LNG 12: spill impoundment (NFPA 59A, to verify)</t>
        </is>
      </c>
      <c r="B1752" s="12" t="inlineStr"/>
      <c r="C1752" s="12" t="inlineStr">
        <is>
          <t>K</t>
        </is>
      </c>
      <c r="D1752" s="12" t="inlineStr">
        <is>
          <t>Motor 1 of 1, 15 kW</t>
        </is>
      </c>
      <c r="E1752" s="12" t="n">
        <v>480</v>
      </c>
      <c r="F1752" s="12" t="n">
        <v>15</v>
      </c>
      <c r="G1752" s="12" t="n">
        <v>21.2</v>
      </c>
      <c r="H1752" s="12" t="inlineStr">
        <is>
          <t>LNG 17: LNG e-house (13.8 kV / 480 V)</t>
        </is>
      </c>
      <c r="I1752" s="12" t="inlineStr">
        <is>
          <t>LV 600 V</t>
        </is>
      </c>
      <c r="J1752" s="12" t="inlineStr">
        <is>
          <t>10</t>
        </is>
      </c>
      <c r="K1752" s="12" t="n">
        <v>1</v>
      </c>
    </row>
    <row r="1753">
      <c r="A1753" s="12" t="inlineStr">
        <is>
          <t>LNG 13: send-out pumps 2 x 100%</t>
        </is>
      </c>
      <c r="B1753" s="12" t="inlineStr"/>
      <c r="C1753" s="12" t="inlineStr">
        <is>
          <t>K</t>
        </is>
      </c>
      <c r="D1753" s="12" t="inlineStr">
        <is>
          <t>Motor 1 of 1, 15 kW</t>
        </is>
      </c>
      <c r="E1753" s="12" t="n">
        <v>480</v>
      </c>
      <c r="F1753" s="12" t="n">
        <v>15</v>
      </c>
      <c r="G1753" s="12" t="n">
        <v>21.2</v>
      </c>
      <c r="H1753" s="12" t="inlineStr">
        <is>
          <t>LNG 17: LNG e-house (13.8 kV / 480 V)</t>
        </is>
      </c>
      <c r="I1753" s="12" t="inlineStr">
        <is>
          <t>LV 600 V</t>
        </is>
      </c>
      <c r="J1753" s="12" t="inlineStr">
        <is>
          <t>10</t>
        </is>
      </c>
      <c r="K1753" s="12" t="n">
        <v>1</v>
      </c>
    </row>
    <row r="1754">
      <c r="A1754" s="12" t="inlineStr">
        <is>
          <t>LNG 14: vaporizers + glycol heater</t>
        </is>
      </c>
      <c r="B1754" s="12" t="inlineStr"/>
      <c r="C1754" s="12" t="inlineStr">
        <is>
          <t>K</t>
        </is>
      </c>
      <c r="D1754" s="12" t="inlineStr">
        <is>
          <t>Motor 1 of 1, 15 kW</t>
        </is>
      </c>
      <c r="E1754" s="12" t="n">
        <v>480</v>
      </c>
      <c r="F1754" s="12" t="n">
        <v>15</v>
      </c>
      <c r="G1754" s="12" t="n">
        <v>21.2</v>
      </c>
      <c r="H1754" s="12" t="inlineStr">
        <is>
          <t>LNG 17: LNG e-house (13.8 kV / 480 V)</t>
        </is>
      </c>
      <c r="I1754" s="12" t="inlineStr">
        <is>
          <t>LV 600 V</t>
        </is>
      </c>
      <c r="J1754" s="12" t="inlineStr">
        <is>
          <t>10</t>
        </is>
      </c>
      <c r="K1754" s="12" t="n">
        <v>1</v>
      </c>
    </row>
    <row r="1755">
      <c r="A1755" s="12" t="inlineStr">
        <is>
          <t>LNG 15: boil-off gas compressor</t>
        </is>
      </c>
      <c r="B1755" s="12" t="inlineStr"/>
      <c r="C1755" s="12" t="inlineStr">
        <is>
          <t>K</t>
        </is>
      </c>
      <c r="D1755" s="12" t="inlineStr">
        <is>
          <t>Motor 1 of 1, 15 kW</t>
        </is>
      </c>
      <c r="E1755" s="12" t="n">
        <v>480</v>
      </c>
      <c r="F1755" s="12" t="n">
        <v>15</v>
      </c>
      <c r="G1755" s="12" t="n">
        <v>21.2</v>
      </c>
      <c r="H1755" s="12" t="inlineStr">
        <is>
          <t>LNG 17: LNG e-house (13.8 kV / 480 V)</t>
        </is>
      </c>
      <c r="I1755" s="12" t="inlineStr">
        <is>
          <t>LV 600 V</t>
        </is>
      </c>
      <c r="J1755" s="12" t="inlineStr">
        <is>
          <t>10</t>
        </is>
      </c>
      <c r="K1755" s="12" t="n">
        <v>1</v>
      </c>
    </row>
    <row r="1756">
      <c r="A1756" s="12" t="inlineStr">
        <is>
          <t>LNG 16: send-out metering + pressure control</t>
        </is>
      </c>
      <c r="B1756" s="12" t="inlineStr"/>
      <c r="C1756" s="12" t="inlineStr">
        <is>
          <t>K</t>
        </is>
      </c>
      <c r="D1756" s="12" t="inlineStr">
        <is>
          <t>Motor 1 of 1, 15 kW</t>
        </is>
      </c>
      <c r="E1756" s="12" t="n">
        <v>480</v>
      </c>
      <c r="F1756" s="12" t="n">
        <v>15</v>
      </c>
      <c r="G1756" s="12" t="n">
        <v>21.2</v>
      </c>
      <c r="H1756" s="12" t="inlineStr">
        <is>
          <t>LNG 17: LNG e-house (13.8 kV / 480 V)</t>
        </is>
      </c>
      <c r="I1756" s="12" t="inlineStr">
        <is>
          <t>LV 600 V</t>
        </is>
      </c>
      <c r="J1756" s="12" t="inlineStr">
        <is>
          <t>10</t>
        </is>
      </c>
      <c r="K1756" s="12" t="n">
        <v>1</v>
      </c>
    </row>
    <row r="1757">
      <c r="A1757" s="12" t="inlineStr">
        <is>
          <t>LNG 17: LNG e-house (13.8 kV / 480 V)</t>
        </is>
      </c>
      <c r="B1757" s="12" t="inlineStr"/>
      <c r="C1757" s="12" t="inlineStr">
        <is>
          <t>K</t>
        </is>
      </c>
      <c r="D1757" s="12" t="inlineStr">
        <is>
          <t>Motor 1 of 1, 15 kW</t>
        </is>
      </c>
      <c r="E1757" s="12" t="n">
        <v>480</v>
      </c>
      <c r="F1757" s="12" t="n">
        <v>15</v>
      </c>
      <c r="G1757" s="12" t="n">
        <v>21.2</v>
      </c>
      <c r="H1757" s="12" t="inlineStr">
        <is>
          <t>LNG 17: LNG e-house (13.8 kV / 480 V)</t>
        </is>
      </c>
      <c r="I1757" s="12" t="inlineStr">
        <is>
          <t>LV 600 V</t>
        </is>
      </c>
      <c r="J1757" s="12" t="inlineStr">
        <is>
          <t>10</t>
        </is>
      </c>
      <c r="K1757" s="12" t="n">
        <v>1</v>
      </c>
    </row>
    <row r="1758">
      <c r="A1758" s="12" t="inlineStr">
        <is>
          <t>LNG 18: vent stack</t>
        </is>
      </c>
      <c r="B1758" s="12" t="inlineStr"/>
      <c r="C1758" s="12" t="inlineStr">
        <is>
          <t>K</t>
        </is>
      </c>
      <c r="D1758" s="12" t="inlineStr">
        <is>
          <t>Motor 1 of 1, 15 kW</t>
        </is>
      </c>
      <c r="E1758" s="12" t="n">
        <v>480</v>
      </c>
      <c r="F1758" s="12" t="n">
        <v>15</v>
      </c>
      <c r="G1758" s="12" t="n">
        <v>21.2</v>
      </c>
      <c r="H1758" s="12" t="inlineStr">
        <is>
          <t>LNG 17: LNG e-house (13.8 kV / 480 V)</t>
        </is>
      </c>
      <c r="I1758" s="12" t="inlineStr">
        <is>
          <t>LV 600 V</t>
        </is>
      </c>
      <c r="J1758" s="12" t="inlineStr">
        <is>
          <t>10</t>
        </is>
      </c>
      <c r="K1758" s="12" t="n">
        <v>1</v>
      </c>
    </row>
    <row r="1759">
      <c r="A1759" s="12" t="inlineStr">
        <is>
          <t>LNG impoundment sump pump</t>
        </is>
      </c>
      <c r="B1759" s="12" t="inlineStr"/>
      <c r="C1759" s="12" t="inlineStr">
        <is>
          <t>K</t>
        </is>
      </c>
      <c r="D1759" s="12" t="inlineStr">
        <is>
          <t>LV power feeder</t>
        </is>
      </c>
      <c r="E1759" s="12" t="n">
        <v>480</v>
      </c>
      <c r="F1759" s="12" t="n">
        <v>15</v>
      </c>
      <c r="G1759" s="12" t="n">
        <v>21.2</v>
      </c>
      <c r="H1759" s="12" t="inlineStr">
        <is>
          <t>LNG 17: LNG e-house (13.8 kV / 480 V)</t>
        </is>
      </c>
      <c r="I1759" s="12" t="inlineStr">
        <is>
          <t>LV 600 V</t>
        </is>
      </c>
      <c r="J1759" s="12" t="inlineStr">
        <is>
          <t>8</t>
        </is>
      </c>
      <c r="K1759" s="12" t="n">
        <v>1</v>
      </c>
    </row>
    <row r="1760">
      <c r="A1760" s="12" t="inlineStr">
        <is>
          <t>M&amp;R 2: insulating joint + ESD valve</t>
        </is>
      </c>
      <c r="B1760" s="12" t="inlineStr"/>
      <c r="C1760" s="12" t="inlineStr">
        <is>
          <t>K</t>
        </is>
      </c>
      <c r="D1760" s="12" t="inlineStr">
        <is>
          <t>LV power feeder</t>
        </is>
      </c>
      <c r="E1760" s="12" t="n">
        <v>480</v>
      </c>
      <c r="F1760" s="12" t="n">
        <v>10</v>
      </c>
      <c r="G1760" s="12" t="n">
        <v>14.2</v>
      </c>
      <c r="H1760" s="12" t="inlineStr">
        <is>
          <t>LNG 17: LNG e-house (13.8 kV / 480 V)</t>
        </is>
      </c>
      <c r="I1760" s="12" t="inlineStr">
        <is>
          <t>LV 600 V</t>
        </is>
      </c>
      <c r="J1760" s="12" t="inlineStr">
        <is>
          <t>6</t>
        </is>
      </c>
      <c r="K1760" s="12" t="n">
        <v>1</v>
      </c>
    </row>
    <row r="1761">
      <c r="A1761" s="12" t="inlineStr">
        <is>
          <t>M&amp;R 3: horizontal filter-separator</t>
        </is>
      </c>
      <c r="B1761" s="12" t="inlineStr"/>
      <c r="C1761" s="12" t="inlineStr">
        <is>
          <t>K</t>
        </is>
      </c>
      <c r="D1761" s="12" t="inlineStr">
        <is>
          <t>LV power feeder</t>
        </is>
      </c>
      <c r="E1761" s="12" t="n">
        <v>480</v>
      </c>
      <c r="F1761" s="12" t="n">
        <v>15</v>
      </c>
      <c r="G1761" s="12" t="n">
        <v>21.2</v>
      </c>
      <c r="H1761" s="12" t="inlineStr">
        <is>
          <t>LNG 17: LNG e-house (13.8 kV / 480 V)</t>
        </is>
      </c>
      <c r="I1761" s="12" t="inlineStr">
        <is>
          <t>LV 600 V</t>
        </is>
      </c>
      <c r="J1761" s="12" t="inlineStr">
        <is>
          <t>4</t>
        </is>
      </c>
      <c r="K1761" s="12" t="n">
        <v>1</v>
      </c>
    </row>
    <row r="1762">
      <c r="A1762" s="12" t="inlineStr">
        <is>
          <t>M&amp;R 4: line heater 1 (water bath)</t>
        </is>
      </c>
      <c r="B1762" s="12" t="inlineStr"/>
      <c r="C1762" s="12" t="inlineStr">
        <is>
          <t>K</t>
        </is>
      </c>
      <c r="D1762" s="12" t="inlineStr">
        <is>
          <t>LV power feeder</t>
        </is>
      </c>
      <c r="E1762" s="12" t="n">
        <v>480</v>
      </c>
      <c r="F1762" s="12" t="n">
        <v>15</v>
      </c>
      <c r="G1762" s="12" t="n">
        <v>21.2</v>
      </c>
      <c r="H1762" s="12" t="inlineStr">
        <is>
          <t>LNG 17: LNG e-house (13.8 kV / 480 V)</t>
        </is>
      </c>
      <c r="I1762" s="12" t="inlineStr">
        <is>
          <t>LV 600 V</t>
        </is>
      </c>
      <c r="J1762" s="12" t="inlineStr">
        <is>
          <t>6</t>
        </is>
      </c>
      <c r="K1762" s="12" t="n">
        <v>1</v>
      </c>
    </row>
    <row r="1763">
      <c r="A1763" s="12" t="inlineStr">
        <is>
          <t>M&amp;R 4: line heater 2 (water bath)</t>
        </is>
      </c>
      <c r="B1763" s="12" t="inlineStr"/>
      <c r="C1763" s="12" t="inlineStr">
        <is>
          <t>K</t>
        </is>
      </c>
      <c r="D1763" s="12" t="inlineStr">
        <is>
          <t>LV power feeder</t>
        </is>
      </c>
      <c r="E1763" s="12" t="n">
        <v>480</v>
      </c>
      <c r="F1763" s="12" t="n">
        <v>15</v>
      </c>
      <c r="G1763" s="12" t="n">
        <v>21.2</v>
      </c>
      <c r="H1763" s="12" t="inlineStr">
        <is>
          <t>LNG 17: LNG e-house (13.8 kV / 480 V)</t>
        </is>
      </c>
      <c r="I1763" s="12" t="inlineStr">
        <is>
          <t>LV 600 V</t>
        </is>
      </c>
      <c r="J1763" s="12" t="inlineStr">
        <is>
          <t>6</t>
        </is>
      </c>
      <c r="K1763" s="12" t="n">
        <v>1</v>
      </c>
    </row>
    <row r="1764">
      <c r="A1764" s="12" t="inlineStr">
        <is>
          <t>M&amp;R 4: line heater 3 (water bath)</t>
        </is>
      </c>
      <c r="B1764" s="12" t="inlineStr"/>
      <c r="C1764" s="12" t="inlineStr">
        <is>
          <t>K</t>
        </is>
      </c>
      <c r="D1764" s="12" t="inlineStr">
        <is>
          <t>LV power feeder</t>
        </is>
      </c>
      <c r="E1764" s="12" t="n">
        <v>480</v>
      </c>
      <c r="F1764" s="12" t="n">
        <v>15</v>
      </c>
      <c r="G1764" s="12" t="n">
        <v>21.2</v>
      </c>
      <c r="H1764" s="12" t="inlineStr">
        <is>
          <t>LNG 17: LNG e-house (13.8 kV / 480 V)</t>
        </is>
      </c>
      <c r="I1764" s="12" t="inlineStr">
        <is>
          <t>LV 600 V</t>
        </is>
      </c>
      <c r="J1764" s="12" t="inlineStr">
        <is>
          <t>6</t>
        </is>
      </c>
      <c r="K1764" s="12" t="n">
        <v>1</v>
      </c>
    </row>
    <row r="1765">
      <c r="A1765" s="12" t="inlineStr">
        <is>
          <t>M&amp;R 6: regulation / flow control building</t>
        </is>
      </c>
      <c r="B1765" s="12" t="inlineStr"/>
      <c r="C1765" s="12" t="inlineStr">
        <is>
          <t>K</t>
        </is>
      </c>
      <c r="D1765" s="12" t="inlineStr">
        <is>
          <t>LV panel / distribution feeder</t>
        </is>
      </c>
      <c r="E1765" s="12" t="n">
        <v>480</v>
      </c>
      <c r="F1765" s="12" t="n">
        <v>10</v>
      </c>
      <c r="G1765" s="12" t="n">
        <v>14.2</v>
      </c>
      <c r="H1765" s="12" t="inlineStr">
        <is>
          <t>LNG 17: LNG e-house (13.8 kV / 480 V)</t>
        </is>
      </c>
      <c r="I1765" s="12" t="inlineStr">
        <is>
          <t>LV 600 V</t>
        </is>
      </c>
      <c r="J1765" s="12" t="inlineStr">
        <is>
          <t>8</t>
        </is>
      </c>
      <c r="K1765" s="12" t="n">
        <v>1</v>
      </c>
    </row>
    <row r="1766">
      <c r="A1766" s="12" t="inlineStr">
        <is>
          <t>M&amp;R 7: gas quality + measurement building</t>
        </is>
      </c>
      <c r="B1766" s="12" t="inlineStr"/>
      <c r="C1766" s="12" t="inlineStr">
        <is>
          <t>K</t>
        </is>
      </c>
      <c r="D1766" s="12" t="inlineStr">
        <is>
          <t>LV panel / distribution feeder</t>
        </is>
      </c>
      <c r="E1766" s="12" t="n">
        <v>480</v>
      </c>
      <c r="F1766" s="12" t="n">
        <v>30</v>
      </c>
      <c r="G1766" s="12" t="n">
        <v>42.5</v>
      </c>
      <c r="H1766" s="12" t="inlineStr">
        <is>
          <t>LNG 17: LNG e-house (13.8 kV / 480 V)</t>
        </is>
      </c>
      <c r="I1766" s="12" t="inlineStr">
        <is>
          <t>LV 600 V</t>
        </is>
      </c>
      <c r="J1766" s="12" t="inlineStr">
        <is>
          <t>2</t>
        </is>
      </c>
      <c r="K1766" s="12" t="n">
        <v>1</v>
      </c>
    </row>
    <row r="1767">
      <c r="A1767" s="12" t="inlineStr">
        <is>
          <t>M&amp;R 8: condensate tank</t>
        </is>
      </c>
      <c r="B1767" s="12" t="inlineStr"/>
      <c r="C1767" s="12" t="inlineStr">
        <is>
          <t>K</t>
        </is>
      </c>
      <c r="D1767" s="12" t="inlineStr">
        <is>
          <t>LV power feeder</t>
        </is>
      </c>
      <c r="E1767" s="12" t="n">
        <v>480</v>
      </c>
      <c r="F1767" s="12" t="n">
        <v>10</v>
      </c>
      <c r="G1767" s="12" t="n">
        <v>14.2</v>
      </c>
      <c r="H1767" s="12" t="inlineStr">
        <is>
          <t>LNG 17: LNG e-house (13.8 kV / 480 V)</t>
        </is>
      </c>
      <c r="I1767" s="12" t="inlineStr">
        <is>
          <t>LV 600 V</t>
        </is>
      </c>
      <c r="J1767" s="12" t="inlineStr">
        <is>
          <t>8</t>
        </is>
      </c>
      <c r="K1767" s="12" t="n">
        <v>1</v>
      </c>
    </row>
    <row r="1768">
      <c r="A1768" s="12" t="inlineStr">
        <is>
          <t>M&amp;R 9: service panel + UPS, SCADA RTU, CP</t>
        </is>
      </c>
      <c r="B1768" s="12" t="inlineStr"/>
      <c r="C1768" s="12" t="inlineStr">
        <is>
          <t>K</t>
        </is>
      </c>
      <c r="D1768" s="12" t="inlineStr">
        <is>
          <t>LV power feeder</t>
        </is>
      </c>
      <c r="E1768" s="12" t="n">
        <v>480</v>
      </c>
      <c r="F1768" s="12" t="n">
        <v>15</v>
      </c>
      <c r="G1768" s="12" t="n">
        <v>21.2</v>
      </c>
      <c r="H1768" s="12" t="inlineStr">
        <is>
          <t>LNG 17: LNG e-house (13.8 kV / 480 V)</t>
        </is>
      </c>
      <c r="I1768" s="12" t="inlineStr">
        <is>
          <t>LV 600 V</t>
        </is>
      </c>
      <c r="J1768" s="12" t="inlineStr">
        <is>
          <t>6</t>
        </is>
      </c>
      <c r="K1768" s="12" t="n">
        <v>1</v>
      </c>
    </row>
    <row r="1769">
      <c r="A1769" s="12" t="inlineStr">
        <is>
          <t>M&amp;R CP test station (as drawn)</t>
        </is>
      </c>
      <c r="B1769" s="12" t="inlineStr"/>
      <c r="C1769" s="12" t="inlineStr">
        <is>
          <t>K</t>
        </is>
      </c>
      <c r="D1769" s="12" t="inlineStr">
        <is>
          <t>LV power feeder</t>
        </is>
      </c>
      <c r="E1769" s="12" t="n">
        <v>480</v>
      </c>
      <c r="F1769" s="12" t="n">
        <v>15</v>
      </c>
      <c r="G1769" s="12" t="n">
        <v>21.2</v>
      </c>
      <c r="H1769" s="12" t="inlineStr">
        <is>
          <t>LNG 17: LNG e-house (13.8 kV / 480 V)</t>
        </is>
      </c>
      <c r="I1769" s="12" t="inlineStr">
        <is>
          <t>LV 600 V</t>
        </is>
      </c>
      <c r="J1769" s="12" t="inlineStr">
        <is>
          <t>6</t>
        </is>
      </c>
      <c r="K1769" s="12" t="n">
        <v>1</v>
      </c>
    </row>
    <row r="1770">
      <c r="A1770" s="12" t="inlineStr">
        <is>
          <t>M&amp;R SCADA antenna mast base (as drawn)</t>
        </is>
      </c>
      <c r="B1770" s="12" t="inlineStr"/>
      <c r="C1770" s="12" t="inlineStr">
        <is>
          <t>K</t>
        </is>
      </c>
      <c r="D1770" s="12" t="inlineStr">
        <is>
          <t>LV power feeder</t>
        </is>
      </c>
      <c r="E1770" s="12" t="n">
        <v>480</v>
      </c>
      <c r="F1770" s="12" t="n">
        <v>15</v>
      </c>
      <c r="G1770" s="12" t="n">
        <v>21.2</v>
      </c>
      <c r="H1770" s="12" t="inlineStr">
        <is>
          <t>LNG 17: LNG e-house (13.8 kV / 480 V)</t>
        </is>
      </c>
      <c r="I1770" s="12" t="inlineStr">
        <is>
          <t>LV 600 V</t>
        </is>
      </c>
      <c r="J1770" s="12" t="inlineStr">
        <is>
          <t>8</t>
        </is>
      </c>
      <c r="K1770" s="12" t="n">
        <v>1</v>
      </c>
    </row>
    <row r="1771">
      <c r="A1771" s="12" t="inlineStr">
        <is>
          <t>H2 20: 13.8 kV e-house</t>
        </is>
      </c>
      <c r="B1771" s="12" t="inlineStr"/>
      <c r="C1771" s="12" t="inlineStr">
        <is>
          <t>K</t>
        </is>
      </c>
      <c r="D1771" s="12" t="inlineStr">
        <is>
          <t>H2 13.8 kV e-house (electrolyzers)</t>
        </is>
      </c>
      <c r="E1771" s="12" t="n">
        <v>13800</v>
      </c>
      <c r="F1771" s="12" t="n">
        <v>20000</v>
      </c>
      <c r="G1771" s="12" t="n">
        <v>837</v>
      </c>
      <c r="H1771" s="12" t="inlineStr">
        <is>
          <t>R1 SWGR-13.8-3 (11 x 36 in cubicles, 15 kV metal-clad)</t>
        </is>
      </c>
      <c r="I1771" s="12" t="inlineStr">
        <is>
          <t>MV 15 kV</t>
        </is>
      </c>
      <c r="J1771" s="12" t="inlineStr">
        <is>
          <t>750 kcmil</t>
        </is>
      </c>
      <c r="K1771" s="12" t="n">
        <v>2</v>
      </c>
    </row>
    <row r="1772">
      <c r="A1772" s="12" t="inlineStr">
        <is>
          <t>LNG 17: LNG e-house (13.8 kV / 480 V)</t>
        </is>
      </c>
      <c r="B1772" s="12" t="inlineStr"/>
      <c r="C1772" s="12" t="inlineStr">
        <is>
          <t>K</t>
        </is>
      </c>
      <c r="D1772" s="12" t="inlineStr">
        <is>
          <t>LNG e-house</t>
        </is>
      </c>
      <c r="E1772" s="12" t="n">
        <v>13800</v>
      </c>
      <c r="F1772" s="12" t="n">
        <v>5000</v>
      </c>
      <c r="G1772" s="12" t="n">
        <v>209</v>
      </c>
      <c r="H1772" s="12" t="inlineStr">
        <is>
          <t>R1 SWGR-13.8-3 (11 x 36 in cubicles, 15 kV metal-clad)</t>
        </is>
      </c>
      <c r="I1772" s="12" t="inlineStr">
        <is>
          <t>MV 15 kV</t>
        </is>
      </c>
      <c r="J1772" s="12" t="inlineStr">
        <is>
          <t>4/0</t>
        </is>
      </c>
      <c r="K1772" s="12" t="n">
        <v>1</v>
      </c>
    </row>
    <row r="1773">
      <c r="A1773" s="12" t="inlineStr">
        <is>
          <t xml:space="preserve">CO2 compression 3 x ~19 MW + dehydration: rooftop HVAC, exhaust fans, </t>
        </is>
      </c>
      <c r="B1773" s="12" t="inlineStr"/>
      <c r="C1773" s="12" t="inlineStr"/>
      <c r="D1773" s="12" t="inlineStr">
        <is>
          <t>Motor 1 of 10, 30 kW</t>
        </is>
      </c>
      <c r="E1773" s="12" t="n">
        <v>480</v>
      </c>
      <c r="F1773" s="12" t="n">
        <v>30</v>
      </c>
      <c r="G1773" s="12" t="n">
        <v>42.5</v>
      </c>
      <c r="H1773" s="12" t="inlineStr">
        <is>
          <t>R1 MCC-C1</t>
        </is>
      </c>
      <c r="I1773" s="12" t="inlineStr">
        <is>
          <t>LV 600 V</t>
        </is>
      </c>
      <c r="J1773" s="12" t="inlineStr">
        <is>
          <t>3/0</t>
        </is>
      </c>
      <c r="K1773" s="12" t="n">
        <v>1</v>
      </c>
    </row>
    <row r="1774">
      <c r="A1774" s="12" t="inlineStr">
        <is>
          <t xml:space="preserve">CO2 compression 3 x ~19 MW + dehydration: rooftop HVAC, exhaust fans, </t>
        </is>
      </c>
      <c r="B1774" s="12" t="inlineStr"/>
      <c r="C1774" s="12" t="inlineStr"/>
      <c r="D1774" s="12" t="inlineStr">
        <is>
          <t>Motor 2 of 10, 30 kW</t>
        </is>
      </c>
      <c r="E1774" s="12" t="n">
        <v>480</v>
      </c>
      <c r="F1774" s="12" t="n">
        <v>30</v>
      </c>
      <c r="G1774" s="12" t="n">
        <v>42.5</v>
      </c>
      <c r="H1774" s="12" t="inlineStr">
        <is>
          <t>R1 MCC-C1</t>
        </is>
      </c>
      <c r="I1774" s="12" t="inlineStr">
        <is>
          <t>LV 600 V</t>
        </is>
      </c>
      <c r="J1774" s="12" t="inlineStr">
        <is>
          <t>3/0</t>
        </is>
      </c>
      <c r="K1774" s="12" t="n">
        <v>1</v>
      </c>
    </row>
    <row r="1775">
      <c r="A1775" s="12" t="inlineStr">
        <is>
          <t xml:space="preserve">CO2 compression 3 x ~19 MW + dehydration: rooftop HVAC, exhaust fans, </t>
        </is>
      </c>
      <c r="B1775" s="12" t="inlineStr"/>
      <c r="C1775" s="12" t="inlineStr"/>
      <c r="D1775" s="12" t="inlineStr">
        <is>
          <t>Motor 3 of 10, 30 kW</t>
        </is>
      </c>
      <c r="E1775" s="12" t="n">
        <v>480</v>
      </c>
      <c r="F1775" s="12" t="n">
        <v>30</v>
      </c>
      <c r="G1775" s="12" t="n">
        <v>42.5</v>
      </c>
      <c r="H1775" s="12" t="inlineStr">
        <is>
          <t>R1 MCC-C1</t>
        </is>
      </c>
      <c r="I1775" s="12" t="inlineStr">
        <is>
          <t>LV 600 V</t>
        </is>
      </c>
      <c r="J1775" s="12" t="inlineStr">
        <is>
          <t>3/0</t>
        </is>
      </c>
      <c r="K1775" s="12" t="n">
        <v>1</v>
      </c>
    </row>
    <row r="1776">
      <c r="A1776" s="12" t="inlineStr">
        <is>
          <t xml:space="preserve">CO2 compression 3 x ~19 MW + dehydration: rooftop HVAC, exhaust fans, </t>
        </is>
      </c>
      <c r="B1776" s="12" t="inlineStr"/>
      <c r="C1776" s="12" t="inlineStr"/>
      <c r="D1776" s="12" t="inlineStr">
        <is>
          <t>Motor 4 of 10, 30 kW</t>
        </is>
      </c>
      <c r="E1776" s="12" t="n">
        <v>480</v>
      </c>
      <c r="F1776" s="12" t="n">
        <v>30</v>
      </c>
      <c r="G1776" s="12" t="n">
        <v>42.5</v>
      </c>
      <c r="H1776" s="12" t="inlineStr">
        <is>
          <t>R1 MCC-C1</t>
        </is>
      </c>
      <c r="I1776" s="12" t="inlineStr">
        <is>
          <t>LV 600 V</t>
        </is>
      </c>
      <c r="J1776" s="12" t="inlineStr">
        <is>
          <t>3/0</t>
        </is>
      </c>
      <c r="K1776" s="12" t="n">
        <v>1</v>
      </c>
    </row>
    <row r="1777">
      <c r="A1777" s="12" t="inlineStr">
        <is>
          <t xml:space="preserve">CO2 compression 3 x ~19 MW + dehydration: rooftop HVAC, exhaust fans, </t>
        </is>
      </c>
      <c r="B1777" s="12" t="inlineStr"/>
      <c r="C1777" s="12" t="inlineStr"/>
      <c r="D1777" s="12" t="inlineStr">
        <is>
          <t>Motor 5 of 10, 30 kW</t>
        </is>
      </c>
      <c r="E1777" s="12" t="n">
        <v>480</v>
      </c>
      <c r="F1777" s="12" t="n">
        <v>30</v>
      </c>
      <c r="G1777" s="12" t="n">
        <v>42.5</v>
      </c>
      <c r="H1777" s="12" t="inlineStr">
        <is>
          <t>R1 MCC-C1</t>
        </is>
      </c>
      <c r="I1777" s="12" t="inlineStr">
        <is>
          <t>LV 600 V</t>
        </is>
      </c>
      <c r="J1777" s="12" t="inlineStr">
        <is>
          <t>3/0</t>
        </is>
      </c>
      <c r="K1777" s="12" t="n">
        <v>1</v>
      </c>
    </row>
    <row r="1778">
      <c r="A1778" s="12" t="inlineStr">
        <is>
          <t xml:space="preserve">CO2 compression 3 x ~19 MW + dehydration: rooftop HVAC, exhaust fans, </t>
        </is>
      </c>
      <c r="B1778" s="12" t="inlineStr"/>
      <c r="C1778" s="12" t="inlineStr"/>
      <c r="D1778" s="12" t="inlineStr">
        <is>
          <t>Motor 6 of 10, 30 kW</t>
        </is>
      </c>
      <c r="E1778" s="12" t="n">
        <v>480</v>
      </c>
      <c r="F1778" s="12" t="n">
        <v>30</v>
      </c>
      <c r="G1778" s="12" t="n">
        <v>42.5</v>
      </c>
      <c r="H1778" s="12" t="inlineStr">
        <is>
          <t>R1 MCC-C1</t>
        </is>
      </c>
      <c r="I1778" s="12" t="inlineStr">
        <is>
          <t>LV 600 V</t>
        </is>
      </c>
      <c r="J1778" s="12" t="inlineStr">
        <is>
          <t>3/0</t>
        </is>
      </c>
      <c r="K1778" s="12" t="n">
        <v>1</v>
      </c>
    </row>
    <row r="1779">
      <c r="A1779" s="12" t="inlineStr">
        <is>
          <t xml:space="preserve">CO2 compression 3 x ~19 MW + dehydration: rooftop HVAC, exhaust fans, </t>
        </is>
      </c>
      <c r="B1779" s="12" t="inlineStr"/>
      <c r="C1779" s="12" t="inlineStr"/>
      <c r="D1779" s="12" t="inlineStr">
        <is>
          <t>Motor 7 of 10, 30 kW</t>
        </is>
      </c>
      <c r="E1779" s="12" t="n">
        <v>480</v>
      </c>
      <c r="F1779" s="12" t="n">
        <v>30</v>
      </c>
      <c r="G1779" s="12" t="n">
        <v>42.5</v>
      </c>
      <c r="H1779" s="12" t="inlineStr">
        <is>
          <t>R1 MCC-C1</t>
        </is>
      </c>
      <c r="I1779" s="12" t="inlineStr">
        <is>
          <t>LV 600 V</t>
        </is>
      </c>
      <c r="J1779" s="12" t="inlineStr">
        <is>
          <t>3/0</t>
        </is>
      </c>
      <c r="K1779" s="12" t="n">
        <v>1</v>
      </c>
    </row>
    <row r="1780">
      <c r="A1780" s="12" t="inlineStr">
        <is>
          <t xml:space="preserve">CO2 compression 3 x ~19 MW + dehydration: rooftop HVAC, exhaust fans, </t>
        </is>
      </c>
      <c r="B1780" s="12" t="inlineStr"/>
      <c r="C1780" s="12" t="inlineStr"/>
      <c r="D1780" s="12" t="inlineStr">
        <is>
          <t>Motor 8 of 10, 30 kW</t>
        </is>
      </c>
      <c r="E1780" s="12" t="n">
        <v>480</v>
      </c>
      <c r="F1780" s="12" t="n">
        <v>30</v>
      </c>
      <c r="G1780" s="12" t="n">
        <v>42.5</v>
      </c>
      <c r="H1780" s="12" t="inlineStr">
        <is>
          <t>R1 MCC-C1</t>
        </is>
      </c>
      <c r="I1780" s="12" t="inlineStr">
        <is>
          <t>LV 600 V</t>
        </is>
      </c>
      <c r="J1780" s="12" t="inlineStr">
        <is>
          <t>3/0</t>
        </is>
      </c>
      <c r="K1780" s="12" t="n">
        <v>1</v>
      </c>
    </row>
    <row r="1781">
      <c r="A1781" s="12" t="inlineStr">
        <is>
          <t xml:space="preserve">CO2 compression 3 x ~19 MW + dehydration: rooftop HVAC, exhaust fans, </t>
        </is>
      </c>
      <c r="B1781" s="12" t="inlineStr"/>
      <c r="C1781" s="12" t="inlineStr"/>
      <c r="D1781" s="12" t="inlineStr">
        <is>
          <t>Motor 9 of 10, 30 kW</t>
        </is>
      </c>
      <c r="E1781" s="12" t="n">
        <v>480</v>
      </c>
      <c r="F1781" s="12" t="n">
        <v>30</v>
      </c>
      <c r="G1781" s="12" t="n">
        <v>42.5</v>
      </c>
      <c r="H1781" s="12" t="inlineStr">
        <is>
          <t>R1 MCC-C1</t>
        </is>
      </c>
      <c r="I1781" s="12" t="inlineStr">
        <is>
          <t>LV 600 V</t>
        </is>
      </c>
      <c r="J1781" s="12" t="inlineStr">
        <is>
          <t>3/0</t>
        </is>
      </c>
      <c r="K1781" s="12" t="n">
        <v>1</v>
      </c>
    </row>
    <row r="1782">
      <c r="A1782" s="12" t="inlineStr">
        <is>
          <t xml:space="preserve">CO2 compression 3 x ~19 MW + dehydration: rooftop HVAC, exhaust fans, </t>
        </is>
      </c>
      <c r="B1782" s="12" t="inlineStr"/>
      <c r="C1782" s="12" t="inlineStr"/>
      <c r="D1782" s="12" t="inlineStr">
        <is>
          <t>Motor 10 of 10, 30 kW</t>
        </is>
      </c>
      <c r="E1782" s="12" t="n">
        <v>480</v>
      </c>
      <c r="F1782" s="12" t="n">
        <v>30</v>
      </c>
      <c r="G1782" s="12" t="n">
        <v>42.5</v>
      </c>
      <c r="H1782" s="12" t="inlineStr">
        <is>
          <t>R1 MCC-C1</t>
        </is>
      </c>
      <c r="I1782" s="12" t="inlineStr">
        <is>
          <t>LV 600 V</t>
        </is>
      </c>
      <c r="J1782" s="12" t="inlineStr">
        <is>
          <t>3/0</t>
        </is>
      </c>
      <c r="K1782" s="12" t="n">
        <v>1</v>
      </c>
    </row>
    <row r="1783">
      <c r="A1783" s="12" t="inlineStr">
        <is>
          <t xml:space="preserve">CO2 compression 3 x ~19 MW + dehydration: rooftop HVAC, exhaust fans, </t>
        </is>
      </c>
      <c r="B1783" s="12" t="inlineStr"/>
      <c r="C1783" s="12" t="inlineStr"/>
      <c r="D1783" s="12" t="inlineStr">
        <is>
          <t>480 V welding receptacle 1</t>
        </is>
      </c>
      <c r="E1783" s="12" t="n">
        <v>480</v>
      </c>
      <c r="F1783" s="12" t="n">
        <v>60</v>
      </c>
      <c r="G1783" s="12" t="n">
        <v>76</v>
      </c>
      <c r="H1783" s="12" t="inlineStr">
        <is>
          <t>R1 MCC-C1</t>
        </is>
      </c>
      <c r="I1783" s="12" t="inlineStr">
        <is>
          <t>LV 600 V</t>
        </is>
      </c>
      <c r="J1783" s="12" t="inlineStr">
        <is>
          <t>250 kcmil</t>
        </is>
      </c>
      <c r="K1783" s="12" t="n">
        <v>1</v>
      </c>
    </row>
    <row r="1784">
      <c r="A1784" s="12" t="inlineStr">
        <is>
          <t xml:space="preserve">CO2 compression 3 x ~19 MW + dehydration: rooftop HVAC, exhaust fans, </t>
        </is>
      </c>
      <c r="B1784" s="12" t="inlineStr"/>
      <c r="C1784" s="12" t="inlineStr"/>
      <c r="D1784" s="12" t="inlineStr">
        <is>
          <t>480 V welding receptacle 2</t>
        </is>
      </c>
      <c r="E1784" s="12" t="n">
        <v>480</v>
      </c>
      <c r="F1784" s="12" t="n">
        <v>60</v>
      </c>
      <c r="G1784" s="12" t="n">
        <v>76</v>
      </c>
      <c r="H1784" s="12" t="inlineStr">
        <is>
          <t>R1 MCC-C1</t>
        </is>
      </c>
      <c r="I1784" s="12" t="inlineStr">
        <is>
          <t>LV 600 V</t>
        </is>
      </c>
      <c r="J1784" s="12" t="inlineStr">
        <is>
          <t>250 kcmil</t>
        </is>
      </c>
      <c r="K1784" s="12" t="n">
        <v>1</v>
      </c>
    </row>
    <row r="1785">
      <c r="A1785" s="12" t="inlineStr">
        <is>
          <t xml:space="preserve">CO2 compression 3 x ~19 MW + dehydration: rooftop HVAC, exhaust fans, </t>
        </is>
      </c>
      <c r="B1785" s="12" t="inlineStr"/>
      <c r="C1785" s="12" t="inlineStr"/>
      <c r="D1785" s="12" t="inlineStr">
        <is>
          <t>480 V welding receptacle 3</t>
        </is>
      </c>
      <c r="E1785" s="12" t="n">
        <v>480</v>
      </c>
      <c r="F1785" s="12" t="n">
        <v>60</v>
      </c>
      <c r="G1785" s="12" t="n">
        <v>76</v>
      </c>
      <c r="H1785" s="12" t="inlineStr">
        <is>
          <t>R1 MCC-C1</t>
        </is>
      </c>
      <c r="I1785" s="12" t="inlineStr">
        <is>
          <t>LV 600 V</t>
        </is>
      </c>
      <c r="J1785" s="12" t="inlineStr">
        <is>
          <t>250 kcmil</t>
        </is>
      </c>
      <c r="K1785" s="12" t="n">
        <v>1</v>
      </c>
    </row>
    <row r="1786">
      <c r="A1786" s="12" t="inlineStr">
        <is>
          <t xml:space="preserve">CO2 compression 3 x ~19 MW + dehydration: rooftop HVAC, exhaust fans, </t>
        </is>
      </c>
      <c r="B1786" s="12" t="inlineStr"/>
      <c r="C1786" s="12" t="inlineStr"/>
      <c r="D1786" s="12" t="inlineStr">
        <is>
          <t>480 V welding receptacle 4</t>
        </is>
      </c>
      <c r="E1786" s="12" t="n">
        <v>480</v>
      </c>
      <c r="F1786" s="12" t="n">
        <v>60</v>
      </c>
      <c r="G1786" s="12" t="n">
        <v>76</v>
      </c>
      <c r="H1786" s="12" t="inlineStr">
        <is>
          <t>R1 MCC-C1</t>
        </is>
      </c>
      <c r="I1786" s="12" t="inlineStr">
        <is>
          <t>LV 600 V</t>
        </is>
      </c>
      <c r="J1786" s="12" t="inlineStr">
        <is>
          <t>250 kcmil</t>
        </is>
      </c>
      <c r="K1786" s="12" t="n">
        <v>1</v>
      </c>
    </row>
    <row r="1787">
      <c r="A1787" s="12" t="inlineStr">
        <is>
          <t>Small-bore piping: instrument air, service water, nitrogen, HRSG drain</t>
        </is>
      </c>
      <c r="B1787" s="12" t="inlineStr"/>
      <c r="C1787" s="12" t="inlineStr"/>
      <c r="D1787" s="12" t="inlineStr">
        <is>
          <t>Motor 1 of 2, 250 kW</t>
        </is>
      </c>
      <c r="E1787" s="12" t="n">
        <v>480</v>
      </c>
      <c r="F1787" s="12" t="n">
        <v>250</v>
      </c>
      <c r="G1787" s="12" t="n">
        <v>353.8</v>
      </c>
      <c r="H1787" s="12" t="inlineStr">
        <is>
          <t>R1 MCC-C1</t>
        </is>
      </c>
      <c r="I1787" s="12" t="inlineStr">
        <is>
          <t>LV 600 V</t>
        </is>
      </c>
      <c r="J1787" s="12" t="inlineStr">
        <is>
          <t>250 kcmil</t>
        </is>
      </c>
      <c r="K1787" s="12" t="n">
        <v>2</v>
      </c>
    </row>
    <row r="1788">
      <c r="A1788" s="12" t="inlineStr">
        <is>
          <t>Small-bore piping: instrument air, service water, nitrogen, HRSG drain</t>
        </is>
      </c>
      <c r="B1788" s="12" t="inlineStr"/>
      <c r="C1788" s="12" t="inlineStr"/>
      <c r="D1788" s="12" t="inlineStr">
        <is>
          <t>Motor 2 of 2, 250 kW</t>
        </is>
      </c>
      <c r="E1788" s="12" t="n">
        <v>480</v>
      </c>
      <c r="F1788" s="12" t="n">
        <v>250</v>
      </c>
      <c r="G1788" s="12" t="n">
        <v>353.8</v>
      </c>
      <c r="H1788" s="12" t="inlineStr">
        <is>
          <t>R1 MCC-C1</t>
        </is>
      </c>
      <c r="I1788" s="12" t="inlineStr">
        <is>
          <t>LV 600 V</t>
        </is>
      </c>
      <c r="J1788" s="12" t="inlineStr">
        <is>
          <t>250 kcmil</t>
        </is>
      </c>
      <c r="K1788" s="12" t="n">
        <v>2</v>
      </c>
    </row>
    <row r="1789">
      <c r="A1789" s="12" t="inlineStr">
        <is>
          <t>Wastewater treatment: rooftop HVAC, exhaust fans, vents</t>
        </is>
      </c>
      <c r="B1789" s="12" t="inlineStr"/>
      <c r="C1789" s="12" t="inlineStr"/>
      <c r="D1789" s="12" t="inlineStr">
        <is>
          <t>Motor 1 of 8, 15 kW</t>
        </is>
      </c>
      <c r="E1789" s="12" t="n">
        <v>480</v>
      </c>
      <c r="F1789" s="12" t="n">
        <v>15</v>
      </c>
      <c r="G1789" s="12" t="n">
        <v>21.2</v>
      </c>
      <c r="H1789" s="12" t="inlineStr">
        <is>
          <t>R1 MCC-C1</t>
        </is>
      </c>
      <c r="I1789" s="12" t="inlineStr">
        <is>
          <t>LV 600 V</t>
        </is>
      </c>
      <c r="J1789" s="12" t="inlineStr">
        <is>
          <t>1</t>
        </is>
      </c>
      <c r="K1789" s="12" t="n">
        <v>1</v>
      </c>
    </row>
    <row r="1790">
      <c r="A1790" s="12" t="inlineStr">
        <is>
          <t>Wastewater treatment: rooftop HVAC, exhaust fans, vents</t>
        </is>
      </c>
      <c r="B1790" s="12" t="inlineStr"/>
      <c r="C1790" s="12" t="inlineStr"/>
      <c r="D1790" s="12" t="inlineStr">
        <is>
          <t>Motor 2 of 8, 15 kW</t>
        </is>
      </c>
      <c r="E1790" s="12" t="n">
        <v>480</v>
      </c>
      <c r="F1790" s="12" t="n">
        <v>15</v>
      </c>
      <c r="G1790" s="12" t="n">
        <v>21.2</v>
      </c>
      <c r="H1790" s="12" t="inlineStr">
        <is>
          <t>R1 MCC-C1</t>
        </is>
      </c>
      <c r="I1790" s="12" t="inlineStr">
        <is>
          <t>LV 600 V</t>
        </is>
      </c>
      <c r="J1790" s="12" t="inlineStr">
        <is>
          <t>1</t>
        </is>
      </c>
      <c r="K1790" s="12" t="n">
        <v>1</v>
      </c>
    </row>
    <row r="1791">
      <c r="A1791" s="12" t="inlineStr">
        <is>
          <t>Wastewater treatment: rooftop HVAC, exhaust fans, vents</t>
        </is>
      </c>
      <c r="B1791" s="12" t="inlineStr"/>
      <c r="C1791" s="12" t="inlineStr"/>
      <c r="D1791" s="12" t="inlineStr">
        <is>
          <t>Motor 3 of 8, 15 kW</t>
        </is>
      </c>
      <c r="E1791" s="12" t="n">
        <v>480</v>
      </c>
      <c r="F1791" s="12" t="n">
        <v>15</v>
      </c>
      <c r="G1791" s="12" t="n">
        <v>21.2</v>
      </c>
      <c r="H1791" s="12" t="inlineStr">
        <is>
          <t>R1 MCC-C1</t>
        </is>
      </c>
      <c r="I1791" s="12" t="inlineStr">
        <is>
          <t>LV 600 V</t>
        </is>
      </c>
      <c r="J1791" s="12" t="inlineStr">
        <is>
          <t>1</t>
        </is>
      </c>
      <c r="K1791" s="12" t="n">
        <v>1</v>
      </c>
    </row>
    <row r="1792">
      <c r="A1792" s="12" t="inlineStr">
        <is>
          <t>Wastewater treatment: rooftop HVAC, exhaust fans, vents</t>
        </is>
      </c>
      <c r="B1792" s="12" t="inlineStr"/>
      <c r="C1792" s="12" t="inlineStr"/>
      <c r="D1792" s="12" t="inlineStr">
        <is>
          <t>Motor 4 of 8, 15 kW</t>
        </is>
      </c>
      <c r="E1792" s="12" t="n">
        <v>480</v>
      </c>
      <c r="F1792" s="12" t="n">
        <v>15</v>
      </c>
      <c r="G1792" s="12" t="n">
        <v>21.2</v>
      </c>
      <c r="H1792" s="12" t="inlineStr">
        <is>
          <t>R1 MCC-C1</t>
        </is>
      </c>
      <c r="I1792" s="12" t="inlineStr">
        <is>
          <t>LV 600 V</t>
        </is>
      </c>
      <c r="J1792" s="12" t="inlineStr">
        <is>
          <t>1</t>
        </is>
      </c>
      <c r="K1792" s="12" t="n">
        <v>1</v>
      </c>
    </row>
    <row r="1793">
      <c r="A1793" s="12" t="inlineStr">
        <is>
          <t>Wastewater treatment: rooftop HVAC, exhaust fans, vents</t>
        </is>
      </c>
      <c r="B1793" s="12" t="inlineStr"/>
      <c r="C1793" s="12" t="inlineStr"/>
      <c r="D1793" s="12" t="inlineStr">
        <is>
          <t>Motor 5 of 8, 15 kW</t>
        </is>
      </c>
      <c r="E1793" s="12" t="n">
        <v>480</v>
      </c>
      <c r="F1793" s="12" t="n">
        <v>15</v>
      </c>
      <c r="G1793" s="12" t="n">
        <v>21.2</v>
      </c>
      <c r="H1793" s="12" t="inlineStr">
        <is>
          <t>R1 MCC-C1</t>
        </is>
      </c>
      <c r="I1793" s="12" t="inlineStr">
        <is>
          <t>LV 600 V</t>
        </is>
      </c>
      <c r="J1793" s="12" t="inlineStr">
        <is>
          <t>1</t>
        </is>
      </c>
      <c r="K1793" s="12" t="n">
        <v>1</v>
      </c>
    </row>
    <row r="1794">
      <c r="A1794" s="12" t="inlineStr">
        <is>
          <t>Wastewater treatment: rooftop HVAC, exhaust fans, vents</t>
        </is>
      </c>
      <c r="B1794" s="12" t="inlineStr"/>
      <c r="C1794" s="12" t="inlineStr"/>
      <c r="D1794" s="12" t="inlineStr">
        <is>
          <t>Motor 6 of 8, 15 kW</t>
        </is>
      </c>
      <c r="E1794" s="12" t="n">
        <v>480</v>
      </c>
      <c r="F1794" s="12" t="n">
        <v>15</v>
      </c>
      <c r="G1794" s="12" t="n">
        <v>21.2</v>
      </c>
      <c r="H1794" s="12" t="inlineStr">
        <is>
          <t>R1 MCC-C1</t>
        </is>
      </c>
      <c r="I1794" s="12" t="inlineStr">
        <is>
          <t>LV 600 V</t>
        </is>
      </c>
      <c r="J1794" s="12" t="inlineStr">
        <is>
          <t>1</t>
        </is>
      </c>
      <c r="K1794" s="12" t="n">
        <v>1</v>
      </c>
    </row>
    <row r="1795">
      <c r="A1795" s="12" t="inlineStr">
        <is>
          <t>Wastewater treatment: rooftop HVAC, exhaust fans, vents</t>
        </is>
      </c>
      <c r="B1795" s="12" t="inlineStr"/>
      <c r="C1795" s="12" t="inlineStr"/>
      <c r="D1795" s="12" t="inlineStr">
        <is>
          <t>Motor 7 of 8, 15 kW</t>
        </is>
      </c>
      <c r="E1795" s="12" t="n">
        <v>480</v>
      </c>
      <c r="F1795" s="12" t="n">
        <v>15</v>
      </c>
      <c r="G1795" s="12" t="n">
        <v>21.2</v>
      </c>
      <c r="H1795" s="12" t="inlineStr">
        <is>
          <t>R1 MCC-C1</t>
        </is>
      </c>
      <c r="I1795" s="12" t="inlineStr">
        <is>
          <t>LV 600 V</t>
        </is>
      </c>
      <c r="J1795" s="12" t="inlineStr">
        <is>
          <t>1</t>
        </is>
      </c>
      <c r="K1795" s="12" t="n">
        <v>1</v>
      </c>
    </row>
    <row r="1796">
      <c r="A1796" s="12" t="inlineStr">
        <is>
          <t>Wastewater treatment: rooftop HVAC, exhaust fans, vents</t>
        </is>
      </c>
      <c r="B1796" s="12" t="inlineStr"/>
      <c r="C1796" s="12" t="inlineStr"/>
      <c r="D1796" s="12" t="inlineStr">
        <is>
          <t>Motor 8 of 8, 15 kW</t>
        </is>
      </c>
      <c r="E1796" s="12" t="n">
        <v>480</v>
      </c>
      <c r="F1796" s="12" t="n">
        <v>15</v>
      </c>
      <c r="G1796" s="12" t="n">
        <v>21.2</v>
      </c>
      <c r="H1796" s="12" t="inlineStr">
        <is>
          <t>R1 MCC-C1</t>
        </is>
      </c>
      <c r="I1796" s="12" t="inlineStr">
        <is>
          <t>LV 600 V</t>
        </is>
      </c>
      <c r="J1796" s="12" t="inlineStr">
        <is>
          <t>1</t>
        </is>
      </c>
      <c r="K1796" s="12" t="n">
        <v>1</v>
      </c>
    </row>
    <row r="1797">
      <c r="A1797" s="12" t="inlineStr">
        <is>
          <t>Water treatment building: rooftop HVAC, exhaust fans, vents</t>
        </is>
      </c>
      <c r="B1797" s="12" t="inlineStr"/>
      <c r="C1797" s="12" t="inlineStr"/>
      <c r="D1797" s="12" t="inlineStr">
        <is>
          <t>Motor 1 of 20, 15 kW</t>
        </is>
      </c>
      <c r="E1797" s="12" t="n">
        <v>480</v>
      </c>
      <c r="F1797" s="12" t="n">
        <v>15</v>
      </c>
      <c r="G1797" s="12" t="n">
        <v>21.2</v>
      </c>
      <c r="H1797" s="12" t="inlineStr">
        <is>
          <t>R1 MCC-C1</t>
        </is>
      </c>
      <c r="I1797" s="12" t="inlineStr">
        <is>
          <t>LV 600 V</t>
        </is>
      </c>
      <c r="J1797" s="12" t="inlineStr">
        <is>
          <t>2</t>
        </is>
      </c>
      <c r="K1797" s="12" t="n">
        <v>1</v>
      </c>
    </row>
    <row r="1798">
      <c r="A1798" s="12" t="inlineStr">
        <is>
          <t>Water treatment building: rooftop HVAC, exhaust fans, vents</t>
        </is>
      </c>
      <c r="B1798" s="12" t="inlineStr"/>
      <c r="C1798" s="12" t="inlineStr"/>
      <c r="D1798" s="12" t="inlineStr">
        <is>
          <t>Motor 2 of 20, 15 kW</t>
        </is>
      </c>
      <c r="E1798" s="12" t="n">
        <v>480</v>
      </c>
      <c r="F1798" s="12" t="n">
        <v>15</v>
      </c>
      <c r="G1798" s="12" t="n">
        <v>21.2</v>
      </c>
      <c r="H1798" s="12" t="inlineStr">
        <is>
          <t>R1 MCC-C1</t>
        </is>
      </c>
      <c r="I1798" s="12" t="inlineStr">
        <is>
          <t>LV 600 V</t>
        </is>
      </c>
      <c r="J1798" s="12" t="inlineStr">
        <is>
          <t>2</t>
        </is>
      </c>
      <c r="K1798" s="12" t="n">
        <v>1</v>
      </c>
    </row>
    <row r="1799">
      <c r="A1799" s="12" t="inlineStr">
        <is>
          <t>Water treatment building: rooftop HVAC, exhaust fans, vents</t>
        </is>
      </c>
      <c r="B1799" s="12" t="inlineStr"/>
      <c r="C1799" s="12" t="inlineStr"/>
      <c r="D1799" s="12" t="inlineStr">
        <is>
          <t>Motor 3 of 20, 15 kW</t>
        </is>
      </c>
      <c r="E1799" s="12" t="n">
        <v>480</v>
      </c>
      <c r="F1799" s="12" t="n">
        <v>15</v>
      </c>
      <c r="G1799" s="12" t="n">
        <v>21.2</v>
      </c>
      <c r="H1799" s="12" t="inlineStr">
        <is>
          <t>R1 MCC-C1</t>
        </is>
      </c>
      <c r="I1799" s="12" t="inlineStr">
        <is>
          <t>LV 600 V</t>
        </is>
      </c>
      <c r="J1799" s="12" t="inlineStr">
        <is>
          <t>2</t>
        </is>
      </c>
      <c r="K1799" s="12" t="n">
        <v>1</v>
      </c>
    </row>
    <row r="1800">
      <c r="A1800" s="12" t="inlineStr">
        <is>
          <t>Water treatment building: rooftop HVAC, exhaust fans, vents</t>
        </is>
      </c>
      <c r="B1800" s="12" t="inlineStr"/>
      <c r="C1800" s="12" t="inlineStr"/>
      <c r="D1800" s="12" t="inlineStr">
        <is>
          <t>Motor 4 of 20, 15 kW</t>
        </is>
      </c>
      <c r="E1800" s="12" t="n">
        <v>480</v>
      </c>
      <c r="F1800" s="12" t="n">
        <v>15</v>
      </c>
      <c r="G1800" s="12" t="n">
        <v>21.2</v>
      </c>
      <c r="H1800" s="12" t="inlineStr">
        <is>
          <t>R1 MCC-C1</t>
        </is>
      </c>
      <c r="I1800" s="12" t="inlineStr">
        <is>
          <t>LV 600 V</t>
        </is>
      </c>
      <c r="J1800" s="12" t="inlineStr">
        <is>
          <t>2</t>
        </is>
      </c>
      <c r="K1800" s="12" t="n">
        <v>1</v>
      </c>
    </row>
    <row r="1801">
      <c r="A1801" s="12" t="inlineStr">
        <is>
          <t>Water treatment building: rooftop HVAC, exhaust fans, vents</t>
        </is>
      </c>
      <c r="B1801" s="12" t="inlineStr"/>
      <c r="C1801" s="12" t="inlineStr"/>
      <c r="D1801" s="12" t="inlineStr">
        <is>
          <t>Motor 5 of 20, 15 kW</t>
        </is>
      </c>
      <c r="E1801" s="12" t="n">
        <v>480</v>
      </c>
      <c r="F1801" s="12" t="n">
        <v>15</v>
      </c>
      <c r="G1801" s="12" t="n">
        <v>21.2</v>
      </c>
      <c r="H1801" s="12" t="inlineStr">
        <is>
          <t>R1 MCC-C1</t>
        </is>
      </c>
      <c r="I1801" s="12" t="inlineStr">
        <is>
          <t>LV 600 V</t>
        </is>
      </c>
      <c r="J1801" s="12" t="inlineStr">
        <is>
          <t>2</t>
        </is>
      </c>
      <c r="K1801" s="12" t="n">
        <v>1</v>
      </c>
    </row>
    <row r="1802">
      <c r="A1802" s="12" t="inlineStr">
        <is>
          <t>Water treatment building: rooftop HVAC, exhaust fans, vents</t>
        </is>
      </c>
      <c r="B1802" s="12" t="inlineStr"/>
      <c r="C1802" s="12" t="inlineStr"/>
      <c r="D1802" s="12" t="inlineStr">
        <is>
          <t>Motor 6 of 20, 15 kW</t>
        </is>
      </c>
      <c r="E1802" s="12" t="n">
        <v>480</v>
      </c>
      <c r="F1802" s="12" t="n">
        <v>15</v>
      </c>
      <c r="G1802" s="12" t="n">
        <v>21.2</v>
      </c>
      <c r="H1802" s="12" t="inlineStr">
        <is>
          <t>R1 MCC-C1</t>
        </is>
      </c>
      <c r="I1802" s="12" t="inlineStr">
        <is>
          <t>LV 600 V</t>
        </is>
      </c>
      <c r="J1802" s="12" t="inlineStr">
        <is>
          <t>2</t>
        </is>
      </c>
      <c r="K1802" s="12" t="n">
        <v>1</v>
      </c>
    </row>
    <row r="1803">
      <c r="A1803" s="12" t="inlineStr">
        <is>
          <t>Water treatment building: rooftop HVAC, exhaust fans, vents</t>
        </is>
      </c>
      <c r="B1803" s="12" t="inlineStr"/>
      <c r="C1803" s="12" t="inlineStr"/>
      <c r="D1803" s="12" t="inlineStr">
        <is>
          <t>Motor 7 of 20, 15 kW</t>
        </is>
      </c>
      <c r="E1803" s="12" t="n">
        <v>480</v>
      </c>
      <c r="F1803" s="12" t="n">
        <v>15</v>
      </c>
      <c r="G1803" s="12" t="n">
        <v>21.2</v>
      </c>
      <c r="H1803" s="12" t="inlineStr">
        <is>
          <t>R1 MCC-C1</t>
        </is>
      </c>
      <c r="I1803" s="12" t="inlineStr">
        <is>
          <t>LV 600 V</t>
        </is>
      </c>
      <c r="J1803" s="12" t="inlineStr">
        <is>
          <t>2</t>
        </is>
      </c>
      <c r="K1803" s="12" t="n">
        <v>1</v>
      </c>
    </row>
    <row r="1804">
      <c r="A1804" s="12" t="inlineStr">
        <is>
          <t>Water treatment building: rooftop HVAC, exhaust fans, vents</t>
        </is>
      </c>
      <c r="B1804" s="12" t="inlineStr"/>
      <c r="C1804" s="12" t="inlineStr"/>
      <c r="D1804" s="12" t="inlineStr">
        <is>
          <t>Motor 8 of 20, 15 kW</t>
        </is>
      </c>
      <c r="E1804" s="12" t="n">
        <v>480</v>
      </c>
      <c r="F1804" s="12" t="n">
        <v>15</v>
      </c>
      <c r="G1804" s="12" t="n">
        <v>21.2</v>
      </c>
      <c r="H1804" s="12" t="inlineStr">
        <is>
          <t>R1 MCC-C1</t>
        </is>
      </c>
      <c r="I1804" s="12" t="inlineStr">
        <is>
          <t>LV 600 V</t>
        </is>
      </c>
      <c r="J1804" s="12" t="inlineStr">
        <is>
          <t>2</t>
        </is>
      </c>
      <c r="K1804" s="12" t="n">
        <v>1</v>
      </c>
    </row>
    <row r="1805">
      <c r="A1805" s="12" t="inlineStr">
        <is>
          <t>Water treatment building: rooftop HVAC, exhaust fans, vents</t>
        </is>
      </c>
      <c r="B1805" s="12" t="inlineStr"/>
      <c r="C1805" s="12" t="inlineStr"/>
      <c r="D1805" s="12" t="inlineStr">
        <is>
          <t>Motor 9 of 20, 15 kW</t>
        </is>
      </c>
      <c r="E1805" s="12" t="n">
        <v>480</v>
      </c>
      <c r="F1805" s="12" t="n">
        <v>15</v>
      </c>
      <c r="G1805" s="12" t="n">
        <v>21.2</v>
      </c>
      <c r="H1805" s="12" t="inlineStr">
        <is>
          <t>R1 MCC-C1</t>
        </is>
      </c>
      <c r="I1805" s="12" t="inlineStr">
        <is>
          <t>LV 600 V</t>
        </is>
      </c>
      <c r="J1805" s="12" t="inlineStr">
        <is>
          <t>2</t>
        </is>
      </c>
      <c r="K1805" s="12" t="n">
        <v>1</v>
      </c>
    </row>
    <row r="1806">
      <c r="A1806" s="12" t="inlineStr">
        <is>
          <t>Water treatment building: rooftop HVAC, exhaust fans, vents</t>
        </is>
      </c>
      <c r="B1806" s="12" t="inlineStr"/>
      <c r="C1806" s="12" t="inlineStr"/>
      <c r="D1806" s="12" t="inlineStr">
        <is>
          <t>Motor 10 of 20, 15 kW</t>
        </is>
      </c>
      <c r="E1806" s="12" t="n">
        <v>480</v>
      </c>
      <c r="F1806" s="12" t="n">
        <v>15</v>
      </c>
      <c r="G1806" s="12" t="n">
        <v>21.2</v>
      </c>
      <c r="H1806" s="12" t="inlineStr">
        <is>
          <t>R1 MCC-C1</t>
        </is>
      </c>
      <c r="I1806" s="12" t="inlineStr">
        <is>
          <t>LV 600 V</t>
        </is>
      </c>
      <c r="J1806" s="12" t="inlineStr">
        <is>
          <t>2</t>
        </is>
      </c>
      <c r="K1806" s="12" t="n">
        <v>1</v>
      </c>
    </row>
    <row r="1807">
      <c r="A1807" s="12" t="inlineStr">
        <is>
          <t>Water treatment building: rooftop HVAC, exhaust fans, vents</t>
        </is>
      </c>
      <c r="B1807" s="12" t="inlineStr"/>
      <c r="C1807" s="12" t="inlineStr"/>
      <c r="D1807" s="12" t="inlineStr">
        <is>
          <t>Motor 11 of 20, 15 kW</t>
        </is>
      </c>
      <c r="E1807" s="12" t="n">
        <v>480</v>
      </c>
      <c r="F1807" s="12" t="n">
        <v>15</v>
      </c>
      <c r="G1807" s="12" t="n">
        <v>21.2</v>
      </c>
      <c r="H1807" s="12" t="inlineStr">
        <is>
          <t>R1 MCC-C1</t>
        </is>
      </c>
      <c r="I1807" s="12" t="inlineStr">
        <is>
          <t>LV 600 V</t>
        </is>
      </c>
      <c r="J1807" s="12" t="inlineStr">
        <is>
          <t>2</t>
        </is>
      </c>
      <c r="K1807" s="12" t="n">
        <v>1</v>
      </c>
    </row>
    <row r="1808">
      <c r="A1808" s="12" t="inlineStr">
        <is>
          <t>Water treatment building: rooftop HVAC, exhaust fans, vents</t>
        </is>
      </c>
      <c r="B1808" s="12" t="inlineStr"/>
      <c r="C1808" s="12" t="inlineStr"/>
      <c r="D1808" s="12" t="inlineStr">
        <is>
          <t>Motor 12 of 20, 15 kW</t>
        </is>
      </c>
      <c r="E1808" s="12" t="n">
        <v>480</v>
      </c>
      <c r="F1808" s="12" t="n">
        <v>15</v>
      </c>
      <c r="G1808" s="12" t="n">
        <v>21.2</v>
      </c>
      <c r="H1808" s="12" t="inlineStr">
        <is>
          <t>R1 MCC-C1</t>
        </is>
      </c>
      <c r="I1808" s="12" t="inlineStr">
        <is>
          <t>LV 600 V</t>
        </is>
      </c>
      <c r="J1808" s="12" t="inlineStr">
        <is>
          <t>2</t>
        </is>
      </c>
      <c r="K1808" s="12" t="n">
        <v>1</v>
      </c>
    </row>
    <row r="1809">
      <c r="A1809" s="12" t="inlineStr">
        <is>
          <t>Water treatment building: rooftop HVAC, exhaust fans, vents</t>
        </is>
      </c>
      <c r="B1809" s="12" t="inlineStr"/>
      <c r="C1809" s="12" t="inlineStr"/>
      <c r="D1809" s="12" t="inlineStr">
        <is>
          <t>Motor 13 of 20, 15 kW</t>
        </is>
      </c>
      <c r="E1809" s="12" t="n">
        <v>480</v>
      </c>
      <c r="F1809" s="12" t="n">
        <v>15</v>
      </c>
      <c r="G1809" s="12" t="n">
        <v>21.2</v>
      </c>
      <c r="H1809" s="12" t="inlineStr">
        <is>
          <t>R1 MCC-C1</t>
        </is>
      </c>
      <c r="I1809" s="12" t="inlineStr">
        <is>
          <t>LV 600 V</t>
        </is>
      </c>
      <c r="J1809" s="12" t="inlineStr">
        <is>
          <t>2</t>
        </is>
      </c>
      <c r="K1809" s="12" t="n">
        <v>1</v>
      </c>
    </row>
    <row r="1810">
      <c r="A1810" s="12" t="inlineStr">
        <is>
          <t>Water treatment building: rooftop HVAC, exhaust fans, vents</t>
        </is>
      </c>
      <c r="B1810" s="12" t="inlineStr"/>
      <c r="C1810" s="12" t="inlineStr"/>
      <c r="D1810" s="12" t="inlineStr">
        <is>
          <t>Motor 14 of 20, 15 kW</t>
        </is>
      </c>
      <c r="E1810" s="12" t="n">
        <v>480</v>
      </c>
      <c r="F1810" s="12" t="n">
        <v>15</v>
      </c>
      <c r="G1810" s="12" t="n">
        <v>21.2</v>
      </c>
      <c r="H1810" s="12" t="inlineStr">
        <is>
          <t>R1 MCC-C1</t>
        </is>
      </c>
      <c r="I1810" s="12" t="inlineStr">
        <is>
          <t>LV 600 V</t>
        </is>
      </c>
      <c r="J1810" s="12" t="inlineStr">
        <is>
          <t>2</t>
        </is>
      </c>
      <c r="K1810" s="12" t="n">
        <v>1</v>
      </c>
    </row>
    <row r="1811">
      <c r="A1811" s="12" t="inlineStr">
        <is>
          <t>Water treatment building: rooftop HVAC, exhaust fans, vents</t>
        </is>
      </c>
      <c r="B1811" s="12" t="inlineStr"/>
      <c r="C1811" s="12" t="inlineStr"/>
      <c r="D1811" s="12" t="inlineStr">
        <is>
          <t>Motor 15 of 20, 15 kW</t>
        </is>
      </c>
      <c r="E1811" s="12" t="n">
        <v>480</v>
      </c>
      <c r="F1811" s="12" t="n">
        <v>15</v>
      </c>
      <c r="G1811" s="12" t="n">
        <v>21.2</v>
      </c>
      <c r="H1811" s="12" t="inlineStr">
        <is>
          <t>R1 MCC-C1</t>
        </is>
      </c>
      <c r="I1811" s="12" t="inlineStr">
        <is>
          <t>LV 600 V</t>
        </is>
      </c>
      <c r="J1811" s="12" t="inlineStr">
        <is>
          <t>2</t>
        </is>
      </c>
      <c r="K1811" s="12" t="n">
        <v>1</v>
      </c>
    </row>
    <row r="1812">
      <c r="A1812" s="12" t="inlineStr">
        <is>
          <t>Water treatment building: rooftop HVAC, exhaust fans, vents</t>
        </is>
      </c>
      <c r="B1812" s="12" t="inlineStr"/>
      <c r="C1812" s="12" t="inlineStr"/>
      <c r="D1812" s="12" t="inlineStr">
        <is>
          <t>Motor 16 of 20, 15 kW</t>
        </is>
      </c>
      <c r="E1812" s="12" t="n">
        <v>480</v>
      </c>
      <c r="F1812" s="12" t="n">
        <v>15</v>
      </c>
      <c r="G1812" s="12" t="n">
        <v>21.2</v>
      </c>
      <c r="H1812" s="12" t="inlineStr">
        <is>
          <t>R1 MCC-C1</t>
        </is>
      </c>
      <c r="I1812" s="12" t="inlineStr">
        <is>
          <t>LV 600 V</t>
        </is>
      </c>
      <c r="J1812" s="12" t="inlineStr">
        <is>
          <t>2</t>
        </is>
      </c>
      <c r="K1812" s="12" t="n">
        <v>1</v>
      </c>
    </row>
    <row r="1813">
      <c r="A1813" s="12" t="inlineStr">
        <is>
          <t>Water treatment building: rooftop HVAC, exhaust fans, vents</t>
        </is>
      </c>
      <c r="B1813" s="12" t="inlineStr"/>
      <c r="C1813" s="12" t="inlineStr"/>
      <c r="D1813" s="12" t="inlineStr">
        <is>
          <t>Motor 17 of 20, 15 kW</t>
        </is>
      </c>
      <c r="E1813" s="12" t="n">
        <v>480</v>
      </c>
      <c r="F1813" s="12" t="n">
        <v>15</v>
      </c>
      <c r="G1813" s="12" t="n">
        <v>21.2</v>
      </c>
      <c r="H1813" s="12" t="inlineStr">
        <is>
          <t>R1 MCC-C1</t>
        </is>
      </c>
      <c r="I1813" s="12" t="inlineStr">
        <is>
          <t>LV 600 V</t>
        </is>
      </c>
      <c r="J1813" s="12" t="inlineStr">
        <is>
          <t>2</t>
        </is>
      </c>
      <c r="K1813" s="12" t="n">
        <v>1</v>
      </c>
    </row>
    <row r="1814">
      <c r="A1814" s="12" t="inlineStr">
        <is>
          <t>Water treatment building: rooftop HVAC, exhaust fans, vents</t>
        </is>
      </c>
      <c r="B1814" s="12" t="inlineStr"/>
      <c r="C1814" s="12" t="inlineStr"/>
      <c r="D1814" s="12" t="inlineStr">
        <is>
          <t>Motor 18 of 20, 15 kW</t>
        </is>
      </c>
      <c r="E1814" s="12" t="n">
        <v>480</v>
      </c>
      <c r="F1814" s="12" t="n">
        <v>15</v>
      </c>
      <c r="G1814" s="12" t="n">
        <v>21.2</v>
      </c>
      <c r="H1814" s="12" t="inlineStr">
        <is>
          <t>R1 MCC-C1</t>
        </is>
      </c>
      <c r="I1814" s="12" t="inlineStr">
        <is>
          <t>LV 600 V</t>
        </is>
      </c>
      <c r="J1814" s="12" t="inlineStr">
        <is>
          <t>2</t>
        </is>
      </c>
      <c r="K1814" s="12" t="n">
        <v>1</v>
      </c>
    </row>
    <row r="1815">
      <c r="A1815" s="12" t="inlineStr">
        <is>
          <t>Water treatment building: rooftop HVAC, exhaust fans, vents</t>
        </is>
      </c>
      <c r="B1815" s="12" t="inlineStr"/>
      <c r="C1815" s="12" t="inlineStr"/>
      <c r="D1815" s="12" t="inlineStr">
        <is>
          <t>Motor 19 of 20, 15 kW</t>
        </is>
      </c>
      <c r="E1815" s="12" t="n">
        <v>480</v>
      </c>
      <c r="F1815" s="12" t="n">
        <v>15</v>
      </c>
      <c r="G1815" s="12" t="n">
        <v>21.2</v>
      </c>
      <c r="H1815" s="12" t="inlineStr">
        <is>
          <t>R1 MCC-C1</t>
        </is>
      </c>
      <c r="I1815" s="12" t="inlineStr">
        <is>
          <t>LV 600 V</t>
        </is>
      </c>
      <c r="J1815" s="12" t="inlineStr">
        <is>
          <t>2</t>
        </is>
      </c>
      <c r="K1815" s="12" t="n">
        <v>1</v>
      </c>
    </row>
    <row r="1816">
      <c r="A1816" s="12" t="inlineStr">
        <is>
          <t>Water treatment building: rooftop HVAC, exhaust fans, vents</t>
        </is>
      </c>
      <c r="B1816" s="12" t="inlineStr"/>
      <c r="C1816" s="12" t="inlineStr"/>
      <c r="D1816" s="12" t="inlineStr">
        <is>
          <t>Motor 20 of 20, 15 kW</t>
        </is>
      </c>
      <c r="E1816" s="12" t="n">
        <v>480</v>
      </c>
      <c r="F1816" s="12" t="n">
        <v>15</v>
      </c>
      <c r="G1816" s="12" t="n">
        <v>21.2</v>
      </c>
      <c r="H1816" s="12" t="inlineStr">
        <is>
          <t>R1 MCC-C1</t>
        </is>
      </c>
      <c r="I1816" s="12" t="inlineStr">
        <is>
          <t>LV 600 V</t>
        </is>
      </c>
      <c r="J1816" s="12" t="inlineStr">
        <is>
          <t>2</t>
        </is>
      </c>
      <c r="K1816"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2026-10-27T10:19:10Z</dcterms:created>
  <dcterms:modified xmlns:dcterms="http://purl.org/dc/terms/" xmlns:xsi="http://www.w3.org/2001/XMLSchema-instance" xsi:type="dcterms:W3CDTF">2026-10-27T10:19:13Z</dcterms:modified>
</cp:coreProperties>
</file>